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45" windowWidth="14805" windowHeight="7770" firstSheet="1" activeTab="2"/>
  </bookViews>
  <sheets>
    <sheet name="Graphique1" sheetId="18" r:id="rId1"/>
    <sheet name="Graphique2" sheetId="19" r:id="rId2"/>
    <sheet name="Synthèse format 3ME" sheetId="17" r:id="rId3"/>
    <sheet name="Synthèse" sheetId="16" r:id="rId4"/>
    <sheet name="Coûts annuel génération élec" sheetId="4" r:id="rId5"/>
    <sheet name="Coûts annuels réseaux et stocka" sheetId="1" r:id="rId6"/>
    <sheet name="Données capacités de production" sheetId="12" r:id="rId7"/>
    <sheet name="Données capacités de stockage" sheetId="7" r:id="rId8"/>
    <sheet name="LCOE" sheetId="2" r:id="rId9"/>
    <sheet name="Capacités installées" sheetId="3" r:id="rId10"/>
    <sheet name="Production" sheetId="14" r:id="rId11"/>
    <sheet name="Linéarisation mix" sheetId="15" r:id="rId12"/>
    <sheet name="Structure de coûts RTE" sheetId="5" r:id="rId13"/>
    <sheet name="Données Linky" sheetId="6" r:id="rId14"/>
  </sheets>
  <calcPr calcId="162913" concurrentCalc="0"/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39" i="7"/>
  <c r="D39" i="7"/>
  <c r="E39" i="7"/>
  <c r="F39" i="7"/>
  <c r="G39" i="7"/>
  <c r="H39" i="7"/>
  <c r="I39" i="7"/>
  <c r="J39" i="7"/>
  <c r="K39" i="7"/>
  <c r="L39" i="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B99" i="17"/>
  <c r="AM55" i="7"/>
  <c r="F21" i="1"/>
  <c r="AG21" i="1"/>
  <c r="AH21" i="1"/>
  <c r="AI21" i="1"/>
  <c r="AJ21" i="1"/>
  <c r="AK21" i="1"/>
  <c r="AL21" i="1"/>
  <c r="AM21" i="1"/>
  <c r="AN21" i="1"/>
  <c r="AO21" i="1"/>
  <c r="AP21" i="1"/>
  <c r="E21" i="1"/>
  <c r="C85" i="17"/>
  <c r="C106" i="17"/>
  <c r="D85" i="17"/>
  <c r="D106" i="17"/>
  <c r="E85" i="17"/>
  <c r="E106" i="17"/>
  <c r="F85" i="17"/>
  <c r="F106" i="17"/>
  <c r="G85" i="17"/>
  <c r="G106" i="17"/>
  <c r="H85" i="17"/>
  <c r="H106" i="17"/>
  <c r="I85" i="17"/>
  <c r="I106" i="17"/>
  <c r="J85" i="17"/>
  <c r="J106" i="17"/>
  <c r="K85" i="17"/>
  <c r="K106" i="17"/>
  <c r="L85" i="17"/>
  <c r="L106" i="17"/>
  <c r="M85" i="17"/>
  <c r="M106" i="17"/>
  <c r="N85" i="17"/>
  <c r="N106" i="17"/>
  <c r="O85" i="17"/>
  <c r="O106" i="17"/>
  <c r="P85" i="17"/>
  <c r="P106" i="17"/>
  <c r="Q85" i="17"/>
  <c r="Q106" i="17"/>
  <c r="R85" i="17"/>
  <c r="R106" i="17"/>
  <c r="S85" i="17"/>
  <c r="S106" i="17"/>
  <c r="T85" i="17"/>
  <c r="T106" i="17"/>
  <c r="U85" i="17"/>
  <c r="U106" i="17"/>
  <c r="V85" i="17"/>
  <c r="V106" i="17"/>
  <c r="W85" i="17"/>
  <c r="W106" i="17"/>
  <c r="X85" i="17"/>
  <c r="X106" i="17"/>
  <c r="Y85" i="17"/>
  <c r="Y106" i="17"/>
  <c r="Z85" i="17"/>
  <c r="Z106" i="17"/>
  <c r="AA85" i="17"/>
  <c r="AA106" i="17"/>
  <c r="AB85" i="17"/>
  <c r="AB106" i="17"/>
  <c r="AC85" i="17"/>
  <c r="AC106" i="17"/>
  <c r="AD85" i="17"/>
  <c r="AD106" i="17"/>
  <c r="AE85" i="17"/>
  <c r="AE106" i="17"/>
  <c r="AF85" i="17"/>
  <c r="AF106" i="17"/>
  <c r="AG85" i="17"/>
  <c r="AG106" i="17"/>
  <c r="AH85" i="17"/>
  <c r="AH106" i="17"/>
  <c r="AI85" i="17"/>
  <c r="AI106" i="17"/>
  <c r="AJ85" i="17"/>
  <c r="AJ106" i="17"/>
  <c r="AK85" i="17"/>
  <c r="AK106" i="17"/>
  <c r="AL85" i="17"/>
  <c r="AL106" i="17"/>
  <c r="AM85" i="17"/>
  <c r="AM106" i="17"/>
  <c r="B85" i="17"/>
  <c r="B106" i="17"/>
  <c r="AL83" i="17"/>
  <c r="AL104" i="17"/>
  <c r="AM83" i="17"/>
  <c r="AM104" i="17"/>
  <c r="AL84" i="17"/>
  <c r="AL105" i="17"/>
  <c r="AM84" i="17"/>
  <c r="AM105" i="17"/>
  <c r="AL86" i="17"/>
  <c r="AL107" i="17"/>
  <c r="AM86" i="17"/>
  <c r="AM107" i="17"/>
  <c r="C81" i="17"/>
  <c r="C102" i="17"/>
  <c r="D81" i="17"/>
  <c r="D102" i="17"/>
  <c r="E81" i="17"/>
  <c r="E102" i="17"/>
  <c r="F81" i="17"/>
  <c r="F102" i="17"/>
  <c r="L81" i="17"/>
  <c r="L102" i="17"/>
  <c r="M81" i="17"/>
  <c r="M102" i="17"/>
  <c r="N81" i="17"/>
  <c r="N102" i="17"/>
  <c r="O81" i="17"/>
  <c r="O102" i="17"/>
  <c r="P81" i="17"/>
  <c r="P102" i="17"/>
  <c r="Q81" i="17"/>
  <c r="Q102" i="17"/>
  <c r="R81" i="17"/>
  <c r="R102" i="17"/>
  <c r="S81" i="17"/>
  <c r="S102" i="17"/>
  <c r="T81" i="17"/>
  <c r="T102" i="17"/>
  <c r="U81" i="17"/>
  <c r="U102" i="17"/>
  <c r="V81" i="17"/>
  <c r="V102" i="17"/>
  <c r="W81" i="17"/>
  <c r="W102" i="17"/>
  <c r="X81" i="17"/>
  <c r="X102" i="17"/>
  <c r="Y81" i="17"/>
  <c r="Y102" i="17"/>
  <c r="Z81" i="17"/>
  <c r="Z102" i="17"/>
  <c r="AA81" i="17"/>
  <c r="AA102" i="17"/>
  <c r="AB81" i="17"/>
  <c r="AB102" i="17"/>
  <c r="AC81" i="17"/>
  <c r="AC102" i="17"/>
  <c r="AD81" i="17"/>
  <c r="AD102" i="17"/>
  <c r="C83" i="17"/>
  <c r="C104" i="17"/>
  <c r="D83" i="17"/>
  <c r="D104" i="17"/>
  <c r="E83" i="17"/>
  <c r="E104" i="17"/>
  <c r="F83" i="17"/>
  <c r="F104" i="17"/>
  <c r="G83" i="17"/>
  <c r="G104" i="17"/>
  <c r="H83" i="17"/>
  <c r="H104" i="17"/>
  <c r="I83" i="17"/>
  <c r="I104" i="17"/>
  <c r="J83" i="17"/>
  <c r="J104" i="17"/>
  <c r="K83" i="17"/>
  <c r="K104" i="17"/>
  <c r="L83" i="17"/>
  <c r="L104" i="17"/>
  <c r="M83" i="17"/>
  <c r="M104" i="17"/>
  <c r="N83" i="17"/>
  <c r="N104" i="17"/>
  <c r="O83" i="17"/>
  <c r="O104" i="17"/>
  <c r="P83" i="17"/>
  <c r="P104" i="17"/>
  <c r="Q83" i="17"/>
  <c r="Q104" i="17"/>
  <c r="R83" i="17"/>
  <c r="R104" i="17"/>
  <c r="S83" i="17"/>
  <c r="S104" i="17"/>
  <c r="T83" i="17"/>
  <c r="T104" i="17"/>
  <c r="U83" i="17"/>
  <c r="U104" i="17"/>
  <c r="V83" i="17"/>
  <c r="V104" i="17"/>
  <c r="W83" i="17"/>
  <c r="W104" i="17"/>
  <c r="X83" i="17"/>
  <c r="X104" i="17"/>
  <c r="Y83" i="17"/>
  <c r="Y104" i="17"/>
  <c r="Z83" i="17"/>
  <c r="Z104" i="17"/>
  <c r="AA83" i="17"/>
  <c r="AA104" i="17"/>
  <c r="AB83" i="17"/>
  <c r="AB104" i="17"/>
  <c r="AC83" i="17"/>
  <c r="AC104" i="17"/>
  <c r="AD83" i="17"/>
  <c r="AD104" i="17"/>
  <c r="AE83" i="17"/>
  <c r="AE104" i="17"/>
  <c r="AF83" i="17"/>
  <c r="AF104" i="17"/>
  <c r="AG83" i="17"/>
  <c r="AG104" i="17"/>
  <c r="AH83" i="17"/>
  <c r="AH104" i="17"/>
  <c r="AI83" i="17"/>
  <c r="AI104" i="17"/>
  <c r="AJ83" i="17"/>
  <c r="AJ104" i="17"/>
  <c r="AK83" i="17"/>
  <c r="AK104" i="17"/>
  <c r="C84" i="17"/>
  <c r="C105" i="17"/>
  <c r="D84" i="17"/>
  <c r="D105" i="17"/>
  <c r="E84" i="17"/>
  <c r="E105" i="17"/>
  <c r="F84" i="17"/>
  <c r="F105" i="17"/>
  <c r="G84" i="17"/>
  <c r="G105" i="17"/>
  <c r="H84" i="17"/>
  <c r="H105" i="17"/>
  <c r="I84" i="17"/>
  <c r="I105" i="17"/>
  <c r="J84" i="17"/>
  <c r="J105" i="17"/>
  <c r="K84" i="17"/>
  <c r="K105" i="17"/>
  <c r="L84" i="17"/>
  <c r="L105" i="17"/>
  <c r="M84" i="17"/>
  <c r="M105" i="17"/>
  <c r="N84" i="17"/>
  <c r="N105" i="17"/>
  <c r="O84" i="17"/>
  <c r="O105" i="17"/>
  <c r="P84" i="17"/>
  <c r="P105" i="17"/>
  <c r="Q84" i="17"/>
  <c r="Q105" i="17"/>
  <c r="R84" i="17"/>
  <c r="R105" i="17"/>
  <c r="S84" i="17"/>
  <c r="S105" i="17"/>
  <c r="T84" i="17"/>
  <c r="T105" i="17"/>
  <c r="U84" i="17"/>
  <c r="U105" i="17"/>
  <c r="V84" i="17"/>
  <c r="V105" i="17"/>
  <c r="W84" i="17"/>
  <c r="W105" i="17"/>
  <c r="X84" i="17"/>
  <c r="X105" i="17"/>
  <c r="Y84" i="17"/>
  <c r="Y105" i="17"/>
  <c r="Z84" i="17"/>
  <c r="Z105" i="17"/>
  <c r="AA84" i="17"/>
  <c r="AA105" i="17"/>
  <c r="AB84" i="17"/>
  <c r="AB105" i="17"/>
  <c r="AC84" i="17"/>
  <c r="AC105" i="17"/>
  <c r="AD84" i="17"/>
  <c r="AD105" i="17"/>
  <c r="AE84" i="17"/>
  <c r="AE105" i="17"/>
  <c r="AF84" i="17"/>
  <c r="AF105" i="17"/>
  <c r="AG84" i="17"/>
  <c r="AG105" i="17"/>
  <c r="AH84" i="17"/>
  <c r="AH105" i="17"/>
  <c r="AI84" i="17"/>
  <c r="AI105" i="17"/>
  <c r="AJ84" i="17"/>
  <c r="AJ105" i="17"/>
  <c r="AK84" i="17"/>
  <c r="AK105" i="17"/>
  <c r="C86" i="17"/>
  <c r="C107" i="17"/>
  <c r="D86" i="17"/>
  <c r="D107" i="17"/>
  <c r="E86" i="17"/>
  <c r="E107" i="17"/>
  <c r="F86" i="17"/>
  <c r="F107" i="17"/>
  <c r="G86" i="17"/>
  <c r="G107" i="17"/>
  <c r="H86" i="17"/>
  <c r="H107" i="17"/>
  <c r="I86" i="17"/>
  <c r="I107" i="17"/>
  <c r="J86" i="17"/>
  <c r="J107" i="17"/>
  <c r="K86" i="17"/>
  <c r="K107" i="17"/>
  <c r="L86" i="17"/>
  <c r="L107" i="17"/>
  <c r="M86" i="17"/>
  <c r="M107" i="17"/>
  <c r="N86" i="17"/>
  <c r="N107" i="17"/>
  <c r="O86" i="17"/>
  <c r="O107" i="17"/>
  <c r="P86" i="17"/>
  <c r="P107" i="17"/>
  <c r="Q86" i="17"/>
  <c r="Q107" i="17"/>
  <c r="R86" i="17"/>
  <c r="R107" i="17"/>
  <c r="S86" i="17"/>
  <c r="S107" i="17"/>
  <c r="T86" i="17"/>
  <c r="T107" i="17"/>
  <c r="U86" i="17"/>
  <c r="U107" i="17"/>
  <c r="V86" i="17"/>
  <c r="V107" i="17"/>
  <c r="W86" i="17"/>
  <c r="W107" i="17"/>
  <c r="X86" i="17"/>
  <c r="X107" i="17"/>
  <c r="Y86" i="17"/>
  <c r="Y107" i="17"/>
  <c r="Z86" i="17"/>
  <c r="Z107" i="17"/>
  <c r="AA86" i="17"/>
  <c r="AA107" i="17"/>
  <c r="AB86" i="17"/>
  <c r="AB107" i="17"/>
  <c r="AC86" i="17"/>
  <c r="AC107" i="17"/>
  <c r="AD86" i="17"/>
  <c r="AD107" i="17"/>
  <c r="AE86" i="17"/>
  <c r="AE107" i="17"/>
  <c r="AF86" i="17"/>
  <c r="AF107" i="17"/>
  <c r="AG86" i="17"/>
  <c r="AG107" i="17"/>
  <c r="AH86" i="17"/>
  <c r="AH107" i="17"/>
  <c r="AI86" i="17"/>
  <c r="AI107" i="17"/>
  <c r="AJ86" i="17"/>
  <c r="AJ107" i="17"/>
  <c r="AK86" i="17"/>
  <c r="AK107" i="17"/>
  <c r="B81" i="17"/>
  <c r="B102" i="17"/>
  <c r="B86" i="17"/>
  <c r="B107" i="17"/>
  <c r="B84" i="17"/>
  <c r="B105" i="17"/>
  <c r="B83" i="17"/>
  <c r="B104" i="17"/>
  <c r="B82" i="17"/>
  <c r="B103" i="17"/>
  <c r="AL4" i="17"/>
  <c r="AM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B4" i="17"/>
  <c r="B12" i="17"/>
  <c r="B108" i="17"/>
  <c r="AG12" i="17"/>
  <c r="AG28" i="17"/>
  <c r="AG37" i="17"/>
  <c r="AG80" i="17"/>
  <c r="AG90" i="17"/>
  <c r="AG101" i="17"/>
  <c r="AG55" i="17"/>
  <c r="U12" i="17"/>
  <c r="U28" i="17"/>
  <c r="U37" i="17"/>
  <c r="U80" i="17"/>
  <c r="U90" i="17"/>
  <c r="U101" i="17"/>
  <c r="U55" i="17"/>
  <c r="E12" i="17"/>
  <c r="E28" i="17"/>
  <c r="E37" i="17"/>
  <c r="E80" i="17"/>
  <c r="E90" i="17"/>
  <c r="E101" i="17"/>
  <c r="E55" i="17"/>
  <c r="AH12" i="17"/>
  <c r="AH28" i="17"/>
  <c r="AH37" i="17"/>
  <c r="AH80" i="17"/>
  <c r="AH90" i="17"/>
  <c r="AH101" i="17"/>
  <c r="AH55" i="17"/>
  <c r="AD12" i="17"/>
  <c r="AD28" i="17"/>
  <c r="AD37" i="17"/>
  <c r="AD80" i="17"/>
  <c r="AD90" i="17"/>
  <c r="AD101" i="17"/>
  <c r="AD55" i="17"/>
  <c r="Z12" i="17"/>
  <c r="Z28" i="17"/>
  <c r="Z37" i="17"/>
  <c r="Z80" i="17"/>
  <c r="Z90" i="17"/>
  <c r="Z101" i="17"/>
  <c r="Z55" i="17"/>
  <c r="V12" i="17"/>
  <c r="V28" i="17"/>
  <c r="V37" i="17"/>
  <c r="V80" i="17"/>
  <c r="V90" i="17"/>
  <c r="V101" i="17"/>
  <c r="V55" i="17"/>
  <c r="R12" i="17"/>
  <c r="R28" i="17"/>
  <c r="R37" i="17"/>
  <c r="R80" i="17"/>
  <c r="R90" i="17"/>
  <c r="R101" i="17"/>
  <c r="R55" i="17"/>
  <c r="N12" i="17"/>
  <c r="N28" i="17"/>
  <c r="N37" i="17"/>
  <c r="N80" i="17"/>
  <c r="N90" i="17"/>
  <c r="N101" i="17"/>
  <c r="N55" i="17"/>
  <c r="J12" i="17"/>
  <c r="J28" i="17"/>
  <c r="J37" i="17"/>
  <c r="J80" i="17"/>
  <c r="J90" i="17"/>
  <c r="J101" i="17"/>
  <c r="J55" i="17"/>
  <c r="F12" i="17"/>
  <c r="F28" i="17"/>
  <c r="F37" i="17"/>
  <c r="F80" i="17"/>
  <c r="F90" i="17"/>
  <c r="F101" i="17"/>
  <c r="F55" i="17"/>
  <c r="AC12" i="17"/>
  <c r="AC28" i="17"/>
  <c r="AC37" i="17"/>
  <c r="AC80" i="17"/>
  <c r="AC90" i="17"/>
  <c r="AC101" i="17"/>
  <c r="AC55" i="17"/>
  <c r="M12" i="17"/>
  <c r="M28" i="17"/>
  <c r="M37" i="17"/>
  <c r="M80" i="17"/>
  <c r="M90" i="17"/>
  <c r="M101" i="17"/>
  <c r="M55" i="17"/>
  <c r="AK12" i="17"/>
  <c r="AK28" i="17"/>
  <c r="AK37" i="17"/>
  <c r="AK80" i="17"/>
  <c r="AK90" i="17"/>
  <c r="AK101" i="17"/>
  <c r="AK55" i="17"/>
  <c r="Q12" i="17"/>
  <c r="Q28" i="17"/>
  <c r="Q37" i="17"/>
  <c r="Q80" i="17"/>
  <c r="Q90" i="17"/>
  <c r="Q101" i="17"/>
  <c r="Q55" i="17"/>
  <c r="AJ12" i="17"/>
  <c r="AJ28" i="17"/>
  <c r="AJ37" i="17"/>
  <c r="AJ80" i="17"/>
  <c r="AJ90" i="17"/>
  <c r="AJ101" i="17"/>
  <c r="AJ55" i="17"/>
  <c r="AF12" i="17"/>
  <c r="AF28" i="17"/>
  <c r="AF37" i="17"/>
  <c r="AF80" i="17"/>
  <c r="AF90" i="17"/>
  <c r="AF101" i="17"/>
  <c r="AF55" i="17"/>
  <c r="AB12" i="17"/>
  <c r="AB28" i="17"/>
  <c r="AB37" i="17"/>
  <c r="AB80" i="17"/>
  <c r="AB90" i="17"/>
  <c r="AB101" i="17"/>
  <c r="AB55" i="17"/>
  <c r="X12" i="17"/>
  <c r="X28" i="17"/>
  <c r="X37" i="17"/>
  <c r="X80" i="17"/>
  <c r="X90" i="17"/>
  <c r="X101" i="17"/>
  <c r="X55" i="17"/>
  <c r="T12" i="17"/>
  <c r="T28" i="17"/>
  <c r="T37" i="17"/>
  <c r="T80" i="17"/>
  <c r="T90" i="17"/>
  <c r="T101" i="17"/>
  <c r="T55" i="17"/>
  <c r="P12" i="17"/>
  <c r="P28" i="17"/>
  <c r="P37" i="17"/>
  <c r="P80" i="17"/>
  <c r="P90" i="17"/>
  <c r="P101" i="17"/>
  <c r="P55" i="17"/>
  <c r="L12" i="17"/>
  <c r="L28" i="17"/>
  <c r="L37" i="17"/>
  <c r="L80" i="17"/>
  <c r="L90" i="17"/>
  <c r="L101" i="17"/>
  <c r="L55" i="17"/>
  <c r="H12" i="17"/>
  <c r="H28" i="17"/>
  <c r="H37" i="17"/>
  <c r="H80" i="17"/>
  <c r="H90" i="17"/>
  <c r="H101" i="17"/>
  <c r="H55" i="17"/>
  <c r="D12" i="17"/>
  <c r="D28" i="17"/>
  <c r="D37" i="17"/>
  <c r="D80" i="17"/>
  <c r="D90" i="17"/>
  <c r="D101" i="17"/>
  <c r="D55" i="17"/>
  <c r="AM12" i="17"/>
  <c r="AM28" i="17"/>
  <c r="Y12" i="17"/>
  <c r="Y28" i="17"/>
  <c r="Y37" i="17"/>
  <c r="Y80" i="17"/>
  <c r="Y90" i="17"/>
  <c r="Y101" i="17"/>
  <c r="Y55" i="17"/>
  <c r="I12" i="17"/>
  <c r="I28" i="17"/>
  <c r="I37" i="17"/>
  <c r="I80" i="17"/>
  <c r="I90" i="17"/>
  <c r="I101" i="17"/>
  <c r="I55" i="17"/>
  <c r="AI12" i="17"/>
  <c r="AI28" i="17"/>
  <c r="AI37" i="17"/>
  <c r="AI80" i="17"/>
  <c r="AI90" i="17"/>
  <c r="AI101" i="17"/>
  <c r="AI55" i="17"/>
  <c r="AE12" i="17"/>
  <c r="AE28" i="17"/>
  <c r="AE37" i="17"/>
  <c r="AE80" i="17"/>
  <c r="AE90" i="17"/>
  <c r="AE101" i="17"/>
  <c r="AE55" i="17"/>
  <c r="AA12" i="17"/>
  <c r="AA28" i="17"/>
  <c r="AA37" i="17"/>
  <c r="AA80" i="17"/>
  <c r="AA90" i="17"/>
  <c r="AA101" i="17"/>
  <c r="AA55" i="17"/>
  <c r="W12" i="17"/>
  <c r="W28" i="17"/>
  <c r="W37" i="17"/>
  <c r="W80" i="17"/>
  <c r="W90" i="17"/>
  <c r="W101" i="17"/>
  <c r="W55" i="17"/>
  <c r="S12" i="17"/>
  <c r="S28" i="17"/>
  <c r="S37" i="17"/>
  <c r="S80" i="17"/>
  <c r="S90" i="17"/>
  <c r="S101" i="17"/>
  <c r="S55" i="17"/>
  <c r="O12" i="17"/>
  <c r="O28" i="17"/>
  <c r="O37" i="17"/>
  <c r="O80" i="17"/>
  <c r="O90" i="17"/>
  <c r="O101" i="17"/>
  <c r="O55" i="17"/>
  <c r="K12" i="17"/>
  <c r="K28" i="17"/>
  <c r="K37" i="17"/>
  <c r="K80" i="17"/>
  <c r="K90" i="17"/>
  <c r="K101" i="17"/>
  <c r="K55" i="17"/>
  <c r="G12" i="17"/>
  <c r="G28" i="17"/>
  <c r="G37" i="17"/>
  <c r="G80" i="17"/>
  <c r="G90" i="17"/>
  <c r="G101" i="17"/>
  <c r="G55" i="17"/>
  <c r="C12" i="17"/>
  <c r="C28" i="17"/>
  <c r="C37" i="17"/>
  <c r="C80" i="17"/>
  <c r="C90" i="17"/>
  <c r="C101" i="17"/>
  <c r="C55" i="17"/>
  <c r="AL12" i="17"/>
  <c r="AL28" i="17"/>
  <c r="AL37" i="17"/>
  <c r="AL80" i="17"/>
  <c r="AL90" i="17"/>
  <c r="AL101" i="17"/>
  <c r="AL55" i="17"/>
  <c r="B87" i="17"/>
  <c r="B95" i="17"/>
  <c r="B28" i="17"/>
  <c r="B37" i="17"/>
  <c r="B80" i="17"/>
  <c r="AM37" i="17"/>
  <c r="AM80" i="17"/>
  <c r="AM90" i="17"/>
  <c r="AM101" i="17"/>
  <c r="AM55" i="17"/>
  <c r="B94" i="17"/>
  <c r="B90" i="17"/>
  <c r="B101" i="17"/>
  <c r="B55" i="17"/>
  <c r="B93" i="17"/>
  <c r="B96" i="17"/>
  <c r="B92" i="17"/>
  <c r="B91" i="17"/>
  <c r="B97" i="17"/>
  <c r="AA19" i="6"/>
  <c r="AA18" i="6"/>
  <c r="Z18" i="6"/>
  <c r="AA17" i="6"/>
  <c r="Z17" i="6"/>
  <c r="Y17" i="6"/>
  <c r="AA16" i="6"/>
  <c r="Z16" i="6"/>
  <c r="Y16" i="6"/>
  <c r="X16" i="6"/>
  <c r="AA15" i="6"/>
  <c r="Z15" i="6"/>
  <c r="Y15" i="6"/>
  <c r="X15" i="6"/>
  <c r="W15" i="6"/>
  <c r="AA14" i="6"/>
  <c r="Z14" i="6"/>
  <c r="Y14" i="6"/>
  <c r="X14" i="6"/>
  <c r="W14" i="6"/>
  <c r="V14" i="6"/>
  <c r="H12" i="6"/>
  <c r="B8" i="6"/>
  <c r="B10" i="6"/>
  <c r="B5" i="6"/>
  <c r="C22" i="5"/>
  <c r="B22" i="5"/>
  <c r="B24" i="5"/>
  <c r="B14" i="5"/>
  <c r="B13" i="5"/>
  <c r="C24" i="14"/>
  <c r="C21" i="14"/>
  <c r="C18" i="14"/>
  <c r="C17" i="14"/>
  <c r="C16" i="14"/>
  <c r="C12" i="14"/>
  <c r="C11" i="14"/>
  <c r="AM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C10" i="14"/>
  <c r="C9" i="14"/>
  <c r="C8" i="14"/>
  <c r="C7" i="14"/>
  <c r="AM15" i="2"/>
  <c r="C5" i="14"/>
  <c r="C34" i="3"/>
  <c r="C33" i="3"/>
  <c r="C32" i="3"/>
  <c r="C24" i="3"/>
  <c r="D24" i="3"/>
  <c r="B24" i="3"/>
  <c r="D22" i="3"/>
  <c r="D21" i="3"/>
  <c r="C21" i="3"/>
  <c r="D17" i="3"/>
  <c r="C17" i="3"/>
  <c r="D16" i="3"/>
  <c r="D15" i="3"/>
  <c r="C15" i="3"/>
  <c r="D14" i="3"/>
  <c r="C13" i="3"/>
  <c r="D13" i="3"/>
  <c r="D7" i="3"/>
  <c r="D6" i="3"/>
  <c r="C30" i="3"/>
  <c r="C6" i="3"/>
  <c r="B5" i="3"/>
  <c r="C4" i="3"/>
  <c r="D4" i="3"/>
  <c r="C3" i="3"/>
  <c r="D3" i="3"/>
  <c r="D38" i="2"/>
  <c r="B38" i="2"/>
  <c r="G37" i="2"/>
  <c r="F37" i="2"/>
  <c r="E37" i="2"/>
  <c r="C37" i="2"/>
  <c r="G36" i="2"/>
  <c r="F36" i="2"/>
  <c r="E36" i="2"/>
  <c r="C36" i="2"/>
  <c r="G35" i="2"/>
  <c r="F35" i="2"/>
  <c r="F38" i="2"/>
  <c r="E35" i="2"/>
  <c r="C35" i="2"/>
  <c r="AO28" i="2"/>
  <c r="AN28" i="2"/>
  <c r="B17" i="7"/>
  <c r="AR26" i="2"/>
  <c r="AO26" i="2"/>
  <c r="AR25" i="2"/>
  <c r="AO25" i="2"/>
  <c r="AN25" i="2"/>
  <c r="E45" i="1"/>
  <c r="AR22" i="2"/>
  <c r="C19" i="3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R21" i="2"/>
  <c r="C23" i="3"/>
  <c r="D23" i="3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S18" i="2"/>
  <c r="AR18" i="2"/>
  <c r="C16" i="3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R17" i="2"/>
  <c r="C18" i="3"/>
  <c r="D18" i="3"/>
  <c r="AO17" i="2"/>
  <c r="AN17" i="2"/>
  <c r="AR16" i="2"/>
  <c r="C12" i="3"/>
  <c r="D12" i="3"/>
  <c r="AO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U15" i="2"/>
  <c r="AS15" i="2"/>
  <c r="B15" i="2"/>
  <c r="AR14" i="2"/>
  <c r="C22" i="3"/>
  <c r="AR13" i="2"/>
  <c r="C7" i="3"/>
  <c r="AO13" i="2"/>
  <c r="AN13" i="2"/>
  <c r="AR12" i="2"/>
  <c r="C8" i="3"/>
  <c r="D8" i="3"/>
  <c r="AO12" i="2"/>
  <c r="AN12" i="2"/>
  <c r="AS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R10" i="2"/>
  <c r="C20" i="3"/>
  <c r="D20" i="3"/>
  <c r="AO10" i="2"/>
  <c r="AN10" i="2"/>
  <c r="AR9" i="2"/>
  <c r="C11" i="3"/>
  <c r="D11" i="3"/>
  <c r="AO9" i="2"/>
  <c r="AN9" i="2"/>
  <c r="AS8" i="2"/>
  <c r="AR7" i="2"/>
  <c r="C10" i="3"/>
  <c r="D10" i="3"/>
  <c r="AO7" i="2"/>
  <c r="AN7" i="2"/>
  <c r="AR6" i="2"/>
  <c r="C9" i="3"/>
  <c r="AO6" i="2"/>
  <c r="AN6" i="2"/>
  <c r="AR5" i="2"/>
  <c r="C25" i="3"/>
  <c r="D25" i="3"/>
  <c r="AO5" i="2"/>
  <c r="AN5" i="2"/>
  <c r="AR4" i="2"/>
  <c r="AO4" i="2"/>
  <c r="AN4" i="2"/>
  <c r="AR3" i="2"/>
  <c r="C2" i="3"/>
  <c r="D2" i="3"/>
  <c r="AO3" i="2"/>
  <c r="AN3" i="2"/>
  <c r="AD81" i="7"/>
  <c r="AJ80" i="7"/>
  <c r="AF80" i="7"/>
  <c r="AM78" i="7"/>
  <c r="AI78" i="7"/>
  <c r="AE78" i="7"/>
  <c r="AA78" i="7"/>
  <c r="AL76" i="7"/>
  <c r="AH76" i="7"/>
  <c r="AD76" i="7"/>
  <c r="Z76" i="7"/>
  <c r="AG75" i="7"/>
  <c r="AK74" i="7"/>
  <c r="AG74" i="7"/>
  <c r="AC74" i="7"/>
  <c r="Y74" i="7"/>
  <c r="AJ72" i="7"/>
  <c r="AF72" i="7"/>
  <c r="AB72" i="7"/>
  <c r="X72" i="7"/>
  <c r="AM71" i="7"/>
  <c r="AM70" i="7"/>
  <c r="AI70" i="7"/>
  <c r="AE70" i="7"/>
  <c r="AA70" i="7"/>
  <c r="W70" i="7"/>
  <c r="S70" i="7"/>
  <c r="X69" i="7"/>
  <c r="AL68" i="7"/>
  <c r="AH68" i="7"/>
  <c r="AD68" i="7"/>
  <c r="Z68" i="7"/>
  <c r="V68" i="7"/>
  <c r="R68" i="7"/>
  <c r="AK66" i="7"/>
  <c r="AG66" i="7"/>
  <c r="AC66" i="7"/>
  <c r="Y66" i="7"/>
  <c r="U66" i="7"/>
  <c r="Q66" i="7"/>
  <c r="AL65" i="7"/>
  <c r="AJ64" i="7"/>
  <c r="AF64" i="7"/>
  <c r="AB64" i="7"/>
  <c r="X64" i="7"/>
  <c r="T64" i="7"/>
  <c r="P64" i="7"/>
  <c r="AI63" i="7"/>
  <c r="AM62" i="7"/>
  <c r="AI62" i="7"/>
  <c r="AE62" i="7"/>
  <c r="AA62" i="7"/>
  <c r="W62" i="7"/>
  <c r="S62" i="7"/>
  <c r="O62" i="7"/>
  <c r="K62" i="7"/>
  <c r="AB61" i="7"/>
  <c r="AB56" i="7"/>
  <c r="Z56" i="7"/>
  <c r="X56" i="7"/>
  <c r="V56" i="7"/>
  <c r="T56" i="7"/>
  <c r="R56" i="7"/>
  <c r="P56" i="7"/>
  <c r="N56" i="7"/>
  <c r="L56" i="7"/>
  <c r="AJ55" i="7"/>
  <c r="AF55" i="7"/>
  <c r="AC55" i="7"/>
  <c r="AA55" i="7"/>
  <c r="Y55" i="7"/>
  <c r="W55" i="7"/>
  <c r="V55" i="7"/>
  <c r="S55" i="7"/>
  <c r="R55" i="7"/>
  <c r="Q55" i="7"/>
  <c r="N55" i="7"/>
  <c r="M55" i="7"/>
  <c r="K55" i="7"/>
  <c r="I55" i="7"/>
  <c r="G55" i="7"/>
  <c r="F55" i="7"/>
  <c r="C55" i="7"/>
  <c r="B55" i="7"/>
  <c r="B54" i="7"/>
  <c r="AM53" i="7"/>
  <c r="AM52" i="7"/>
  <c r="AL52" i="7"/>
  <c r="AK52" i="7"/>
  <c r="AJ52" i="7"/>
  <c r="AI52" i="7"/>
  <c r="AH52" i="7"/>
  <c r="AG52" i="7"/>
  <c r="AF52" i="7"/>
  <c r="AE52" i="7"/>
  <c r="AD52" i="7"/>
  <c r="AD56" i="7"/>
  <c r="AC52" i="7"/>
  <c r="AC56" i="7"/>
  <c r="AB52" i="7"/>
  <c r="AA52" i="7"/>
  <c r="AA56" i="7"/>
  <c r="Z52" i="7"/>
  <c r="Y52" i="7"/>
  <c r="Y56" i="7"/>
  <c r="X52" i="7"/>
  <c r="W52" i="7"/>
  <c r="W56" i="7"/>
  <c r="V52" i="7"/>
  <c r="U52" i="7"/>
  <c r="U56" i="7"/>
  <c r="T52" i="7"/>
  <c r="S52" i="7"/>
  <c r="S56" i="7"/>
  <c r="R52" i="7"/>
  <c r="Q52" i="7"/>
  <c r="Q56" i="7"/>
  <c r="P52" i="7"/>
  <c r="O52" i="7"/>
  <c r="O56" i="7"/>
  <c r="N52" i="7"/>
  <c r="M52" i="7"/>
  <c r="M56" i="7"/>
  <c r="L52" i="7"/>
  <c r="K52" i="7"/>
  <c r="J52" i="7"/>
  <c r="I52" i="7"/>
  <c r="H52" i="7"/>
  <c r="G52" i="7"/>
  <c r="F52" i="7"/>
  <c r="F56" i="7"/>
  <c r="E52" i="7"/>
  <c r="E56" i="7"/>
  <c r="D52" i="7"/>
  <c r="D56" i="7"/>
  <c r="C52" i="7"/>
  <c r="C56" i="7"/>
  <c r="B52" i="7"/>
  <c r="B56" i="7"/>
  <c r="AD51" i="7"/>
  <c r="AC51" i="7"/>
  <c r="AH80" i="7"/>
  <c r="AB51" i="7"/>
  <c r="AA51" i="7"/>
  <c r="Z51" i="7"/>
  <c r="Y51" i="7"/>
  <c r="AJ76" i="7"/>
  <c r="X51" i="7"/>
  <c r="W51" i="7"/>
  <c r="V51" i="7"/>
  <c r="AH73" i="7"/>
  <c r="U51" i="7"/>
  <c r="AL72" i="7"/>
  <c r="T51" i="7"/>
  <c r="S51" i="7"/>
  <c r="R51" i="7"/>
  <c r="Q51" i="7"/>
  <c r="AF68" i="7"/>
  <c r="P51" i="7"/>
  <c r="O51" i="7"/>
  <c r="N51" i="7"/>
  <c r="V65" i="7"/>
  <c r="M51" i="7"/>
  <c r="AH64" i="7"/>
  <c r="L51" i="7"/>
  <c r="K51" i="7"/>
  <c r="J51" i="7"/>
  <c r="I51" i="7"/>
  <c r="H51" i="7"/>
  <c r="G51" i="7"/>
  <c r="F51" i="7"/>
  <c r="E51" i="7"/>
  <c r="D51" i="7"/>
  <c r="C51" i="7"/>
  <c r="AM50" i="7"/>
  <c r="AE50" i="7"/>
  <c r="AF50" i="7"/>
  <c r="AG50" i="7"/>
  <c r="AH50" i="7"/>
  <c r="AI50" i="7"/>
  <c r="AJ50" i="7"/>
  <c r="AK50" i="7"/>
  <c r="AL50" i="7"/>
  <c r="AM49" i="7"/>
  <c r="S49" i="7"/>
  <c r="B49" i="7"/>
  <c r="AM48" i="7"/>
  <c r="AM42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AL39" i="7"/>
  <c r="AM19" i="7"/>
  <c r="AM18" i="7"/>
  <c r="B18" i="7"/>
  <c r="AM17" i="7"/>
  <c r="S17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M15" i="7"/>
  <c r="AM7" i="7"/>
  <c r="AM10" i="7"/>
  <c r="AM6" i="7"/>
  <c r="AM5" i="7"/>
  <c r="S6" i="7"/>
  <c r="S5" i="7"/>
  <c r="B5" i="7"/>
  <c r="B6" i="7"/>
  <c r="AL4" i="7"/>
  <c r="AM3" i="7"/>
  <c r="AL3" i="7"/>
  <c r="AM4" i="7"/>
  <c r="AK3" i="7"/>
  <c r="AE3" i="7"/>
  <c r="AF3" i="7"/>
  <c r="AG3" i="7"/>
  <c r="AH3" i="7"/>
  <c r="AI3" i="7"/>
  <c r="AJ3" i="7"/>
  <c r="M3" i="7"/>
  <c r="Z108" i="12"/>
  <c r="R108" i="12"/>
  <c r="J108" i="12"/>
  <c r="AM107" i="12"/>
  <c r="AM108" i="12"/>
  <c r="AL107" i="12"/>
  <c r="AL108" i="12"/>
  <c r="AO50" i="4"/>
  <c r="AJ107" i="12"/>
  <c r="AJ108" i="12"/>
  <c r="AH107" i="12"/>
  <c r="AK51" i="4"/>
  <c r="AF107" i="12"/>
  <c r="AF108" i="12"/>
  <c r="AD107" i="12"/>
  <c r="AB107" i="12"/>
  <c r="AB108" i="12"/>
  <c r="Z107" i="12"/>
  <c r="AC51" i="4"/>
  <c r="X107" i="12"/>
  <c r="X108" i="12"/>
  <c r="V107" i="12"/>
  <c r="T107" i="12"/>
  <c r="T108" i="12"/>
  <c r="R107" i="12"/>
  <c r="U51" i="4"/>
  <c r="P107" i="12"/>
  <c r="P108" i="12"/>
  <c r="N107" i="12"/>
  <c r="L107" i="12"/>
  <c r="L108" i="12"/>
  <c r="J107" i="12"/>
  <c r="M51" i="4"/>
  <c r="H107" i="12"/>
  <c r="H108" i="12"/>
  <c r="F107" i="12"/>
  <c r="D107" i="12"/>
  <c r="D108" i="12"/>
  <c r="B107" i="12"/>
  <c r="E51" i="4"/>
  <c r="AM105" i="12"/>
  <c r="AI107" i="12"/>
  <c r="AI108" i="12"/>
  <c r="AM103" i="12"/>
  <c r="S103" i="12"/>
  <c r="B103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B102" i="12"/>
  <c r="AM95" i="12"/>
  <c r="AP45" i="4"/>
  <c r="AP44" i="4"/>
  <c r="AM94" i="12"/>
  <c r="AP46" i="4"/>
  <c r="AK94" i="12"/>
  <c r="AC94" i="12"/>
  <c r="Y94" i="12"/>
  <c r="U94" i="12"/>
  <c r="M94" i="12"/>
  <c r="I94" i="12"/>
  <c r="E94" i="12"/>
  <c r="AM92" i="12"/>
  <c r="S92" i="12"/>
  <c r="B92" i="12"/>
  <c r="AM90" i="12"/>
  <c r="S90" i="12"/>
  <c r="B90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B89" i="12"/>
  <c r="AM82" i="12"/>
  <c r="AM78" i="12"/>
  <c r="S78" i="12"/>
  <c r="B78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M71" i="12"/>
  <c r="Z71" i="12"/>
  <c r="AC33" i="4"/>
  <c r="AC32" i="4"/>
  <c r="AM70" i="12"/>
  <c r="AL70" i="12"/>
  <c r="AO34" i="4"/>
  <c r="AJ70" i="12"/>
  <c r="AM34" i="4"/>
  <c r="AH70" i="12"/>
  <c r="AK34" i="4"/>
  <c r="AF70" i="12"/>
  <c r="AI34" i="4"/>
  <c r="AD70" i="12"/>
  <c r="AG34" i="4"/>
  <c r="AB70" i="12"/>
  <c r="AE34" i="4"/>
  <c r="Z70" i="12"/>
  <c r="AC34" i="4"/>
  <c r="X70" i="12"/>
  <c r="AA34" i="4"/>
  <c r="V70" i="12"/>
  <c r="Y34" i="4"/>
  <c r="T70" i="12"/>
  <c r="W34" i="4"/>
  <c r="R70" i="12"/>
  <c r="U34" i="4"/>
  <c r="P70" i="12"/>
  <c r="S34" i="4"/>
  <c r="N70" i="12"/>
  <c r="Q34" i="4"/>
  <c r="L70" i="12"/>
  <c r="O34" i="4"/>
  <c r="J70" i="12"/>
  <c r="M34" i="4"/>
  <c r="H70" i="12"/>
  <c r="K34" i="4"/>
  <c r="F70" i="12"/>
  <c r="I34" i="4"/>
  <c r="D70" i="12"/>
  <c r="G34" i="4"/>
  <c r="B70" i="12"/>
  <c r="E34" i="4"/>
  <c r="AM68" i="12"/>
  <c r="AK70" i="12"/>
  <c r="AK71" i="12"/>
  <c r="AM66" i="12"/>
  <c r="S66" i="12"/>
  <c r="B66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B65" i="12"/>
  <c r="AM60" i="12"/>
  <c r="AP29" i="4"/>
  <c r="AP28" i="4"/>
  <c r="AM59" i="12"/>
  <c r="AK59" i="12"/>
  <c r="AC59" i="12"/>
  <c r="Y59" i="12"/>
  <c r="U59" i="12"/>
  <c r="M59" i="12"/>
  <c r="I59" i="12"/>
  <c r="E59" i="12"/>
  <c r="AM57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C56" i="12"/>
  <c r="B54" i="12"/>
  <c r="AG50" i="12"/>
  <c r="W49" i="12"/>
  <c r="O49" i="12"/>
  <c r="G49" i="12"/>
  <c r="AM47" i="12"/>
  <c r="AP25" i="4"/>
  <c r="AM45" i="12"/>
  <c r="AK45" i="12"/>
  <c r="AK50" i="12"/>
  <c r="AG45" i="12"/>
  <c r="AE45" i="12"/>
  <c r="AE50" i="12"/>
  <c r="AH26" i="4"/>
  <c r="AC45" i="12"/>
  <c r="AC50" i="12"/>
  <c r="Y45" i="12"/>
  <c r="Y50" i="12"/>
  <c r="W45" i="12"/>
  <c r="W50" i="12"/>
  <c r="Z26" i="4"/>
  <c r="U45" i="12"/>
  <c r="U50" i="12"/>
  <c r="S45" i="12"/>
  <c r="S50" i="12"/>
  <c r="V26" i="4"/>
  <c r="Q45" i="12"/>
  <c r="Q50" i="12"/>
  <c r="O45" i="12"/>
  <c r="O50" i="12"/>
  <c r="R26" i="4"/>
  <c r="M45" i="12"/>
  <c r="M50" i="12"/>
  <c r="K45" i="12"/>
  <c r="K50" i="12"/>
  <c r="N26" i="4"/>
  <c r="I45" i="12"/>
  <c r="I50" i="12"/>
  <c r="G45" i="12"/>
  <c r="G50" i="12"/>
  <c r="J26" i="4"/>
  <c r="E45" i="12"/>
  <c r="E50" i="12"/>
  <c r="C45" i="12"/>
  <c r="C50" i="12"/>
  <c r="F26" i="4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D43" i="12"/>
  <c r="E43" i="12"/>
  <c r="F43" i="12"/>
  <c r="G43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C43" i="12"/>
  <c r="B41" i="12"/>
  <c r="AM33" i="12"/>
  <c r="AM29" i="12"/>
  <c r="B29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B28" i="12"/>
  <c r="AL21" i="12"/>
  <c r="AO13" i="4"/>
  <c r="AO12" i="4"/>
  <c r="AL21" i="16"/>
  <c r="AD21" i="12"/>
  <c r="V21" i="12"/>
  <c r="N21" i="12"/>
  <c r="F21" i="12"/>
  <c r="AM20" i="12"/>
  <c r="AM21" i="12"/>
  <c r="AL20" i="12"/>
  <c r="AJ20" i="12"/>
  <c r="AJ21" i="12"/>
  <c r="AM13" i="4"/>
  <c r="AM12" i="4"/>
  <c r="AJ21" i="16"/>
  <c r="AH20" i="12"/>
  <c r="AH21" i="12"/>
  <c r="AK13" i="4"/>
  <c r="AK12" i="4"/>
  <c r="AH21" i="16"/>
  <c r="AF20" i="12"/>
  <c r="AF21" i="12"/>
  <c r="AI13" i="4"/>
  <c r="AI12" i="4"/>
  <c r="AF21" i="16"/>
  <c r="AD20" i="12"/>
  <c r="AB20" i="12"/>
  <c r="AB21" i="12"/>
  <c r="AE13" i="4"/>
  <c r="AE12" i="4"/>
  <c r="AB21" i="16"/>
  <c r="Z20" i="12"/>
  <c r="Z21" i="12"/>
  <c r="AC13" i="4"/>
  <c r="AC12" i="4"/>
  <c r="Z21" i="16"/>
  <c r="X20" i="12"/>
  <c r="X21" i="12"/>
  <c r="AA13" i="4"/>
  <c r="AA12" i="4"/>
  <c r="X21" i="16"/>
  <c r="V20" i="12"/>
  <c r="T20" i="12"/>
  <c r="T21" i="12"/>
  <c r="W13" i="4"/>
  <c r="W12" i="4"/>
  <c r="T21" i="16"/>
  <c r="R20" i="12"/>
  <c r="R21" i="12"/>
  <c r="U13" i="4"/>
  <c r="U12" i="4"/>
  <c r="R21" i="16"/>
  <c r="P20" i="12"/>
  <c r="P21" i="12"/>
  <c r="S13" i="4"/>
  <c r="S12" i="4"/>
  <c r="P21" i="16"/>
  <c r="N20" i="12"/>
  <c r="L20" i="12"/>
  <c r="L21" i="12"/>
  <c r="O13" i="4"/>
  <c r="O12" i="4"/>
  <c r="L21" i="16"/>
  <c r="J20" i="12"/>
  <c r="J21" i="12"/>
  <c r="M13" i="4"/>
  <c r="M12" i="4"/>
  <c r="J21" i="16"/>
  <c r="H20" i="12"/>
  <c r="H21" i="12"/>
  <c r="K13" i="4"/>
  <c r="K12" i="4"/>
  <c r="H21" i="16"/>
  <c r="F20" i="12"/>
  <c r="D20" i="12"/>
  <c r="D21" i="12"/>
  <c r="G13" i="4"/>
  <c r="G12" i="4"/>
  <c r="D21" i="16"/>
  <c r="B20" i="12"/>
  <c r="B21" i="12"/>
  <c r="E13" i="4"/>
  <c r="E12" i="4"/>
  <c r="B21" i="16"/>
  <c r="AM18" i="12"/>
  <c r="AK20" i="12"/>
  <c r="AK21" i="12"/>
  <c r="AM16" i="12"/>
  <c r="S16" i="12"/>
  <c r="B16" i="12"/>
  <c r="AM15" i="12"/>
  <c r="AL15" i="12"/>
  <c r="AL3" i="16"/>
  <c r="AK15" i="12"/>
  <c r="AJ15" i="12"/>
  <c r="AJ3" i="16"/>
  <c r="AI15" i="12"/>
  <c r="AH15" i="12"/>
  <c r="AH3" i="16"/>
  <c r="AG15" i="12"/>
  <c r="AF15" i="12"/>
  <c r="AF3" i="16"/>
  <c r="AE15" i="12"/>
  <c r="AD15" i="12"/>
  <c r="AD3" i="16"/>
  <c r="AC15" i="12"/>
  <c r="AB15" i="12"/>
  <c r="AB3" i="16"/>
  <c r="AA15" i="12"/>
  <c r="Z15" i="12"/>
  <c r="Z3" i="16"/>
  <c r="Y15" i="12"/>
  <c r="X15" i="12"/>
  <c r="X3" i="16"/>
  <c r="W15" i="12"/>
  <c r="V15" i="12"/>
  <c r="V3" i="16"/>
  <c r="U15" i="12"/>
  <c r="T15" i="12"/>
  <c r="T3" i="16"/>
  <c r="S15" i="12"/>
  <c r="R15" i="12"/>
  <c r="R3" i="16"/>
  <c r="Q15" i="12"/>
  <c r="P15" i="12"/>
  <c r="P3" i="16"/>
  <c r="O15" i="12"/>
  <c r="N15" i="12"/>
  <c r="N3" i="16"/>
  <c r="M15" i="12"/>
  <c r="L15" i="12"/>
  <c r="G15" i="12"/>
  <c r="H15" i="12"/>
  <c r="I15" i="12"/>
  <c r="J15" i="12"/>
  <c r="K15" i="12"/>
  <c r="B15" i="12"/>
  <c r="C17" i="12"/>
  <c r="D17" i="12"/>
  <c r="E17" i="12"/>
  <c r="F17" i="12"/>
  <c r="AM9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D6" i="12"/>
  <c r="E6" i="12"/>
  <c r="F6" i="12"/>
  <c r="G6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C6" i="12"/>
  <c r="B4" i="12"/>
  <c r="AP46" i="1"/>
  <c r="V45" i="1"/>
  <c r="AP4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0" i="1"/>
  <c r="C30" i="1"/>
  <c r="B30" i="1"/>
  <c r="V27" i="1"/>
  <c r="AP26" i="1"/>
  <c r="V26" i="1"/>
  <c r="B26" i="1"/>
  <c r="AM23" i="1"/>
  <c r="AA23" i="1"/>
  <c r="Z23" i="1"/>
  <c r="Y23" i="1"/>
  <c r="X23" i="1"/>
  <c r="W23" i="1"/>
  <c r="V23" i="1"/>
  <c r="U23" i="1"/>
  <c r="AP23" i="1"/>
  <c r="AP20" i="1"/>
  <c r="C40" i="3"/>
  <c r="T23" i="1"/>
  <c r="AO23" i="1"/>
  <c r="S23" i="1"/>
  <c r="R23" i="1"/>
  <c r="Q23" i="1"/>
  <c r="AL23" i="1"/>
  <c r="P23" i="1"/>
  <c r="AK23" i="1"/>
  <c r="O23" i="1"/>
  <c r="N23" i="1"/>
  <c r="AI23" i="1"/>
  <c r="B20" i="1"/>
  <c r="E16" i="1"/>
  <c r="E11" i="1"/>
  <c r="AP9" i="1"/>
  <c r="AN9" i="1"/>
  <c r="AH9" i="1"/>
  <c r="P9" i="1"/>
  <c r="P4" i="1"/>
  <c r="AP5" i="1"/>
  <c r="AP4" i="1"/>
  <c r="AN4" i="1"/>
  <c r="AH4" i="1"/>
  <c r="AP51" i="4"/>
  <c r="AO51" i="4"/>
  <c r="AM51" i="4"/>
  <c r="AL51" i="4"/>
  <c r="AI51" i="4"/>
  <c r="AE51" i="4"/>
  <c r="AA51" i="4"/>
  <c r="W51" i="4"/>
  <c r="S51" i="4"/>
  <c r="O51" i="4"/>
  <c r="K51" i="4"/>
  <c r="G51" i="4"/>
  <c r="AP50" i="4"/>
  <c r="AM50" i="4"/>
  <c r="AM49" i="4"/>
  <c r="AJ65" i="16"/>
  <c r="AL50" i="4"/>
  <c r="AI50" i="4"/>
  <c r="AE50" i="4"/>
  <c r="AC50" i="4"/>
  <c r="AC49" i="4"/>
  <c r="Z65" i="16"/>
  <c r="AA50" i="4"/>
  <c r="W50" i="4"/>
  <c r="U50" i="4"/>
  <c r="U49" i="4"/>
  <c r="R65" i="16"/>
  <c r="S50" i="4"/>
  <c r="O50" i="4"/>
  <c r="M50" i="4"/>
  <c r="M49" i="4"/>
  <c r="J65" i="16"/>
  <c r="K50" i="4"/>
  <c r="G50" i="4"/>
  <c r="AP49" i="4"/>
  <c r="AO49" i="4"/>
  <c r="AL65" i="16"/>
  <c r="AL49" i="4"/>
  <c r="AI49" i="4"/>
  <c r="AF65" i="16"/>
  <c r="AA49" i="4"/>
  <c r="X65" i="16"/>
  <c r="S49" i="4"/>
  <c r="P65" i="16"/>
  <c r="K49" i="4"/>
  <c r="H65" i="16"/>
  <c r="AP34" i="4"/>
  <c r="AN34" i="4"/>
  <c r="AP33" i="4"/>
  <c r="AN33" i="4"/>
  <c r="AN32" i="4"/>
  <c r="AP30" i="4"/>
  <c r="AP14" i="4"/>
  <c r="AO14" i="4"/>
  <c r="AN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AP13" i="4"/>
  <c r="AN13" i="4"/>
  <c r="AG13" i="4"/>
  <c r="AG12" i="4"/>
  <c r="AD21" i="16"/>
  <c r="Y13" i="4"/>
  <c r="Y12" i="4"/>
  <c r="V21" i="16"/>
  <c r="Q13" i="4"/>
  <c r="Q12" i="4"/>
  <c r="N21" i="16"/>
  <c r="I13" i="4"/>
  <c r="I12" i="4"/>
  <c r="F21" i="16"/>
  <c r="AP12" i="4"/>
  <c r="AN12" i="4"/>
  <c r="AH5" i="4"/>
  <c r="Z5" i="4"/>
  <c r="V5" i="4"/>
  <c r="R5" i="4"/>
  <c r="N5" i="4"/>
  <c r="J5" i="4"/>
  <c r="F5" i="4"/>
  <c r="A67" i="16"/>
  <c r="A66" i="16"/>
  <c r="AM65" i="16"/>
  <c r="AI65" i="16"/>
  <c r="A65" i="16"/>
  <c r="A54" i="16"/>
  <c r="A26" i="16"/>
  <c r="A64" i="16"/>
  <c r="AM63" i="16"/>
  <c r="A63" i="16"/>
  <c r="A52" i="16"/>
  <c r="A24" i="16"/>
  <c r="AK62" i="16"/>
  <c r="A60" i="16"/>
  <c r="A59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M56" i="16"/>
  <c r="S56" i="16"/>
  <c r="B56" i="16"/>
  <c r="A56" i="16"/>
  <c r="AM55" i="16"/>
  <c r="S55" i="16"/>
  <c r="B55" i="16"/>
  <c r="A55" i="16"/>
  <c r="AM54" i="16"/>
  <c r="S54" i="16"/>
  <c r="B54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53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M51" i="16"/>
  <c r="S51" i="16"/>
  <c r="B51" i="16"/>
  <c r="A51" i="16"/>
  <c r="AM50" i="16"/>
  <c r="B50" i="16"/>
  <c r="AM49" i="16"/>
  <c r="S49" i="16"/>
  <c r="B49" i="16"/>
  <c r="A49" i="16"/>
  <c r="A48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28" i="16"/>
  <c r="A27" i="16"/>
  <c r="AM26" i="16"/>
  <c r="AL26" i="16"/>
  <c r="AJ26" i="16"/>
  <c r="AI26" i="16"/>
  <c r="AF26" i="16"/>
  <c r="Z26" i="16"/>
  <c r="X26" i="16"/>
  <c r="R26" i="16"/>
  <c r="P26" i="16"/>
  <c r="J26" i="16"/>
  <c r="H26" i="16"/>
  <c r="A25" i="16"/>
  <c r="AM24" i="16"/>
  <c r="AK23" i="16"/>
  <c r="A23" i="16"/>
  <c r="A22" i="16"/>
  <c r="AM21" i="16"/>
  <c r="AK21" i="16"/>
  <c r="A21" i="16"/>
  <c r="A20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M3" i="16"/>
  <c r="AK3" i="16"/>
  <c r="AK82" i="17"/>
  <c r="AK103" i="17"/>
  <c r="AI3" i="16"/>
  <c r="AG3" i="16"/>
  <c r="AG82" i="17"/>
  <c r="AG103" i="17"/>
  <c r="AE3" i="16"/>
  <c r="AC3" i="16"/>
  <c r="AC82" i="17"/>
  <c r="AA3" i="16"/>
  <c r="Y3" i="16"/>
  <c r="Y82" i="17"/>
  <c r="W3" i="16"/>
  <c r="U3" i="16"/>
  <c r="U82" i="17"/>
  <c r="S3" i="16"/>
  <c r="Q3" i="16"/>
  <c r="Q82" i="17"/>
  <c r="O3" i="16"/>
  <c r="M3" i="16"/>
  <c r="M82" i="17"/>
  <c r="F3" i="16"/>
  <c r="F82" i="17"/>
  <c r="E3" i="16"/>
  <c r="E82" i="17"/>
  <c r="D3" i="16"/>
  <c r="D82" i="17"/>
  <c r="C3" i="16"/>
  <c r="C82" i="17"/>
  <c r="N60" i="16"/>
  <c r="N82" i="17"/>
  <c r="R60" i="16"/>
  <c r="R82" i="17"/>
  <c r="V60" i="16"/>
  <c r="V82" i="17"/>
  <c r="Z60" i="16"/>
  <c r="Z82" i="17"/>
  <c r="AD60" i="16"/>
  <c r="AD82" i="17"/>
  <c r="AH60" i="16"/>
  <c r="AH82" i="17"/>
  <c r="AH103" i="17"/>
  <c r="AL60" i="16"/>
  <c r="AL82" i="17"/>
  <c r="AL103" i="17"/>
  <c r="I49" i="12"/>
  <c r="L26" i="4"/>
  <c r="Q49" i="12"/>
  <c r="T26" i="4"/>
  <c r="Y49" i="12"/>
  <c r="AB26" i="4"/>
  <c r="AK49" i="12"/>
  <c r="AN26" i="4"/>
  <c r="Z62" i="16"/>
  <c r="Z23" i="16"/>
  <c r="P60" i="16"/>
  <c r="P82" i="17"/>
  <c r="T60" i="16"/>
  <c r="T82" i="17"/>
  <c r="X60" i="16"/>
  <c r="X82" i="17"/>
  <c r="AB60" i="16"/>
  <c r="AB82" i="17"/>
  <c r="AF60" i="16"/>
  <c r="AF82" i="17"/>
  <c r="AF103" i="17"/>
  <c r="AJ60" i="16"/>
  <c r="AJ82" i="17"/>
  <c r="AJ103" i="17"/>
  <c r="AC49" i="12"/>
  <c r="AF26" i="4"/>
  <c r="E49" i="12"/>
  <c r="H26" i="4"/>
  <c r="M49" i="12"/>
  <c r="P26" i="4"/>
  <c r="U49" i="12"/>
  <c r="X26" i="4"/>
  <c r="D103" i="17"/>
  <c r="D87" i="17"/>
  <c r="D92" i="17"/>
  <c r="Q103" i="17"/>
  <c r="Q87" i="17"/>
  <c r="Q92" i="17"/>
  <c r="Y103" i="17"/>
  <c r="Y87" i="17"/>
  <c r="K15" i="4"/>
  <c r="S15" i="4"/>
  <c r="AA15" i="4"/>
  <c r="AI15" i="4"/>
  <c r="AO15" i="4"/>
  <c r="AE52" i="4"/>
  <c r="AO52" i="4"/>
  <c r="E13" i="1"/>
  <c r="F11" i="1"/>
  <c r="G11" i="1"/>
  <c r="AE49" i="12"/>
  <c r="P30" i="4"/>
  <c r="M60" i="12"/>
  <c r="P29" i="4"/>
  <c r="AF30" i="4"/>
  <c r="AC60" i="12"/>
  <c r="AF29" i="4"/>
  <c r="Y35" i="4"/>
  <c r="AO35" i="4"/>
  <c r="J71" i="12"/>
  <c r="M33" i="4"/>
  <c r="M32" i="4"/>
  <c r="AP40" i="4"/>
  <c r="AM16" i="17"/>
  <c r="AM83" i="12"/>
  <c r="AP39" i="4"/>
  <c r="AM80" i="12"/>
  <c r="H46" i="4"/>
  <c r="E95" i="12"/>
  <c r="H45" i="4"/>
  <c r="H44" i="4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B7" i="7"/>
  <c r="AM11" i="7"/>
  <c r="AP33" i="1"/>
  <c r="AP31" i="1"/>
  <c r="AA20" i="6"/>
  <c r="W20" i="6"/>
  <c r="S20" i="6"/>
  <c r="O20" i="6"/>
  <c r="K20" i="6"/>
  <c r="Y20" i="6"/>
  <c r="U20" i="6"/>
  <c r="Q20" i="6"/>
  <c r="M20" i="6"/>
  <c r="I20" i="6"/>
  <c r="V20" i="6"/>
  <c r="N20" i="6"/>
  <c r="Z20" i="6"/>
  <c r="R20" i="6"/>
  <c r="J20" i="6"/>
  <c r="L20" i="6"/>
  <c r="T20" i="6"/>
  <c r="M23" i="1"/>
  <c r="AH23" i="1"/>
  <c r="H20" i="6"/>
  <c r="X20" i="6"/>
  <c r="P20" i="6"/>
  <c r="E103" i="17"/>
  <c r="E87" i="17"/>
  <c r="M15" i="4"/>
  <c r="U15" i="4"/>
  <c r="AC15" i="4"/>
  <c r="AK15" i="4"/>
  <c r="O49" i="4"/>
  <c r="O52" i="4"/>
  <c r="AE49" i="4"/>
  <c r="S52" i="4"/>
  <c r="AI52" i="4"/>
  <c r="AM34" i="12"/>
  <c r="AP18" i="4"/>
  <c r="AM31" i="12"/>
  <c r="AP19" i="4"/>
  <c r="C49" i="12"/>
  <c r="S49" i="12"/>
  <c r="AJ59" i="12"/>
  <c r="AF59" i="12"/>
  <c r="AB59" i="12"/>
  <c r="X59" i="12"/>
  <c r="T59" i="12"/>
  <c r="P59" i="12"/>
  <c r="L59" i="12"/>
  <c r="H59" i="12"/>
  <c r="D59" i="12"/>
  <c r="AL59" i="12"/>
  <c r="AH59" i="12"/>
  <c r="AD59" i="12"/>
  <c r="Z59" i="12"/>
  <c r="V59" i="12"/>
  <c r="R59" i="12"/>
  <c r="N59" i="12"/>
  <c r="J59" i="12"/>
  <c r="F59" i="12"/>
  <c r="B59" i="12"/>
  <c r="AE59" i="12"/>
  <c r="W59" i="12"/>
  <c r="O59" i="12"/>
  <c r="G59" i="12"/>
  <c r="AI59" i="12"/>
  <c r="AA59" i="12"/>
  <c r="S59" i="12"/>
  <c r="K59" i="12"/>
  <c r="C59" i="12"/>
  <c r="Q59" i="12"/>
  <c r="AG59" i="12"/>
  <c r="N71" i="12"/>
  <c r="Q33" i="4"/>
  <c r="Q32" i="4"/>
  <c r="AD71" i="12"/>
  <c r="AG33" i="4"/>
  <c r="AG32" i="4"/>
  <c r="AF46" i="4"/>
  <c r="AC95" i="12"/>
  <c r="AF45" i="4"/>
  <c r="E52" i="4"/>
  <c r="M52" i="4"/>
  <c r="U52" i="4"/>
  <c r="AC52" i="4"/>
  <c r="B108" i="12"/>
  <c r="E50" i="4"/>
  <c r="E49" i="4"/>
  <c r="AH108" i="12"/>
  <c r="AK50" i="4"/>
  <c r="AK49" i="4"/>
  <c r="AK52" i="4"/>
  <c r="AL63" i="7"/>
  <c r="AH63" i="7"/>
  <c r="AD63" i="7"/>
  <c r="Z63" i="7"/>
  <c r="V63" i="7"/>
  <c r="R63" i="7"/>
  <c r="N63" i="7"/>
  <c r="AJ63" i="7"/>
  <c r="AF63" i="7"/>
  <c r="AB63" i="7"/>
  <c r="X63" i="7"/>
  <c r="T63" i="7"/>
  <c r="P63" i="7"/>
  <c r="L63" i="7"/>
  <c r="AG63" i="7"/>
  <c r="Y63" i="7"/>
  <c r="Q63" i="7"/>
  <c r="AK63" i="7"/>
  <c r="AC63" i="7"/>
  <c r="U63" i="7"/>
  <c r="M63" i="7"/>
  <c r="AM63" i="7"/>
  <c r="W63" i="7"/>
  <c r="AE63" i="7"/>
  <c r="O63" i="7"/>
  <c r="AA63" i="7"/>
  <c r="AJ67" i="7"/>
  <c r="AF67" i="7"/>
  <c r="AB67" i="7"/>
  <c r="X67" i="7"/>
  <c r="T67" i="7"/>
  <c r="P67" i="7"/>
  <c r="AL67" i="7"/>
  <c r="AH67" i="7"/>
  <c r="AD67" i="7"/>
  <c r="Z67" i="7"/>
  <c r="V67" i="7"/>
  <c r="R67" i="7"/>
  <c r="AI67" i="7"/>
  <c r="AA67" i="7"/>
  <c r="S67" i="7"/>
  <c r="AM67" i="7"/>
  <c r="AE67" i="7"/>
  <c r="W67" i="7"/>
  <c r="AG67" i="7"/>
  <c r="Q67" i="7"/>
  <c r="Y67" i="7"/>
  <c r="AK67" i="7"/>
  <c r="U67" i="7"/>
  <c r="AL71" i="7"/>
  <c r="AH71" i="7"/>
  <c r="AD71" i="7"/>
  <c r="Z71" i="7"/>
  <c r="V71" i="7"/>
  <c r="AJ71" i="7"/>
  <c r="AF71" i="7"/>
  <c r="AB71" i="7"/>
  <c r="X71" i="7"/>
  <c r="T71" i="7"/>
  <c r="AK71" i="7"/>
  <c r="AC71" i="7"/>
  <c r="U71" i="7"/>
  <c r="AG71" i="7"/>
  <c r="Y71" i="7"/>
  <c r="AA71" i="7"/>
  <c r="AI71" i="7"/>
  <c r="AE71" i="7"/>
  <c r="AJ75" i="7"/>
  <c r="AF75" i="7"/>
  <c r="AB75" i="7"/>
  <c r="X75" i="7"/>
  <c r="AL75" i="7"/>
  <c r="AH75" i="7"/>
  <c r="AD75" i="7"/>
  <c r="Z75" i="7"/>
  <c r="AM75" i="7"/>
  <c r="AE75" i="7"/>
  <c r="AI75" i="7"/>
  <c r="AA75" i="7"/>
  <c r="AK75" i="7"/>
  <c r="AC75" i="7"/>
  <c r="Y75" i="7"/>
  <c r="AL79" i="7"/>
  <c r="AH79" i="7"/>
  <c r="AD79" i="7"/>
  <c r="AJ79" i="7"/>
  <c r="AF79" i="7"/>
  <c r="AB79" i="7"/>
  <c r="AG79" i="7"/>
  <c r="AK79" i="7"/>
  <c r="AC79" i="7"/>
  <c r="AE79" i="7"/>
  <c r="AM79" i="7"/>
  <c r="AI79" i="7"/>
  <c r="S63" i="7"/>
  <c r="AC67" i="7"/>
  <c r="M103" i="17"/>
  <c r="M87" i="17"/>
  <c r="U103" i="17"/>
  <c r="U87" i="17"/>
  <c r="U92" i="17"/>
  <c r="AC103" i="17"/>
  <c r="AC87" i="17"/>
  <c r="AC92" i="17"/>
  <c r="F103" i="17"/>
  <c r="F87" i="17"/>
  <c r="F92" i="17"/>
  <c r="O82" i="17"/>
  <c r="S82" i="17"/>
  <c r="W82" i="17"/>
  <c r="AA82" i="17"/>
  <c r="AE82" i="17"/>
  <c r="AE103" i="17"/>
  <c r="AI82" i="17"/>
  <c r="AI103" i="17"/>
  <c r="AM60" i="16"/>
  <c r="AM82" i="17"/>
  <c r="O15" i="4"/>
  <c r="W15" i="4"/>
  <c r="AE15" i="4"/>
  <c r="AM15" i="4"/>
  <c r="W52" i="4"/>
  <c r="AM7" i="12"/>
  <c r="AI9" i="12"/>
  <c r="AP10" i="4"/>
  <c r="AM14" i="17"/>
  <c r="AG49" i="12"/>
  <c r="AJ26" i="4"/>
  <c r="H30" i="4"/>
  <c r="E60" i="12"/>
  <c r="H29" i="4"/>
  <c r="X30" i="4"/>
  <c r="U60" i="12"/>
  <c r="X29" i="4"/>
  <c r="AN30" i="4"/>
  <c r="AK60" i="12"/>
  <c r="AN29" i="4"/>
  <c r="E35" i="4"/>
  <c r="M35" i="4"/>
  <c r="AC35" i="4"/>
  <c r="AK35" i="4"/>
  <c r="B71" i="12"/>
  <c r="E33" i="4"/>
  <c r="E32" i="4"/>
  <c r="R71" i="12"/>
  <c r="U33" i="4"/>
  <c r="U32" i="4"/>
  <c r="AH71" i="12"/>
  <c r="AK33" i="4"/>
  <c r="AK32" i="4"/>
  <c r="P46" i="4"/>
  <c r="M95" i="12"/>
  <c r="P45" i="4"/>
  <c r="AN46" i="4"/>
  <c r="AK95" i="12"/>
  <c r="AN45" i="4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S7" i="7"/>
  <c r="C103" i="17"/>
  <c r="C87" i="17"/>
  <c r="C92" i="17"/>
  <c r="L3" i="16"/>
  <c r="AK60" i="16"/>
  <c r="Q15" i="4"/>
  <c r="Y15" i="4"/>
  <c r="AG15" i="4"/>
  <c r="AP35" i="4"/>
  <c r="AP32" i="4"/>
  <c r="G49" i="4"/>
  <c r="W49" i="4"/>
  <c r="K52" i="4"/>
  <c r="AA52" i="4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K49" i="12"/>
  <c r="I60" i="12"/>
  <c r="L29" i="4"/>
  <c r="L28" i="4"/>
  <c r="L30" i="4"/>
  <c r="Y60" i="12"/>
  <c r="AB29" i="4"/>
  <c r="AB28" i="4"/>
  <c r="AB30" i="4"/>
  <c r="F71" i="12"/>
  <c r="I33" i="4"/>
  <c r="I32" i="4"/>
  <c r="V71" i="12"/>
  <c r="Y33" i="4"/>
  <c r="Y32" i="4"/>
  <c r="AL71" i="12"/>
  <c r="AO33" i="4"/>
  <c r="AO32" i="4"/>
  <c r="X46" i="4"/>
  <c r="U95" i="12"/>
  <c r="X45" i="4"/>
  <c r="X44" i="4"/>
  <c r="I51" i="4"/>
  <c r="F108" i="12"/>
  <c r="I50" i="4"/>
  <c r="I49" i="4"/>
  <c r="N108" i="12"/>
  <c r="Q50" i="4"/>
  <c r="Q51" i="4"/>
  <c r="Y51" i="4"/>
  <c r="V108" i="12"/>
  <c r="Y50" i="4"/>
  <c r="Y49" i="4"/>
  <c r="AD108" i="12"/>
  <c r="AG50" i="4"/>
  <c r="AG51" i="4"/>
  <c r="AL44" i="7"/>
  <c r="AL40" i="7"/>
  <c r="AM40" i="7"/>
  <c r="AE48" i="7"/>
  <c r="AF48" i="7"/>
  <c r="AG48" i="7"/>
  <c r="AH48" i="7"/>
  <c r="AI48" i="7"/>
  <c r="AJ48" i="7"/>
  <c r="AK48" i="7"/>
  <c r="AL48" i="7"/>
  <c r="AM81" i="17"/>
  <c r="AM61" i="7"/>
  <c r="AI61" i="7"/>
  <c r="AE61" i="7"/>
  <c r="AA61" i="7"/>
  <c r="W61" i="7"/>
  <c r="S61" i="7"/>
  <c r="AK61" i="7"/>
  <c r="AG61" i="7"/>
  <c r="AC61" i="7"/>
  <c r="Y61" i="7"/>
  <c r="U61" i="7"/>
  <c r="Q61" i="7"/>
  <c r="AH61" i="7"/>
  <c r="Z61" i="7"/>
  <c r="R61" i="7"/>
  <c r="M61" i="7"/>
  <c r="AL61" i="7"/>
  <c r="AD61" i="7"/>
  <c r="V61" i="7"/>
  <c r="O61" i="7"/>
  <c r="K61" i="7"/>
  <c r="AF61" i="7"/>
  <c r="P61" i="7"/>
  <c r="X61" i="7"/>
  <c r="L61" i="7"/>
  <c r="T61" i="7"/>
  <c r="AJ61" i="7"/>
  <c r="J61" i="7"/>
  <c r="AK65" i="7"/>
  <c r="AG65" i="7"/>
  <c r="AC65" i="7"/>
  <c r="Y65" i="7"/>
  <c r="U65" i="7"/>
  <c r="Q65" i="7"/>
  <c r="AM65" i="7"/>
  <c r="AI65" i="7"/>
  <c r="AE65" i="7"/>
  <c r="AA65" i="7"/>
  <c r="W65" i="7"/>
  <c r="S65" i="7"/>
  <c r="O65" i="7"/>
  <c r="AJ65" i="7"/>
  <c r="AB65" i="7"/>
  <c r="T65" i="7"/>
  <c r="AF65" i="7"/>
  <c r="X65" i="7"/>
  <c r="P65" i="7"/>
  <c r="AH65" i="7"/>
  <c r="R65" i="7"/>
  <c r="Z65" i="7"/>
  <c r="N65" i="7"/>
  <c r="AD65" i="7"/>
  <c r="AM69" i="7"/>
  <c r="AI69" i="7"/>
  <c r="AE69" i="7"/>
  <c r="AA69" i="7"/>
  <c r="W69" i="7"/>
  <c r="S69" i="7"/>
  <c r="AK69" i="7"/>
  <c r="AG69" i="7"/>
  <c r="AC69" i="7"/>
  <c r="Y69" i="7"/>
  <c r="U69" i="7"/>
  <c r="AL69" i="7"/>
  <c r="AD69" i="7"/>
  <c r="V69" i="7"/>
  <c r="AH69" i="7"/>
  <c r="Z69" i="7"/>
  <c r="R69" i="7"/>
  <c r="AJ69" i="7"/>
  <c r="T69" i="7"/>
  <c r="AB69" i="7"/>
  <c r="AF69" i="7"/>
  <c r="AK73" i="7"/>
  <c r="AG73" i="7"/>
  <c r="AC73" i="7"/>
  <c r="Y73" i="7"/>
  <c r="AM73" i="7"/>
  <c r="AI73" i="7"/>
  <c r="AE73" i="7"/>
  <c r="AA73" i="7"/>
  <c r="W73" i="7"/>
  <c r="AF73" i="7"/>
  <c r="X73" i="7"/>
  <c r="AJ73" i="7"/>
  <c r="AB73" i="7"/>
  <c r="AL73" i="7"/>
  <c r="V73" i="7"/>
  <c r="AD73" i="7"/>
  <c r="Z73" i="7"/>
  <c r="AM77" i="7"/>
  <c r="AI77" i="7"/>
  <c r="AE77" i="7"/>
  <c r="AA77" i="7"/>
  <c r="AK77" i="7"/>
  <c r="AG77" i="7"/>
  <c r="AC77" i="7"/>
  <c r="AH77" i="7"/>
  <c r="Z77" i="7"/>
  <c r="AL77" i="7"/>
  <c r="AD77" i="7"/>
  <c r="AF77" i="7"/>
  <c r="AB77" i="7"/>
  <c r="AK81" i="7"/>
  <c r="AG81" i="7"/>
  <c r="AM81" i="7"/>
  <c r="AI81" i="7"/>
  <c r="AE81" i="7"/>
  <c r="AJ81" i="7"/>
  <c r="AF81" i="7"/>
  <c r="AH81" i="7"/>
  <c r="AL81" i="7"/>
  <c r="N61" i="7"/>
  <c r="W71" i="7"/>
  <c r="AJ77" i="7"/>
  <c r="AN15" i="4"/>
  <c r="AP31" i="4"/>
  <c r="AJ45" i="12"/>
  <c r="AJ50" i="12"/>
  <c r="AF45" i="12"/>
  <c r="AF50" i="12"/>
  <c r="AB45" i="12"/>
  <c r="AB50" i="12"/>
  <c r="X45" i="12"/>
  <c r="X50" i="12"/>
  <c r="T45" i="12"/>
  <c r="T50" i="12"/>
  <c r="P45" i="12"/>
  <c r="P50" i="12"/>
  <c r="L45" i="12"/>
  <c r="L50" i="12"/>
  <c r="H45" i="12"/>
  <c r="H50" i="12"/>
  <c r="D45" i="12"/>
  <c r="D50" i="12"/>
  <c r="AL45" i="12"/>
  <c r="AL50" i="12"/>
  <c r="AH45" i="12"/>
  <c r="AH50" i="12"/>
  <c r="AD45" i="12"/>
  <c r="AD50" i="12"/>
  <c r="Z45" i="12"/>
  <c r="Z50" i="12"/>
  <c r="V45" i="12"/>
  <c r="V50" i="12"/>
  <c r="R45" i="12"/>
  <c r="R50" i="12"/>
  <c r="N45" i="12"/>
  <c r="N50" i="12"/>
  <c r="J45" i="12"/>
  <c r="J50" i="12"/>
  <c r="F45" i="12"/>
  <c r="F50" i="12"/>
  <c r="B45" i="12"/>
  <c r="B50" i="12"/>
  <c r="AM50" i="12"/>
  <c r="G35" i="4"/>
  <c r="W35" i="4"/>
  <c r="AM35" i="4"/>
  <c r="D71" i="12"/>
  <c r="G33" i="4"/>
  <c r="G32" i="4"/>
  <c r="L71" i="12"/>
  <c r="O33" i="4"/>
  <c r="O32" i="4"/>
  <c r="T71" i="12"/>
  <c r="W33" i="4"/>
  <c r="W32" i="4"/>
  <c r="AB71" i="12"/>
  <c r="AE33" i="4"/>
  <c r="AE32" i="4"/>
  <c r="AJ71" i="12"/>
  <c r="AM33" i="4"/>
  <c r="AM32" i="4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L46" i="4"/>
  <c r="I95" i="12"/>
  <c r="L45" i="4"/>
  <c r="L44" i="4"/>
  <c r="AB46" i="4"/>
  <c r="Y95" i="12"/>
  <c r="AB45" i="4"/>
  <c r="AB44" i="4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C37" i="3"/>
  <c r="D19" i="3"/>
  <c r="S15" i="2"/>
  <c r="E12" i="6"/>
  <c r="G12" i="6"/>
  <c r="C12" i="6"/>
  <c r="B12" i="6"/>
  <c r="F12" i="6"/>
  <c r="D12" i="6"/>
  <c r="AP15" i="4"/>
  <c r="AN35" i="4"/>
  <c r="AM52" i="4"/>
  <c r="AA45" i="12"/>
  <c r="AA50" i="12"/>
  <c r="AI45" i="12"/>
  <c r="AI50" i="12"/>
  <c r="H71" i="12"/>
  <c r="K33" i="4"/>
  <c r="K32" i="4"/>
  <c r="K35" i="4"/>
  <c r="P71" i="12"/>
  <c r="S33" i="4"/>
  <c r="S32" i="4"/>
  <c r="X71" i="12"/>
  <c r="AA33" i="4"/>
  <c r="AA32" i="4"/>
  <c r="AF71" i="12"/>
  <c r="AI33" i="4"/>
  <c r="AI32" i="4"/>
  <c r="AL94" i="12"/>
  <c r="AH94" i="12"/>
  <c r="AD94" i="12"/>
  <c r="Z94" i="12"/>
  <c r="V94" i="12"/>
  <c r="R94" i="12"/>
  <c r="N94" i="12"/>
  <c r="J94" i="12"/>
  <c r="F94" i="12"/>
  <c r="B94" i="12"/>
  <c r="AJ94" i="12"/>
  <c r="AF94" i="12"/>
  <c r="AB94" i="12"/>
  <c r="X94" i="12"/>
  <c r="T94" i="12"/>
  <c r="P94" i="12"/>
  <c r="L94" i="12"/>
  <c r="H94" i="12"/>
  <c r="D94" i="12"/>
  <c r="AI94" i="12"/>
  <c r="AA94" i="12"/>
  <c r="S94" i="12"/>
  <c r="K94" i="12"/>
  <c r="C94" i="12"/>
  <c r="AE94" i="12"/>
  <c r="W94" i="12"/>
  <c r="O94" i="12"/>
  <c r="G94" i="12"/>
  <c r="Q94" i="12"/>
  <c r="AG94" i="12"/>
  <c r="AP47" i="4"/>
  <c r="AP43" i="4"/>
  <c r="S19" i="7"/>
  <c r="V46" i="1"/>
  <c r="V44" i="1"/>
  <c r="C20" i="12"/>
  <c r="G20" i="12"/>
  <c r="K20" i="12"/>
  <c r="O20" i="12"/>
  <c r="S20" i="12"/>
  <c r="W20" i="12"/>
  <c r="AA20" i="12"/>
  <c r="AE20" i="12"/>
  <c r="AI20" i="12"/>
  <c r="C70" i="12"/>
  <c r="G70" i="12"/>
  <c r="K70" i="12"/>
  <c r="O70" i="12"/>
  <c r="S70" i="12"/>
  <c r="W70" i="12"/>
  <c r="AA70" i="12"/>
  <c r="AE70" i="12"/>
  <c r="AI70" i="12"/>
  <c r="AA21" i="6"/>
  <c r="AA22" i="6"/>
  <c r="AF22" i="1"/>
  <c r="AF21" i="1"/>
  <c r="AL52" i="4"/>
  <c r="AP52" i="4"/>
  <c r="E20" i="12"/>
  <c r="I20" i="12"/>
  <c r="M20" i="12"/>
  <c r="Q20" i="12"/>
  <c r="U20" i="12"/>
  <c r="Y20" i="12"/>
  <c r="AC20" i="12"/>
  <c r="AG20" i="12"/>
  <c r="E70" i="12"/>
  <c r="I70" i="12"/>
  <c r="M70" i="12"/>
  <c r="Q70" i="12"/>
  <c r="U70" i="12"/>
  <c r="Y70" i="12"/>
  <c r="AC70" i="12"/>
  <c r="AG70" i="12"/>
  <c r="AM41" i="7"/>
  <c r="AM43" i="7"/>
  <c r="AP41" i="1"/>
  <c r="AP40" i="1"/>
  <c r="B16" i="5"/>
  <c r="E18" i="1"/>
  <c r="B15" i="5"/>
  <c r="C13" i="5"/>
  <c r="E107" i="12"/>
  <c r="I107" i="12"/>
  <c r="M107" i="12"/>
  <c r="Q107" i="12"/>
  <c r="U107" i="12"/>
  <c r="Y107" i="12"/>
  <c r="AC107" i="12"/>
  <c r="AG107" i="12"/>
  <c r="AK107" i="12"/>
  <c r="AM22" i="7"/>
  <c r="AL62" i="7"/>
  <c r="AH62" i="7"/>
  <c r="AD62" i="7"/>
  <c r="Z62" i="7"/>
  <c r="V62" i="7"/>
  <c r="R62" i="7"/>
  <c r="N62" i="7"/>
  <c r="AJ62" i="7"/>
  <c r="AF62" i="7"/>
  <c r="AB62" i="7"/>
  <c r="X62" i="7"/>
  <c r="T62" i="7"/>
  <c r="P62" i="7"/>
  <c r="L62" i="7"/>
  <c r="AJ66" i="7"/>
  <c r="AF66" i="7"/>
  <c r="AB66" i="7"/>
  <c r="X66" i="7"/>
  <c r="T66" i="7"/>
  <c r="P66" i="7"/>
  <c r="AL66" i="7"/>
  <c r="AH66" i="7"/>
  <c r="AD66" i="7"/>
  <c r="Z66" i="7"/>
  <c r="V66" i="7"/>
  <c r="R66" i="7"/>
  <c r="AL70" i="7"/>
  <c r="AH70" i="7"/>
  <c r="AD70" i="7"/>
  <c r="Z70" i="7"/>
  <c r="V70" i="7"/>
  <c r="AJ70" i="7"/>
  <c r="AF70" i="7"/>
  <c r="AB70" i="7"/>
  <c r="X70" i="7"/>
  <c r="T70" i="7"/>
  <c r="AJ74" i="7"/>
  <c r="AF74" i="7"/>
  <c r="AB74" i="7"/>
  <c r="X74" i="7"/>
  <c r="AL74" i="7"/>
  <c r="AH74" i="7"/>
  <c r="AD74" i="7"/>
  <c r="Z74" i="7"/>
  <c r="AL78" i="7"/>
  <c r="AH78" i="7"/>
  <c r="AD78" i="7"/>
  <c r="AJ78" i="7"/>
  <c r="AF78" i="7"/>
  <c r="AB78" i="7"/>
  <c r="Q62" i="7"/>
  <c r="Y62" i="7"/>
  <c r="AG62" i="7"/>
  <c r="R64" i="7"/>
  <c r="Z64" i="7"/>
  <c r="O66" i="7"/>
  <c r="W66" i="7"/>
  <c r="AE66" i="7"/>
  <c r="AM66" i="7"/>
  <c r="X68" i="7"/>
  <c r="U70" i="7"/>
  <c r="AC70" i="7"/>
  <c r="AK70" i="7"/>
  <c r="V72" i="7"/>
  <c r="AD72" i="7"/>
  <c r="AA74" i="7"/>
  <c r="AI74" i="7"/>
  <c r="AB76" i="7"/>
  <c r="AG78" i="7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E46" i="1"/>
  <c r="E44" i="1"/>
  <c r="C36" i="3"/>
  <c r="C107" i="12"/>
  <c r="G107" i="12"/>
  <c r="K107" i="12"/>
  <c r="O107" i="12"/>
  <c r="S107" i="12"/>
  <c r="W107" i="12"/>
  <c r="AA107" i="12"/>
  <c r="AE107" i="12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C3" i="7"/>
  <c r="D3" i="7"/>
  <c r="E3" i="7"/>
  <c r="F3" i="7"/>
  <c r="G3" i="7"/>
  <c r="H3" i="7"/>
  <c r="I3" i="7"/>
  <c r="J3" i="7"/>
  <c r="K3" i="7"/>
  <c r="L3" i="7"/>
  <c r="AM64" i="7"/>
  <c r="AI64" i="7"/>
  <c r="AE64" i="7"/>
  <c r="AA64" i="7"/>
  <c r="W64" i="7"/>
  <c r="S64" i="7"/>
  <c r="O64" i="7"/>
  <c r="AK64" i="7"/>
  <c r="AG64" i="7"/>
  <c r="AC64" i="7"/>
  <c r="Y64" i="7"/>
  <c r="U64" i="7"/>
  <c r="Q64" i="7"/>
  <c r="M64" i="7"/>
  <c r="AK68" i="7"/>
  <c r="AG68" i="7"/>
  <c r="AC68" i="7"/>
  <c r="Y68" i="7"/>
  <c r="U68" i="7"/>
  <c r="Q68" i="7"/>
  <c r="AM68" i="7"/>
  <c r="AI68" i="7"/>
  <c r="AE68" i="7"/>
  <c r="AA68" i="7"/>
  <c r="W68" i="7"/>
  <c r="S68" i="7"/>
  <c r="AM72" i="7"/>
  <c r="AI72" i="7"/>
  <c r="AE72" i="7"/>
  <c r="AA72" i="7"/>
  <c r="W72" i="7"/>
  <c r="AK72" i="7"/>
  <c r="AG72" i="7"/>
  <c r="AC72" i="7"/>
  <c r="Y72" i="7"/>
  <c r="U72" i="7"/>
  <c r="AK76" i="7"/>
  <c r="AG76" i="7"/>
  <c r="AC76" i="7"/>
  <c r="Y76" i="7"/>
  <c r="AM76" i="7"/>
  <c r="AI76" i="7"/>
  <c r="AE76" i="7"/>
  <c r="AA76" i="7"/>
  <c r="AM80" i="7"/>
  <c r="AI80" i="7"/>
  <c r="AE80" i="7"/>
  <c r="AK80" i="7"/>
  <c r="AG80" i="7"/>
  <c r="AC80" i="7"/>
  <c r="AD55" i="7"/>
  <c r="AD57" i="7"/>
  <c r="AG36" i="1"/>
  <c r="AE55" i="7"/>
  <c r="E55" i="7"/>
  <c r="E57" i="7"/>
  <c r="H36" i="1"/>
  <c r="E5" i="17"/>
  <c r="J55" i="7"/>
  <c r="O55" i="7"/>
  <c r="U55" i="7"/>
  <c r="Z55" i="7"/>
  <c r="Z57" i="7"/>
  <c r="AC36" i="1"/>
  <c r="Z5" i="17"/>
  <c r="AI55" i="7"/>
  <c r="M62" i="7"/>
  <c r="U62" i="7"/>
  <c r="AC62" i="7"/>
  <c r="AK62" i="7"/>
  <c r="N64" i="7"/>
  <c r="V64" i="7"/>
  <c r="AD64" i="7"/>
  <c r="AL64" i="7"/>
  <c r="S66" i="7"/>
  <c r="AA66" i="7"/>
  <c r="AI66" i="7"/>
  <c r="T68" i="7"/>
  <c r="AB68" i="7"/>
  <c r="AJ68" i="7"/>
  <c r="Y70" i="7"/>
  <c r="AG70" i="7"/>
  <c r="Z72" i="7"/>
  <c r="AH72" i="7"/>
  <c r="W74" i="7"/>
  <c r="AE74" i="7"/>
  <c r="AM74" i="7"/>
  <c r="AF76" i="7"/>
  <c r="AC78" i="7"/>
  <c r="AK78" i="7"/>
  <c r="AD80" i="7"/>
  <c r="AL80" i="7"/>
  <c r="C5" i="3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M8" i="2"/>
  <c r="AM48" i="16"/>
  <c r="C28" i="3"/>
  <c r="AM5" i="12"/>
  <c r="S8" i="2"/>
  <c r="D9" i="3"/>
  <c r="AM10" i="12"/>
  <c r="AP9" i="4"/>
  <c r="AM6" i="17"/>
  <c r="H9" i="12"/>
  <c r="P9" i="12"/>
  <c r="X9" i="12"/>
  <c r="AF9" i="12"/>
  <c r="B9" i="12"/>
  <c r="J9" i="12"/>
  <c r="R9" i="12"/>
  <c r="Z9" i="12"/>
  <c r="AH9" i="12"/>
  <c r="D9" i="12"/>
  <c r="L9" i="12"/>
  <c r="T9" i="12"/>
  <c r="AB9" i="12"/>
  <c r="AJ9" i="12"/>
  <c r="AP8" i="4"/>
  <c r="F9" i="12"/>
  <c r="N9" i="12"/>
  <c r="V9" i="12"/>
  <c r="AD9" i="12"/>
  <c r="AL9" i="12"/>
  <c r="AI10" i="12"/>
  <c r="AL9" i="4"/>
  <c r="AL10" i="4"/>
  <c r="E9" i="12"/>
  <c r="I9" i="12"/>
  <c r="M9" i="12"/>
  <c r="Q9" i="12"/>
  <c r="U9" i="12"/>
  <c r="Y9" i="12"/>
  <c r="AC9" i="12"/>
  <c r="AG9" i="12"/>
  <c r="AK9" i="12"/>
  <c r="C9" i="12"/>
  <c r="G9" i="12"/>
  <c r="K9" i="12"/>
  <c r="O9" i="12"/>
  <c r="S9" i="12"/>
  <c r="W9" i="12"/>
  <c r="AA9" i="12"/>
  <c r="AE9" i="12"/>
  <c r="D55" i="7"/>
  <c r="D57" i="7"/>
  <c r="G36" i="1"/>
  <c r="H55" i="7"/>
  <c r="L55" i="7"/>
  <c r="L57" i="7"/>
  <c r="O36" i="1"/>
  <c r="P55" i="7"/>
  <c r="P57" i="7"/>
  <c r="S36" i="1"/>
  <c r="T55" i="7"/>
  <c r="X55" i="7"/>
  <c r="AB55" i="7"/>
  <c r="AB57" i="7"/>
  <c r="AE36" i="1"/>
  <c r="AG55" i="7"/>
  <c r="AK55" i="7"/>
  <c r="AH55" i="7"/>
  <c r="AL55" i="7"/>
  <c r="M57" i="7"/>
  <c r="P36" i="1"/>
  <c r="M5" i="17"/>
  <c r="Q57" i="7"/>
  <c r="T36" i="1"/>
  <c r="U57" i="7"/>
  <c r="X36" i="1"/>
  <c r="Y57" i="7"/>
  <c r="AB36" i="1"/>
  <c r="AC57" i="7"/>
  <c r="N57" i="7"/>
  <c r="Q36" i="1"/>
  <c r="N5" i="17"/>
  <c r="R57" i="7"/>
  <c r="U36" i="1"/>
  <c r="V57" i="7"/>
  <c r="B57" i="7"/>
  <c r="E36" i="1"/>
  <c r="F57" i="7"/>
  <c r="I36" i="1"/>
  <c r="O57" i="7"/>
  <c r="R36" i="1"/>
  <c r="O5" i="17"/>
  <c r="S57" i="7"/>
  <c r="V36" i="1"/>
  <c r="W57" i="7"/>
  <c r="Z36" i="1"/>
  <c r="AA57" i="7"/>
  <c r="AD36" i="1"/>
  <c r="C57" i="7"/>
  <c r="F36" i="1"/>
  <c r="C5" i="17"/>
  <c r="T57" i="7"/>
  <c r="X57" i="7"/>
  <c r="AA36" i="1"/>
  <c r="X5" i="17"/>
  <c r="AD5" i="17"/>
  <c r="Q5" i="17"/>
  <c r="Y5" i="17"/>
  <c r="S5" i="17"/>
  <c r="AA5" i="17"/>
  <c r="AJ23" i="1"/>
  <c r="AN23" i="1"/>
  <c r="F13" i="1"/>
  <c r="H11" i="1"/>
  <c r="G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X45" i="1"/>
  <c r="AB45" i="1"/>
  <c r="AB46" i="1"/>
  <c r="AF45" i="1"/>
  <c r="AF46" i="1"/>
  <c r="AJ45" i="1"/>
  <c r="AJ46" i="1"/>
  <c r="AN45" i="1"/>
  <c r="AI45" i="1"/>
  <c r="Y45" i="1"/>
  <c r="Y46" i="1"/>
  <c r="AC45" i="1"/>
  <c r="AG45" i="1"/>
  <c r="AK45" i="1"/>
  <c r="AO45" i="1"/>
  <c r="AO46" i="1"/>
  <c r="AE45" i="1"/>
  <c r="AE46" i="1"/>
  <c r="Z45" i="1"/>
  <c r="AD45" i="1"/>
  <c r="AH45" i="1"/>
  <c r="AL45" i="1"/>
  <c r="AP45" i="1"/>
  <c r="AP44" i="1"/>
  <c r="W45" i="1"/>
  <c r="AA45" i="1"/>
  <c r="AM45" i="1"/>
  <c r="Y108" i="17"/>
  <c r="C108" i="17"/>
  <c r="U108" i="17"/>
  <c r="M108" i="17"/>
  <c r="AC108" i="17"/>
  <c r="E108" i="17"/>
  <c r="Q108" i="17"/>
  <c r="F108" i="17"/>
  <c r="D108" i="17"/>
  <c r="AL46" i="1"/>
  <c r="AL44" i="1"/>
  <c r="AC46" i="1"/>
  <c r="AC44" i="1"/>
  <c r="C35" i="3"/>
  <c r="D5" i="3"/>
  <c r="K108" i="12"/>
  <c r="N50" i="4"/>
  <c r="N49" i="4"/>
  <c r="N51" i="4"/>
  <c r="AI71" i="12"/>
  <c r="AL33" i="4"/>
  <c r="AL32" i="4"/>
  <c r="AL34" i="4"/>
  <c r="Z49" i="12"/>
  <c r="AC26" i="4"/>
  <c r="S108" i="12"/>
  <c r="V50" i="4"/>
  <c r="V49" i="4"/>
  <c r="V51" i="4"/>
  <c r="AK108" i="12"/>
  <c r="AN50" i="4"/>
  <c r="AN49" i="4"/>
  <c r="AN51" i="4"/>
  <c r="C14" i="5"/>
  <c r="Q71" i="12"/>
  <c r="T33" i="4"/>
  <c r="T34" i="4"/>
  <c r="AG21" i="12"/>
  <c r="AJ13" i="4"/>
  <c r="AJ14" i="4"/>
  <c r="K71" i="12"/>
  <c r="N33" i="4"/>
  <c r="N34" i="4"/>
  <c r="AE21" i="12"/>
  <c r="AH13" i="4"/>
  <c r="AH14" i="4"/>
  <c r="O21" i="12"/>
  <c r="R13" i="4"/>
  <c r="R14" i="4"/>
  <c r="R46" i="4"/>
  <c r="O95" i="12"/>
  <c r="R45" i="4"/>
  <c r="R44" i="4"/>
  <c r="N46" i="4"/>
  <c r="K95" i="12"/>
  <c r="N45" i="4"/>
  <c r="N44" i="4"/>
  <c r="G46" i="4"/>
  <c r="D95" i="12"/>
  <c r="G45" i="4"/>
  <c r="G44" i="4"/>
  <c r="W46" i="4"/>
  <c r="T95" i="12"/>
  <c r="W45" i="4"/>
  <c r="W44" i="4"/>
  <c r="AM46" i="4"/>
  <c r="AJ95" i="12"/>
  <c r="AM45" i="4"/>
  <c r="AM44" i="4"/>
  <c r="Q46" i="4"/>
  <c r="N95" i="12"/>
  <c r="Q45" i="4"/>
  <c r="AG46" i="4"/>
  <c r="AD95" i="12"/>
  <c r="AG45" i="4"/>
  <c r="X23" i="16"/>
  <c r="X62" i="16"/>
  <c r="AA35" i="4"/>
  <c r="AD26" i="4"/>
  <c r="AA49" i="12"/>
  <c r="U15" i="6"/>
  <c r="Q15" i="6"/>
  <c r="M15" i="6"/>
  <c r="I15" i="6"/>
  <c r="E15" i="6"/>
  <c r="S15" i="6"/>
  <c r="O15" i="6"/>
  <c r="K15" i="6"/>
  <c r="G15" i="6"/>
  <c r="C15" i="6"/>
  <c r="T15" i="6"/>
  <c r="L15" i="6"/>
  <c r="D15" i="6"/>
  <c r="P15" i="6"/>
  <c r="H15" i="6"/>
  <c r="J15" i="6"/>
  <c r="R15" i="6"/>
  <c r="F15" i="6"/>
  <c r="V15" i="6"/>
  <c r="H23" i="1"/>
  <c r="AC23" i="1"/>
  <c r="N15" i="6"/>
  <c r="AB47" i="4"/>
  <c r="AB43" i="4"/>
  <c r="L23" i="16"/>
  <c r="L62" i="16"/>
  <c r="B49" i="12"/>
  <c r="E26" i="4"/>
  <c r="L49" i="12"/>
  <c r="O26" i="4"/>
  <c r="V65" i="16"/>
  <c r="V26" i="16"/>
  <c r="AL62" i="16"/>
  <c r="AL23" i="16"/>
  <c r="AM103" i="17"/>
  <c r="W103" i="17"/>
  <c r="W87" i="17"/>
  <c r="N30" i="4"/>
  <c r="K60" i="12"/>
  <c r="N29" i="4"/>
  <c r="N28" i="4"/>
  <c r="R60" i="12"/>
  <c r="U29" i="4"/>
  <c r="U28" i="4"/>
  <c r="U30" i="4"/>
  <c r="H47" i="4"/>
  <c r="H43" i="4"/>
  <c r="Y96" i="17"/>
  <c r="Y91" i="17"/>
  <c r="Y94" i="17"/>
  <c r="Y95" i="17"/>
  <c r="Y93" i="17"/>
  <c r="X5" i="4"/>
  <c r="H5" i="4"/>
  <c r="AB103" i="17"/>
  <c r="AB87" i="17"/>
  <c r="AB92" i="17"/>
  <c r="T103" i="17"/>
  <c r="T87" i="17"/>
  <c r="AB5" i="4"/>
  <c r="L5" i="4"/>
  <c r="Z103" i="17"/>
  <c r="Z87" i="17"/>
  <c r="Z92" i="17"/>
  <c r="R103" i="17"/>
  <c r="R87" i="17"/>
  <c r="R92" i="17"/>
  <c r="AM46" i="1"/>
  <c r="AM44" i="1"/>
  <c r="AF36" i="1"/>
  <c r="AC5" i="17"/>
  <c r="AC108" i="12"/>
  <c r="AF50" i="4"/>
  <c r="AF49" i="4"/>
  <c r="AF51" i="4"/>
  <c r="Y71" i="12"/>
  <c r="AB33" i="4"/>
  <c r="AB32" i="4"/>
  <c r="AB34" i="4"/>
  <c r="I71" i="12"/>
  <c r="L33" i="4"/>
  <c r="L32" i="4"/>
  <c r="L34" i="4"/>
  <c r="Y21" i="12"/>
  <c r="AB13" i="4"/>
  <c r="AB12" i="4"/>
  <c r="AB14" i="4"/>
  <c r="I21" i="12"/>
  <c r="L13" i="4"/>
  <c r="L12" i="4"/>
  <c r="I21" i="16"/>
  <c r="L14" i="4"/>
  <c r="S71" i="12"/>
  <c r="V33" i="4"/>
  <c r="V32" i="4"/>
  <c r="V34" i="4"/>
  <c r="W21" i="12"/>
  <c r="Z13" i="4"/>
  <c r="Z12" i="4"/>
  <c r="Z14" i="4"/>
  <c r="G21" i="12"/>
  <c r="J13" i="4"/>
  <c r="J12" i="4"/>
  <c r="G21" i="16"/>
  <c r="J14" i="4"/>
  <c r="T46" i="4"/>
  <c r="Q95" i="12"/>
  <c r="T45" i="4"/>
  <c r="AD46" i="4"/>
  <c r="AA95" i="12"/>
  <c r="AD45" i="4"/>
  <c r="O46" i="4"/>
  <c r="L95" i="12"/>
  <c r="O45" i="4"/>
  <c r="I46" i="4"/>
  <c r="F95" i="12"/>
  <c r="I45" i="4"/>
  <c r="Y46" i="4"/>
  <c r="V95" i="12"/>
  <c r="Y45" i="4"/>
  <c r="AO46" i="4"/>
  <c r="AL95" i="12"/>
  <c r="AO45" i="4"/>
  <c r="V17" i="6"/>
  <c r="R17" i="6"/>
  <c r="N17" i="6"/>
  <c r="J17" i="6"/>
  <c r="F17" i="6"/>
  <c r="X17" i="6"/>
  <c r="T17" i="6"/>
  <c r="P17" i="6"/>
  <c r="L17" i="6"/>
  <c r="H17" i="6"/>
  <c r="S17" i="6"/>
  <c r="K17" i="6"/>
  <c r="W17" i="6"/>
  <c r="O17" i="6"/>
  <c r="G17" i="6"/>
  <c r="M17" i="6"/>
  <c r="U17" i="6"/>
  <c r="E17" i="6"/>
  <c r="Q17" i="6"/>
  <c r="J23" i="1"/>
  <c r="AE23" i="1"/>
  <c r="I17" i="6"/>
  <c r="L47" i="4"/>
  <c r="L43" i="4"/>
  <c r="J49" i="12"/>
  <c r="M26" i="4"/>
  <c r="T49" i="12"/>
  <c r="W26" i="4"/>
  <c r="W46" i="1"/>
  <c r="W44" i="1"/>
  <c r="AD46" i="1"/>
  <c r="AD44" i="1"/>
  <c r="AK46" i="1"/>
  <c r="AK44" i="1"/>
  <c r="AI46" i="1"/>
  <c r="AI44" i="1"/>
  <c r="C108" i="12"/>
  <c r="F50" i="4"/>
  <c r="F51" i="4"/>
  <c r="U108" i="12"/>
  <c r="X50" i="4"/>
  <c r="X51" i="4"/>
  <c r="E108" i="12"/>
  <c r="H50" i="4"/>
  <c r="H51" i="4"/>
  <c r="AG71" i="12"/>
  <c r="AJ33" i="4"/>
  <c r="AJ34" i="4"/>
  <c r="Q21" i="12"/>
  <c r="T13" i="4"/>
  <c r="T14" i="4"/>
  <c r="AA71" i="12"/>
  <c r="AD33" i="4"/>
  <c r="AD34" i="4"/>
  <c r="R49" i="12"/>
  <c r="U26" i="4"/>
  <c r="AH49" i="12"/>
  <c r="AK26" i="4"/>
  <c r="AB49" i="12"/>
  <c r="AE26" i="4"/>
  <c r="F65" i="16"/>
  <c r="F26" i="16"/>
  <c r="Y24" i="16"/>
  <c r="Y63" i="16"/>
  <c r="D65" i="16"/>
  <c r="D26" i="16"/>
  <c r="O103" i="17"/>
  <c r="O87" i="17"/>
  <c r="N62" i="16"/>
  <c r="N23" i="16"/>
  <c r="J30" i="4"/>
  <c r="G60" i="12"/>
  <c r="J29" i="4"/>
  <c r="B60" i="12"/>
  <c r="E29" i="4"/>
  <c r="E28" i="4"/>
  <c r="E30" i="4"/>
  <c r="AH60" i="12"/>
  <c r="AK29" i="4"/>
  <c r="AK28" i="4"/>
  <c r="AK30" i="4"/>
  <c r="L60" i="12"/>
  <c r="O29" i="4"/>
  <c r="O28" i="4"/>
  <c r="O30" i="4"/>
  <c r="AB60" i="12"/>
  <c r="AE29" i="4"/>
  <c r="AE28" i="4"/>
  <c r="AE30" i="4"/>
  <c r="AM15" i="17"/>
  <c r="E93" i="17"/>
  <c r="E95" i="17"/>
  <c r="E96" i="17"/>
  <c r="E91" i="17"/>
  <c r="E94" i="17"/>
  <c r="Z46" i="1"/>
  <c r="Z44" i="1"/>
  <c r="AG46" i="1"/>
  <c r="AG44" i="1"/>
  <c r="AN46" i="1"/>
  <c r="AN44" i="1"/>
  <c r="X46" i="1"/>
  <c r="X44" i="1"/>
  <c r="W36" i="1"/>
  <c r="T5" i="17"/>
  <c r="AE108" i="12"/>
  <c r="AH50" i="4"/>
  <c r="AH49" i="4"/>
  <c r="AH51" i="4"/>
  <c r="O108" i="12"/>
  <c r="R50" i="4"/>
  <c r="R49" i="4"/>
  <c r="R51" i="4"/>
  <c r="AG108" i="12"/>
  <c r="AJ50" i="4"/>
  <c r="AJ49" i="4"/>
  <c r="AJ51" i="4"/>
  <c r="Q108" i="12"/>
  <c r="T50" i="4"/>
  <c r="T49" i="4"/>
  <c r="T51" i="4"/>
  <c r="AC71" i="12"/>
  <c r="AF33" i="4"/>
  <c r="AF32" i="4"/>
  <c r="AF34" i="4"/>
  <c r="M71" i="12"/>
  <c r="P33" i="4"/>
  <c r="P32" i="4"/>
  <c r="P34" i="4"/>
  <c r="AC21" i="12"/>
  <c r="AF13" i="4"/>
  <c r="AF12" i="4"/>
  <c r="AF14" i="4"/>
  <c r="M21" i="12"/>
  <c r="P13" i="4"/>
  <c r="P12" i="4"/>
  <c r="P14" i="4"/>
  <c r="W71" i="12"/>
  <c r="Z33" i="4"/>
  <c r="Z32" i="4"/>
  <c r="Z34" i="4"/>
  <c r="G71" i="12"/>
  <c r="J33" i="4"/>
  <c r="J32" i="4"/>
  <c r="J34" i="4"/>
  <c r="AA21" i="12"/>
  <c r="AD13" i="4"/>
  <c r="AD12" i="4"/>
  <c r="AD14" i="4"/>
  <c r="K21" i="12"/>
  <c r="N13" i="4"/>
  <c r="N12" i="4"/>
  <c r="K21" i="16"/>
  <c r="N14" i="4"/>
  <c r="AJ46" i="4"/>
  <c r="AG95" i="12"/>
  <c r="AJ45" i="4"/>
  <c r="Z46" i="4"/>
  <c r="W95" i="12"/>
  <c r="Z45" i="4"/>
  <c r="V46" i="4"/>
  <c r="S95" i="12"/>
  <c r="V45" i="4"/>
  <c r="K46" i="4"/>
  <c r="H95" i="12"/>
  <c r="K45" i="4"/>
  <c r="AA46" i="4"/>
  <c r="X95" i="12"/>
  <c r="AA45" i="4"/>
  <c r="E46" i="4"/>
  <c r="B95" i="12"/>
  <c r="E45" i="4"/>
  <c r="U46" i="4"/>
  <c r="R95" i="12"/>
  <c r="U45" i="4"/>
  <c r="AK46" i="4"/>
  <c r="AH95" i="12"/>
  <c r="AK45" i="4"/>
  <c r="P23" i="16"/>
  <c r="P62" i="16"/>
  <c r="S35" i="4"/>
  <c r="U16" i="6"/>
  <c r="Q16" i="6"/>
  <c r="M16" i="6"/>
  <c r="I16" i="6"/>
  <c r="E16" i="6"/>
  <c r="W16" i="6"/>
  <c r="S16" i="6"/>
  <c r="O16" i="6"/>
  <c r="K16" i="6"/>
  <c r="G16" i="6"/>
  <c r="V16" i="6"/>
  <c r="N16" i="6"/>
  <c r="F16" i="6"/>
  <c r="R16" i="6"/>
  <c r="J16" i="6"/>
  <c r="P16" i="6"/>
  <c r="H16" i="6"/>
  <c r="I23" i="1"/>
  <c r="AD23" i="1"/>
  <c r="D16" i="6"/>
  <c r="T16" i="6"/>
  <c r="L16" i="6"/>
  <c r="W19" i="6"/>
  <c r="S19" i="6"/>
  <c r="O19" i="6"/>
  <c r="K19" i="6"/>
  <c r="G19" i="6"/>
  <c r="Y19" i="6"/>
  <c r="U19" i="6"/>
  <c r="Q19" i="6"/>
  <c r="M19" i="6"/>
  <c r="I19" i="6"/>
  <c r="T19" i="6"/>
  <c r="L19" i="6"/>
  <c r="X19" i="6"/>
  <c r="P19" i="6"/>
  <c r="H19" i="6"/>
  <c r="V19" i="6"/>
  <c r="N19" i="6"/>
  <c r="J19" i="6"/>
  <c r="Z19" i="6"/>
  <c r="Z21" i="6"/>
  <c r="Z22" i="6"/>
  <c r="AE22" i="1"/>
  <c r="AE21" i="1"/>
  <c r="R19" i="6"/>
  <c r="L23" i="1"/>
  <c r="AG23" i="1"/>
  <c r="AJ23" i="16"/>
  <c r="AJ62" i="16"/>
  <c r="D23" i="16"/>
  <c r="D62" i="16"/>
  <c r="O35" i="4"/>
  <c r="F49" i="12"/>
  <c r="I26" i="4"/>
  <c r="V49" i="12"/>
  <c r="Y26" i="4"/>
  <c r="AL49" i="12"/>
  <c r="AO26" i="4"/>
  <c r="P49" i="12"/>
  <c r="S26" i="4"/>
  <c r="AF49" i="12"/>
  <c r="AI26" i="4"/>
  <c r="AM102" i="17"/>
  <c r="AM87" i="17"/>
  <c r="AM92" i="17"/>
  <c r="AK44" i="7"/>
  <c r="Y52" i="4"/>
  <c r="I52" i="4"/>
  <c r="V62" i="16"/>
  <c r="V23" i="16"/>
  <c r="L31" i="4"/>
  <c r="AM62" i="16"/>
  <c r="AM23" i="16"/>
  <c r="C94" i="17"/>
  <c r="C91" i="17"/>
  <c r="C93" i="17"/>
  <c r="C95" i="17"/>
  <c r="C96" i="17"/>
  <c r="AN44" i="4"/>
  <c r="AH62" i="16"/>
  <c r="AH23" i="16"/>
  <c r="AN28" i="4"/>
  <c r="H28" i="4"/>
  <c r="U96" i="17"/>
  <c r="U95" i="17"/>
  <c r="U93" i="17"/>
  <c r="U91" i="17"/>
  <c r="U94" i="17"/>
  <c r="AF44" i="4"/>
  <c r="AG60" i="12"/>
  <c r="AJ29" i="4"/>
  <c r="AJ30" i="4"/>
  <c r="V30" i="4"/>
  <c r="S60" i="12"/>
  <c r="V29" i="4"/>
  <c r="V28" i="4"/>
  <c r="R30" i="4"/>
  <c r="O60" i="12"/>
  <c r="R29" i="4"/>
  <c r="R28" i="4"/>
  <c r="F60" i="12"/>
  <c r="I29" i="4"/>
  <c r="I30" i="4"/>
  <c r="V60" i="12"/>
  <c r="Y29" i="4"/>
  <c r="Y30" i="4"/>
  <c r="AL60" i="12"/>
  <c r="AO29" i="4"/>
  <c r="AO30" i="4"/>
  <c r="P60" i="12"/>
  <c r="S29" i="4"/>
  <c r="S30" i="4"/>
  <c r="AF60" i="12"/>
  <c r="AI29" i="4"/>
  <c r="AI30" i="4"/>
  <c r="AL33" i="12"/>
  <c r="AH33" i="12"/>
  <c r="AD33" i="12"/>
  <c r="Z33" i="12"/>
  <c r="V33" i="12"/>
  <c r="R33" i="12"/>
  <c r="N33" i="12"/>
  <c r="J33" i="12"/>
  <c r="F33" i="12"/>
  <c r="B33" i="12"/>
  <c r="AJ33" i="12"/>
  <c r="AF33" i="12"/>
  <c r="AB33" i="12"/>
  <c r="X33" i="12"/>
  <c r="T33" i="12"/>
  <c r="P33" i="12"/>
  <c r="L33" i="12"/>
  <c r="H33" i="12"/>
  <c r="D33" i="12"/>
  <c r="AK33" i="12"/>
  <c r="AC33" i="12"/>
  <c r="U33" i="12"/>
  <c r="M33" i="12"/>
  <c r="E33" i="12"/>
  <c r="AG33" i="12"/>
  <c r="Y33" i="12"/>
  <c r="Q33" i="12"/>
  <c r="I33" i="12"/>
  <c r="AE33" i="12"/>
  <c r="O33" i="12"/>
  <c r="AA33" i="12"/>
  <c r="K33" i="12"/>
  <c r="W33" i="12"/>
  <c r="G33" i="12"/>
  <c r="AI33" i="12"/>
  <c r="S33" i="12"/>
  <c r="C33" i="12"/>
  <c r="AB65" i="16"/>
  <c r="AB26" i="16"/>
  <c r="J62" i="16"/>
  <c r="J23" i="16"/>
  <c r="Q35" i="4"/>
  <c r="P28" i="4"/>
  <c r="Y36" i="1"/>
  <c r="V5" i="17"/>
  <c r="AA108" i="12"/>
  <c r="AD50" i="4"/>
  <c r="AD51" i="4"/>
  <c r="M108" i="12"/>
  <c r="P50" i="4"/>
  <c r="P51" i="4"/>
  <c r="C71" i="12"/>
  <c r="F33" i="4"/>
  <c r="F34" i="4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S22" i="7"/>
  <c r="AH46" i="4"/>
  <c r="AE95" i="12"/>
  <c r="AH45" i="4"/>
  <c r="AH44" i="4"/>
  <c r="AE46" i="4"/>
  <c r="AB95" i="12"/>
  <c r="AE45" i="4"/>
  <c r="H23" i="16"/>
  <c r="H62" i="16"/>
  <c r="X18" i="6"/>
  <c r="T18" i="6"/>
  <c r="P18" i="6"/>
  <c r="L18" i="6"/>
  <c r="H18" i="6"/>
  <c r="V18" i="6"/>
  <c r="R18" i="6"/>
  <c r="N18" i="6"/>
  <c r="J18" i="6"/>
  <c r="F18" i="6"/>
  <c r="S18" i="6"/>
  <c r="K18" i="6"/>
  <c r="W18" i="6"/>
  <c r="O18" i="6"/>
  <c r="G18" i="6"/>
  <c r="Q18" i="6"/>
  <c r="K23" i="1"/>
  <c r="AF23" i="1"/>
  <c r="Y18" i="6"/>
  <c r="Y21" i="6"/>
  <c r="Y22" i="6"/>
  <c r="AD22" i="1"/>
  <c r="AD21" i="1"/>
  <c r="I18" i="6"/>
  <c r="M18" i="6"/>
  <c r="U18" i="6"/>
  <c r="B19" i="7"/>
  <c r="AB23" i="16"/>
  <c r="AB62" i="16"/>
  <c r="D49" i="12"/>
  <c r="G26" i="4"/>
  <c r="AJ49" i="12"/>
  <c r="AM26" i="4"/>
  <c r="X47" i="4"/>
  <c r="X43" i="4"/>
  <c r="F62" i="16"/>
  <c r="F23" i="16"/>
  <c r="I24" i="16"/>
  <c r="I63" i="16"/>
  <c r="R62" i="16"/>
  <c r="R23" i="16"/>
  <c r="U35" i="4"/>
  <c r="AN31" i="4"/>
  <c r="H31" i="4"/>
  <c r="AA103" i="17"/>
  <c r="AA87" i="17"/>
  <c r="AA92" i="17"/>
  <c r="S103" i="17"/>
  <c r="S87" i="17"/>
  <c r="AC96" i="17"/>
  <c r="AC91" i="17"/>
  <c r="AC94" i="17"/>
  <c r="AC93" i="17"/>
  <c r="AC95" i="17"/>
  <c r="AH65" i="16"/>
  <c r="AH26" i="16"/>
  <c r="Q60" i="12"/>
  <c r="T29" i="4"/>
  <c r="T30" i="4"/>
  <c r="AD30" i="4"/>
  <c r="AA60" i="12"/>
  <c r="AD29" i="4"/>
  <c r="Z30" i="4"/>
  <c r="W60" i="12"/>
  <c r="Z29" i="4"/>
  <c r="Z28" i="4"/>
  <c r="J60" i="12"/>
  <c r="M29" i="4"/>
  <c r="M28" i="4"/>
  <c r="M30" i="4"/>
  <c r="Z60" i="12"/>
  <c r="AC29" i="4"/>
  <c r="AC30" i="4"/>
  <c r="D60" i="12"/>
  <c r="G29" i="4"/>
  <c r="G28" i="4"/>
  <c r="G30" i="4"/>
  <c r="T60" i="12"/>
  <c r="W29" i="4"/>
  <c r="W30" i="4"/>
  <c r="AJ60" i="12"/>
  <c r="AM29" i="4"/>
  <c r="AM28" i="4"/>
  <c r="AM30" i="4"/>
  <c r="AM7" i="17"/>
  <c r="AP17" i="4"/>
  <c r="L65" i="16"/>
  <c r="L26" i="16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B10" i="7"/>
  <c r="AL82" i="12"/>
  <c r="AH82" i="12"/>
  <c r="AD82" i="12"/>
  <c r="Z82" i="12"/>
  <c r="V82" i="12"/>
  <c r="R82" i="12"/>
  <c r="N82" i="12"/>
  <c r="J82" i="12"/>
  <c r="F82" i="12"/>
  <c r="B82" i="12"/>
  <c r="AJ82" i="12"/>
  <c r="AF82" i="12"/>
  <c r="AB82" i="12"/>
  <c r="X82" i="12"/>
  <c r="T82" i="12"/>
  <c r="P82" i="12"/>
  <c r="L82" i="12"/>
  <c r="H82" i="12"/>
  <c r="D82" i="12"/>
  <c r="AG82" i="12"/>
  <c r="Y82" i="12"/>
  <c r="Q82" i="12"/>
  <c r="I82" i="12"/>
  <c r="AK82" i="12"/>
  <c r="AC82" i="12"/>
  <c r="U82" i="12"/>
  <c r="M82" i="12"/>
  <c r="E82" i="12"/>
  <c r="AI82" i="12"/>
  <c r="S82" i="12"/>
  <c r="C82" i="12"/>
  <c r="AE82" i="12"/>
  <c r="O82" i="12"/>
  <c r="AA82" i="12"/>
  <c r="K82" i="12"/>
  <c r="W82" i="12"/>
  <c r="G82" i="12"/>
  <c r="I35" i="4"/>
  <c r="P31" i="4"/>
  <c r="D95" i="17"/>
  <c r="D94" i="17"/>
  <c r="D93" i="17"/>
  <c r="D91" i="17"/>
  <c r="D96" i="17"/>
  <c r="P5" i="4"/>
  <c r="AF5" i="4"/>
  <c r="X103" i="17"/>
  <c r="X87" i="17"/>
  <c r="X92" i="17"/>
  <c r="P103" i="17"/>
  <c r="P87" i="17"/>
  <c r="P92" i="17"/>
  <c r="AN5" i="4"/>
  <c r="T5" i="4"/>
  <c r="AD103" i="17"/>
  <c r="AD87" i="17"/>
  <c r="AD92" i="17"/>
  <c r="V103" i="17"/>
  <c r="V87" i="17"/>
  <c r="V92" i="17"/>
  <c r="N103" i="17"/>
  <c r="N87" i="17"/>
  <c r="N92" i="17"/>
  <c r="AA44" i="1"/>
  <c r="AA46" i="1"/>
  <c r="AH46" i="1"/>
  <c r="AH44" i="1"/>
  <c r="W108" i="12"/>
  <c r="Z50" i="4"/>
  <c r="Z51" i="4"/>
  <c r="G108" i="12"/>
  <c r="J50" i="4"/>
  <c r="J49" i="4"/>
  <c r="J51" i="4"/>
  <c r="Y108" i="12"/>
  <c r="AB50" i="4"/>
  <c r="AB51" i="4"/>
  <c r="I108" i="12"/>
  <c r="L50" i="4"/>
  <c r="L49" i="4"/>
  <c r="L51" i="4"/>
  <c r="AL42" i="7"/>
  <c r="AO42" i="1"/>
  <c r="AK42" i="7"/>
  <c r="AN42" i="1"/>
  <c r="U71" i="12"/>
  <c r="X33" i="4"/>
  <c r="X32" i="4"/>
  <c r="X34" i="4"/>
  <c r="E71" i="12"/>
  <c r="H33" i="4"/>
  <c r="H34" i="4"/>
  <c r="U21" i="12"/>
  <c r="X13" i="4"/>
  <c r="X12" i="4"/>
  <c r="X14" i="4"/>
  <c r="E21" i="12"/>
  <c r="H13" i="4"/>
  <c r="H14" i="4"/>
  <c r="AE71" i="12"/>
  <c r="AH33" i="4"/>
  <c r="AH32" i="4"/>
  <c r="AH34" i="4"/>
  <c r="O71" i="12"/>
  <c r="R33" i="4"/>
  <c r="R34" i="4"/>
  <c r="AI21" i="12"/>
  <c r="AL13" i="4"/>
  <c r="AL12" i="4"/>
  <c r="AL14" i="4"/>
  <c r="S21" i="12"/>
  <c r="V13" i="4"/>
  <c r="V12" i="4"/>
  <c r="V14" i="4"/>
  <c r="C21" i="12"/>
  <c r="F13" i="4"/>
  <c r="F12" i="4"/>
  <c r="C21" i="16"/>
  <c r="F14" i="4"/>
  <c r="AM27" i="16"/>
  <c r="AM66" i="16"/>
  <c r="J46" i="4"/>
  <c r="G95" i="12"/>
  <c r="J45" i="4"/>
  <c r="F46" i="4"/>
  <c r="C95" i="12"/>
  <c r="F45" i="4"/>
  <c r="AL46" i="4"/>
  <c r="AI95" i="12"/>
  <c r="AL45" i="4"/>
  <c r="S46" i="4"/>
  <c r="P95" i="12"/>
  <c r="S45" i="4"/>
  <c r="AI46" i="4"/>
  <c r="AF95" i="12"/>
  <c r="AI45" i="4"/>
  <c r="M46" i="4"/>
  <c r="J95" i="12"/>
  <c r="M45" i="4"/>
  <c r="AC46" i="4"/>
  <c r="Z95" i="12"/>
  <c r="AC45" i="4"/>
  <c r="AF23" i="16"/>
  <c r="AF62" i="16"/>
  <c r="AI35" i="4"/>
  <c r="AL26" i="4"/>
  <c r="AI49" i="12"/>
  <c r="R14" i="6"/>
  <c r="R21" i="6"/>
  <c r="R22" i="6"/>
  <c r="W22" i="1"/>
  <c r="W21" i="1"/>
  <c r="N14" i="6"/>
  <c r="N21" i="6"/>
  <c r="N22" i="6"/>
  <c r="S22" i="1"/>
  <c r="S21" i="1"/>
  <c r="J14" i="6"/>
  <c r="J21" i="6"/>
  <c r="J22" i="6"/>
  <c r="O22" i="1"/>
  <c r="O21" i="1"/>
  <c r="F14" i="6"/>
  <c r="F21" i="6"/>
  <c r="F22" i="6"/>
  <c r="K22" i="1"/>
  <c r="K21" i="1"/>
  <c r="B14" i="6"/>
  <c r="B21" i="6"/>
  <c r="B22" i="6"/>
  <c r="G22" i="1"/>
  <c r="G21" i="1"/>
  <c r="T14" i="6"/>
  <c r="T21" i="6"/>
  <c r="T22" i="6"/>
  <c r="Y22" i="1"/>
  <c r="Y21" i="1"/>
  <c r="P14" i="6"/>
  <c r="P21" i="6"/>
  <c r="P22" i="6"/>
  <c r="U22" i="1"/>
  <c r="U21" i="1"/>
  <c r="L14" i="6"/>
  <c r="L21" i="6"/>
  <c r="L22" i="6"/>
  <c r="Q22" i="1"/>
  <c r="Q21" i="1"/>
  <c r="H14" i="6"/>
  <c r="H21" i="6"/>
  <c r="H22" i="6"/>
  <c r="M22" i="1"/>
  <c r="M21" i="1"/>
  <c r="D14" i="6"/>
  <c r="D21" i="6"/>
  <c r="D22" i="6"/>
  <c r="I22" i="1"/>
  <c r="I21" i="1"/>
  <c r="S14" i="6"/>
  <c r="S21" i="6"/>
  <c r="S22" i="6"/>
  <c r="X22" i="1"/>
  <c r="X21" i="1"/>
  <c r="K14" i="6"/>
  <c r="K21" i="6"/>
  <c r="K22" i="6"/>
  <c r="P22" i="1"/>
  <c r="P21" i="1"/>
  <c r="C14" i="6"/>
  <c r="C21" i="6"/>
  <c r="C22" i="6"/>
  <c r="H22" i="1"/>
  <c r="H21" i="1"/>
  <c r="O14" i="6"/>
  <c r="O21" i="6"/>
  <c r="O22" i="6"/>
  <c r="T22" i="1"/>
  <c r="T21" i="1"/>
  <c r="G14" i="6"/>
  <c r="G21" i="6"/>
  <c r="G22" i="6"/>
  <c r="L22" i="1"/>
  <c r="L21" i="1"/>
  <c r="U14" i="6"/>
  <c r="U21" i="6"/>
  <c r="U22" i="6"/>
  <c r="Z22" i="1"/>
  <c r="Z21" i="1"/>
  <c r="E14" i="6"/>
  <c r="E21" i="6"/>
  <c r="E22" i="6"/>
  <c r="J22" i="1"/>
  <c r="J21" i="1"/>
  <c r="G23" i="1"/>
  <c r="AB23" i="1"/>
  <c r="M14" i="6"/>
  <c r="M21" i="6"/>
  <c r="M22" i="6"/>
  <c r="R22" i="1"/>
  <c r="R21" i="1"/>
  <c r="I14" i="6"/>
  <c r="I21" i="6"/>
  <c r="I22" i="6"/>
  <c r="N22" i="1"/>
  <c r="N21" i="1"/>
  <c r="Q14" i="6"/>
  <c r="Q21" i="6"/>
  <c r="Q22" i="6"/>
  <c r="V22" i="1"/>
  <c r="V21" i="1"/>
  <c r="V20" i="1"/>
  <c r="V5" i="1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S29" i="12"/>
  <c r="S50" i="16"/>
  <c r="T23" i="16"/>
  <c r="T62" i="16"/>
  <c r="AE35" i="4"/>
  <c r="AP26" i="4"/>
  <c r="AM49" i="12"/>
  <c r="N49" i="12"/>
  <c r="Q26" i="4"/>
  <c r="AD49" i="12"/>
  <c r="AG26" i="4"/>
  <c r="H49" i="12"/>
  <c r="K26" i="4"/>
  <c r="X49" i="12"/>
  <c r="AA26" i="4"/>
  <c r="AG49" i="4"/>
  <c r="Q49" i="4"/>
  <c r="AB31" i="4"/>
  <c r="T65" i="16"/>
  <c r="T26" i="16"/>
  <c r="L60" i="16"/>
  <c r="L82" i="1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S10" i="7"/>
  <c r="P44" i="4"/>
  <c r="B62" i="16"/>
  <c r="B23" i="16"/>
  <c r="X28" i="4"/>
  <c r="AJ5" i="4"/>
  <c r="G52" i="4"/>
  <c r="F95" i="17"/>
  <c r="F96" i="17"/>
  <c r="F91" i="17"/>
  <c r="F93" i="17"/>
  <c r="F94" i="17"/>
  <c r="M92" i="17"/>
  <c r="M96" i="17"/>
  <c r="M93" i="17"/>
  <c r="M91" i="17"/>
  <c r="M95" i="17"/>
  <c r="M94" i="17"/>
  <c r="B26" i="16"/>
  <c r="B65" i="16"/>
  <c r="AD62" i="16"/>
  <c r="AD23" i="16"/>
  <c r="F30" i="4"/>
  <c r="C60" i="12"/>
  <c r="F29" i="4"/>
  <c r="AL30" i="4"/>
  <c r="AI60" i="12"/>
  <c r="AL29" i="4"/>
  <c r="AH30" i="4"/>
  <c r="AE60" i="12"/>
  <c r="AH29" i="4"/>
  <c r="N60" i="12"/>
  <c r="Q29" i="4"/>
  <c r="Q28" i="4"/>
  <c r="Q30" i="4"/>
  <c r="AD60" i="12"/>
  <c r="AG29" i="4"/>
  <c r="AG28" i="4"/>
  <c r="AG30" i="4"/>
  <c r="H60" i="12"/>
  <c r="K29" i="4"/>
  <c r="K28" i="4"/>
  <c r="K30" i="4"/>
  <c r="X60" i="12"/>
  <c r="AA29" i="4"/>
  <c r="AA28" i="4"/>
  <c r="AA30" i="4"/>
  <c r="E92" i="17"/>
  <c r="E17" i="1"/>
  <c r="AM8" i="17"/>
  <c r="AP38" i="4"/>
  <c r="AG35" i="4"/>
  <c r="AF28" i="4"/>
  <c r="Y92" i="17"/>
  <c r="Q93" i="17"/>
  <c r="Q96" i="17"/>
  <c r="Q91" i="17"/>
  <c r="Q95" i="17"/>
  <c r="Q94" i="17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8" i="2"/>
  <c r="S48" i="16"/>
  <c r="S5" i="12"/>
  <c r="N10" i="12"/>
  <c r="Q9" i="4"/>
  <c r="Q10" i="4"/>
  <c r="N14" i="17"/>
  <c r="AE10" i="4"/>
  <c r="AB14" i="17"/>
  <c r="AB10" i="12"/>
  <c r="AE9" i="4"/>
  <c r="AH10" i="12"/>
  <c r="AK9" i="4"/>
  <c r="AK10" i="4"/>
  <c r="B10" i="12"/>
  <c r="E9" i="4"/>
  <c r="E10" i="4"/>
  <c r="H10" i="12"/>
  <c r="K9" i="4"/>
  <c r="K10" i="4"/>
  <c r="H14" i="17"/>
  <c r="AL10" i="12"/>
  <c r="AO9" i="4"/>
  <c r="AO10" i="4"/>
  <c r="F10" i="12"/>
  <c r="I9" i="4"/>
  <c r="I10" i="4"/>
  <c r="T10" i="12"/>
  <c r="W9" i="4"/>
  <c r="W10" i="4"/>
  <c r="T14" i="17"/>
  <c r="Z10" i="12"/>
  <c r="AC9" i="4"/>
  <c r="AC10" i="4"/>
  <c r="AF10" i="12"/>
  <c r="AI9" i="4"/>
  <c r="AI10" i="4"/>
  <c r="AD10" i="12"/>
  <c r="AG9" i="4"/>
  <c r="AG10" i="4"/>
  <c r="AP11" i="4"/>
  <c r="AM59" i="16"/>
  <c r="AM20" i="16"/>
  <c r="AP7" i="4"/>
  <c r="L10" i="12"/>
  <c r="O9" i="4"/>
  <c r="O10" i="4"/>
  <c r="R10" i="12"/>
  <c r="U9" i="4"/>
  <c r="U10" i="4"/>
  <c r="X10" i="12"/>
  <c r="AA9" i="4"/>
  <c r="AA10" i="4"/>
  <c r="X14" i="17"/>
  <c r="V10" i="12"/>
  <c r="Y9" i="4"/>
  <c r="Y10" i="4"/>
  <c r="AJ10" i="12"/>
  <c r="AM9" i="4"/>
  <c r="AM10" i="4"/>
  <c r="D10" i="12"/>
  <c r="G9" i="4"/>
  <c r="G10" i="4"/>
  <c r="D14" i="17"/>
  <c r="J10" i="12"/>
  <c r="M9" i="4"/>
  <c r="M10" i="4"/>
  <c r="J14" i="17"/>
  <c r="P10" i="12"/>
  <c r="S9" i="4"/>
  <c r="S10" i="4"/>
  <c r="W10" i="12"/>
  <c r="Z9" i="4"/>
  <c r="Z10" i="4"/>
  <c r="U10" i="12"/>
  <c r="X9" i="4"/>
  <c r="X10" i="4"/>
  <c r="S10" i="12"/>
  <c r="V9" i="4"/>
  <c r="V10" i="4"/>
  <c r="AG10" i="12"/>
  <c r="AJ9" i="4"/>
  <c r="AJ10" i="4"/>
  <c r="AE10" i="12"/>
  <c r="AH9" i="4"/>
  <c r="AH10" i="4"/>
  <c r="O10" i="12"/>
  <c r="R9" i="4"/>
  <c r="R10" i="4"/>
  <c r="AC10" i="12"/>
  <c r="AF9" i="4"/>
  <c r="AF10" i="4"/>
  <c r="M10" i="12"/>
  <c r="P9" i="4"/>
  <c r="P10" i="4"/>
  <c r="AI14" i="17"/>
  <c r="G10" i="12"/>
  <c r="J9" i="4"/>
  <c r="J10" i="4"/>
  <c r="AK10" i="12"/>
  <c r="AN9" i="4"/>
  <c r="AN10" i="4"/>
  <c r="E10" i="12"/>
  <c r="H9" i="4"/>
  <c r="H10" i="4"/>
  <c r="C10" i="12"/>
  <c r="F9" i="4"/>
  <c r="F10" i="4"/>
  <c r="Q10" i="12"/>
  <c r="T9" i="4"/>
  <c r="T10" i="4"/>
  <c r="AA10" i="12"/>
  <c r="AD9" i="4"/>
  <c r="AD10" i="4"/>
  <c r="K10" i="12"/>
  <c r="N9" i="4"/>
  <c r="N10" i="4"/>
  <c r="Y10" i="12"/>
  <c r="AB9" i="4"/>
  <c r="AB10" i="4"/>
  <c r="I10" i="12"/>
  <c r="L9" i="4"/>
  <c r="L10" i="4"/>
  <c r="AI6" i="17"/>
  <c r="AL8" i="4"/>
  <c r="AL11" i="4"/>
  <c r="D5" i="17"/>
  <c r="AB5" i="17"/>
  <c r="L5" i="17"/>
  <c r="F5" i="17"/>
  <c r="B5" i="17"/>
  <c r="P5" i="17"/>
  <c r="R5" i="17"/>
  <c r="W5" i="17"/>
  <c r="U5" i="17"/>
  <c r="AE44" i="1"/>
  <c r="AJ44" i="1"/>
  <c r="AO44" i="1"/>
  <c r="Y44" i="1"/>
  <c r="AF44" i="1"/>
  <c r="I11" i="1"/>
  <c r="H13" i="1"/>
  <c r="AB44" i="1"/>
  <c r="AM108" i="17"/>
  <c r="V108" i="17"/>
  <c r="Z108" i="17"/>
  <c r="T108" i="17"/>
  <c r="P108" i="17"/>
  <c r="S108" i="17"/>
  <c r="W108" i="17"/>
  <c r="N108" i="17"/>
  <c r="X108" i="17"/>
  <c r="AA108" i="17"/>
  <c r="U97" i="17"/>
  <c r="C97" i="17"/>
  <c r="O108" i="17"/>
  <c r="R108" i="17"/>
  <c r="AD108" i="17"/>
  <c r="AC97" i="17"/>
  <c r="AB108" i="17"/>
  <c r="N63" i="16"/>
  <c r="N24" i="16"/>
  <c r="P47" i="4"/>
  <c r="P43" i="4"/>
  <c r="AG5" i="4"/>
  <c r="Q97" i="17"/>
  <c r="AA31" i="4"/>
  <c r="AG31" i="4"/>
  <c r="AH28" i="4"/>
  <c r="F28" i="4"/>
  <c r="M97" i="17"/>
  <c r="U24" i="16"/>
  <c r="U63" i="16"/>
  <c r="X31" i="4"/>
  <c r="S11" i="7"/>
  <c r="V33" i="1"/>
  <c r="V31" i="1"/>
  <c r="C29" i="3"/>
  <c r="C3" i="14"/>
  <c r="C27" i="14"/>
  <c r="AP5" i="4"/>
  <c r="AM17" i="17"/>
  <c r="M44" i="4"/>
  <c r="S44" i="4"/>
  <c r="F44" i="4"/>
  <c r="V15" i="4"/>
  <c r="E15" i="1"/>
  <c r="X63" i="16"/>
  <c r="X24" i="16"/>
  <c r="AD63" i="16"/>
  <c r="AD24" i="16"/>
  <c r="AH31" i="4"/>
  <c r="F31" i="4"/>
  <c r="N65" i="16"/>
  <c r="N26" i="16"/>
  <c r="Q52" i="4"/>
  <c r="K5" i="4"/>
  <c r="Q5" i="4"/>
  <c r="S21" i="16"/>
  <c r="S60" i="16"/>
  <c r="AP41" i="4"/>
  <c r="AP37" i="4"/>
  <c r="AM67" i="16"/>
  <c r="AM28" i="16"/>
  <c r="H63" i="16"/>
  <c r="H24" i="16"/>
  <c r="AL31" i="4"/>
  <c r="AA5" i="4"/>
  <c r="AM112" i="12"/>
  <c r="AM48" i="12"/>
  <c r="AP24" i="4"/>
  <c r="AM44" i="12"/>
  <c r="AC24" i="16"/>
  <c r="AC63" i="16"/>
  <c r="AF31" i="4"/>
  <c r="AP17" i="1"/>
  <c r="K31" i="4"/>
  <c r="Q31" i="4"/>
  <c r="AL28" i="4"/>
  <c r="F97" i="17"/>
  <c r="L103" i="17"/>
  <c r="L87" i="17"/>
  <c r="AD65" i="16"/>
  <c r="AD26" i="16"/>
  <c r="AG52" i="4"/>
  <c r="AL5" i="4"/>
  <c r="AC44" i="4"/>
  <c r="AI44" i="4"/>
  <c r="AL44" i="4"/>
  <c r="J44" i="4"/>
  <c r="AL15" i="4"/>
  <c r="AH35" i="4"/>
  <c r="X15" i="4"/>
  <c r="X35" i="4"/>
  <c r="AB49" i="4"/>
  <c r="Z49" i="4"/>
  <c r="N96" i="17"/>
  <c r="N91" i="17"/>
  <c r="N93" i="17"/>
  <c r="N95" i="17"/>
  <c r="N94" i="17"/>
  <c r="X93" i="17"/>
  <c r="X94" i="17"/>
  <c r="X96" i="17"/>
  <c r="X95" i="17"/>
  <c r="X91" i="17"/>
  <c r="AD40" i="4"/>
  <c r="AA83" i="12"/>
  <c r="AD39" i="4"/>
  <c r="V40" i="4"/>
  <c r="S16" i="17"/>
  <c r="S83" i="12"/>
  <c r="V39" i="4"/>
  <c r="X40" i="4"/>
  <c r="U16" i="17"/>
  <c r="U83" i="12"/>
  <c r="X39" i="4"/>
  <c r="T40" i="4"/>
  <c r="Q16" i="17"/>
  <c r="Q83" i="12"/>
  <c r="T39" i="4"/>
  <c r="K40" i="4"/>
  <c r="H16" i="17"/>
  <c r="H83" i="12"/>
  <c r="K39" i="4"/>
  <c r="AA40" i="4"/>
  <c r="X16" i="17"/>
  <c r="X83" i="12"/>
  <c r="AA39" i="4"/>
  <c r="E40" i="4"/>
  <c r="B16" i="17"/>
  <c r="B83" i="12"/>
  <c r="E39" i="4"/>
  <c r="U40" i="4"/>
  <c r="R16" i="17"/>
  <c r="R83" i="12"/>
  <c r="U39" i="4"/>
  <c r="AK40" i="4"/>
  <c r="AH16" i="17"/>
  <c r="AH83" i="12"/>
  <c r="AK39" i="4"/>
  <c r="AM31" i="4"/>
  <c r="G31" i="4"/>
  <c r="M31" i="4"/>
  <c r="AD28" i="4"/>
  <c r="S92" i="17"/>
  <c r="S94" i="17"/>
  <c r="S96" i="17"/>
  <c r="S93" i="17"/>
  <c r="S95" i="17"/>
  <c r="S91" i="17"/>
  <c r="F32" i="4"/>
  <c r="AD49" i="4"/>
  <c r="AI34" i="12"/>
  <c r="AL18" i="4"/>
  <c r="AL19" i="4"/>
  <c r="AA34" i="12"/>
  <c r="AD18" i="4"/>
  <c r="AD19" i="4"/>
  <c r="T19" i="4"/>
  <c r="Q34" i="12"/>
  <c r="T18" i="4"/>
  <c r="P19" i="4"/>
  <c r="M34" i="12"/>
  <c r="P18" i="4"/>
  <c r="D34" i="12"/>
  <c r="G18" i="4"/>
  <c r="G19" i="4"/>
  <c r="T34" i="12"/>
  <c r="W18" i="4"/>
  <c r="W19" i="4"/>
  <c r="AJ34" i="12"/>
  <c r="AM18" i="4"/>
  <c r="AM19" i="4"/>
  <c r="N34" i="12"/>
  <c r="Q18" i="4"/>
  <c r="Q19" i="4"/>
  <c r="AD34" i="12"/>
  <c r="AG18" i="4"/>
  <c r="AG19" i="4"/>
  <c r="AI28" i="4"/>
  <c r="AO28" i="4"/>
  <c r="I28" i="4"/>
  <c r="V31" i="4"/>
  <c r="AM91" i="17"/>
  <c r="AK44" i="4"/>
  <c r="E44" i="4"/>
  <c r="K44" i="4"/>
  <c r="Z44" i="4"/>
  <c r="N15" i="4"/>
  <c r="J35" i="4"/>
  <c r="P15" i="4"/>
  <c r="P35" i="4"/>
  <c r="T52" i="4"/>
  <c r="R52" i="4"/>
  <c r="AE31" i="4"/>
  <c r="AK31" i="4"/>
  <c r="J28" i="4"/>
  <c r="O92" i="17"/>
  <c r="O93" i="17"/>
  <c r="O91" i="17"/>
  <c r="O94" i="17"/>
  <c r="O96" i="17"/>
  <c r="O95" i="17"/>
  <c r="T12" i="4"/>
  <c r="H49" i="4"/>
  <c r="F49" i="4"/>
  <c r="AO44" i="4"/>
  <c r="I44" i="4"/>
  <c r="AD44" i="4"/>
  <c r="J15" i="4"/>
  <c r="V35" i="4"/>
  <c r="AB15" i="4"/>
  <c r="AB35" i="4"/>
  <c r="K63" i="16"/>
  <c r="K24" i="16"/>
  <c r="R12" i="4"/>
  <c r="N32" i="4"/>
  <c r="T32" i="4"/>
  <c r="V52" i="4"/>
  <c r="AC5" i="4"/>
  <c r="N52" i="4"/>
  <c r="AI21" i="16"/>
  <c r="AI60" i="16"/>
  <c r="AE62" i="16"/>
  <c r="AE23" i="16"/>
  <c r="U60" i="16"/>
  <c r="U21" i="16"/>
  <c r="U62" i="16"/>
  <c r="U23" i="16"/>
  <c r="L52" i="4"/>
  <c r="J52" i="4"/>
  <c r="P93" i="17"/>
  <c r="P94" i="17"/>
  <c r="P91" i="17"/>
  <c r="P95" i="17"/>
  <c r="P96" i="17"/>
  <c r="J40" i="4"/>
  <c r="G16" i="17"/>
  <c r="G83" i="12"/>
  <c r="J39" i="4"/>
  <c r="R40" i="4"/>
  <c r="O16" i="17"/>
  <c r="O83" i="12"/>
  <c r="R39" i="4"/>
  <c r="AL40" i="4"/>
  <c r="AI16" i="17"/>
  <c r="AI83" i="12"/>
  <c r="AL39" i="4"/>
  <c r="AF40" i="4"/>
  <c r="AC16" i="17"/>
  <c r="AC83" i="12"/>
  <c r="AF39" i="4"/>
  <c r="AB40" i="4"/>
  <c r="Y16" i="17"/>
  <c r="Y83" i="12"/>
  <c r="AB39" i="4"/>
  <c r="O40" i="4"/>
  <c r="L16" i="17"/>
  <c r="L83" i="12"/>
  <c r="O39" i="4"/>
  <c r="AE40" i="4"/>
  <c r="AB16" i="17"/>
  <c r="AB83" i="12"/>
  <c r="AE39" i="4"/>
  <c r="I40" i="4"/>
  <c r="F16" i="17"/>
  <c r="F83" i="12"/>
  <c r="I39" i="4"/>
  <c r="Y40" i="4"/>
  <c r="V16" i="17"/>
  <c r="V83" i="12"/>
  <c r="Y39" i="4"/>
  <c r="AO40" i="4"/>
  <c r="AL16" i="17"/>
  <c r="AL83" i="12"/>
  <c r="AO39" i="4"/>
  <c r="AJ63" i="16"/>
  <c r="AJ24" i="16"/>
  <c r="D63" i="16"/>
  <c r="D24" i="16"/>
  <c r="J63" i="16"/>
  <c r="J24" i="16"/>
  <c r="AD31" i="4"/>
  <c r="G5" i="4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2" i="7"/>
  <c r="AE44" i="4"/>
  <c r="S23" i="7"/>
  <c r="V37" i="1"/>
  <c r="G34" i="12"/>
  <c r="J18" i="4"/>
  <c r="J19" i="4"/>
  <c r="O34" i="12"/>
  <c r="R18" i="4"/>
  <c r="R19" i="4"/>
  <c r="AB19" i="4"/>
  <c r="Y34" i="12"/>
  <c r="AB18" i="4"/>
  <c r="X19" i="4"/>
  <c r="U34" i="12"/>
  <c r="X18" i="4"/>
  <c r="H34" i="12"/>
  <c r="K18" i="4"/>
  <c r="K19" i="4"/>
  <c r="X34" i="12"/>
  <c r="AA18" i="4"/>
  <c r="AA19" i="4"/>
  <c r="B34" i="12"/>
  <c r="E18" i="4"/>
  <c r="E19" i="4"/>
  <c r="R34" i="12"/>
  <c r="U18" i="4"/>
  <c r="U19" i="4"/>
  <c r="AH34" i="12"/>
  <c r="AK18" i="4"/>
  <c r="AK19" i="4"/>
  <c r="O63" i="16"/>
  <c r="O24" i="16"/>
  <c r="E24" i="16"/>
  <c r="E63" i="16"/>
  <c r="AN47" i="4"/>
  <c r="AN43" i="4"/>
  <c r="AM94" i="17"/>
  <c r="AM95" i="17"/>
  <c r="AM93" i="17"/>
  <c r="AM96" i="17"/>
  <c r="S5" i="4"/>
  <c r="Y5" i="4"/>
  <c r="G62" i="16"/>
  <c r="G23" i="16"/>
  <c r="M21" i="16"/>
  <c r="M60" i="16"/>
  <c r="M62" i="16"/>
  <c r="M23" i="16"/>
  <c r="Q65" i="16"/>
  <c r="Q26" i="16"/>
  <c r="O26" i="16"/>
  <c r="O65" i="16"/>
  <c r="AB63" i="16"/>
  <c r="AB24" i="16"/>
  <c r="AH63" i="16"/>
  <c r="AH24" i="16"/>
  <c r="J31" i="4"/>
  <c r="AK5" i="4"/>
  <c r="W5" i="4"/>
  <c r="I66" i="16"/>
  <c r="I27" i="16"/>
  <c r="S62" i="16"/>
  <c r="S23" i="16"/>
  <c r="Y21" i="16"/>
  <c r="Y60" i="16"/>
  <c r="Y62" i="16"/>
  <c r="Y23" i="16"/>
  <c r="Z93" i="17"/>
  <c r="Z95" i="17"/>
  <c r="Z96" i="17"/>
  <c r="Z91" i="17"/>
  <c r="Z94" i="17"/>
  <c r="N31" i="4"/>
  <c r="E5" i="4"/>
  <c r="Y66" i="16"/>
  <c r="Y27" i="16"/>
  <c r="V21" i="6"/>
  <c r="V22" i="6"/>
  <c r="AA22" i="1"/>
  <c r="AA21" i="1"/>
  <c r="AD5" i="4"/>
  <c r="AG44" i="4"/>
  <c r="AM47" i="4"/>
  <c r="AM43" i="4"/>
  <c r="G47" i="4"/>
  <c r="G43" i="4"/>
  <c r="R47" i="4"/>
  <c r="R43" i="4"/>
  <c r="S26" i="16"/>
  <c r="S65" i="16"/>
  <c r="K26" i="16"/>
  <c r="K65" i="16"/>
  <c r="I65" i="16"/>
  <c r="I26" i="16"/>
  <c r="G26" i="16"/>
  <c r="G65" i="16"/>
  <c r="AD94" i="17"/>
  <c r="AD95" i="17"/>
  <c r="AD91" i="17"/>
  <c r="AD93" i="17"/>
  <c r="AD96" i="17"/>
  <c r="Z40" i="4"/>
  <c r="W16" i="17"/>
  <c r="W83" i="12"/>
  <c r="Z39" i="4"/>
  <c r="AH40" i="4"/>
  <c r="AE16" i="17"/>
  <c r="AE83" i="12"/>
  <c r="AH39" i="4"/>
  <c r="H40" i="4"/>
  <c r="E16" i="17"/>
  <c r="E83" i="12"/>
  <c r="H39" i="4"/>
  <c r="AN40" i="4"/>
  <c r="AK16" i="17"/>
  <c r="AK83" i="12"/>
  <c r="AN39" i="4"/>
  <c r="AJ40" i="4"/>
  <c r="AG16" i="17"/>
  <c r="AG83" i="12"/>
  <c r="AJ39" i="4"/>
  <c r="S40" i="4"/>
  <c r="P16" i="17"/>
  <c r="P83" i="12"/>
  <c r="S39" i="4"/>
  <c r="AI40" i="4"/>
  <c r="AF16" i="17"/>
  <c r="AF83" i="12"/>
  <c r="AI39" i="4"/>
  <c r="M40" i="4"/>
  <c r="J16" i="17"/>
  <c r="J83" i="12"/>
  <c r="M39" i="4"/>
  <c r="AC40" i="4"/>
  <c r="Z16" i="17"/>
  <c r="Z83" i="12"/>
  <c r="AC39" i="4"/>
  <c r="E33" i="1"/>
  <c r="E31" i="1"/>
  <c r="B11" i="7"/>
  <c r="AM22" i="16"/>
  <c r="AM61" i="16"/>
  <c r="W63" i="16"/>
  <c r="W24" i="16"/>
  <c r="P49" i="4"/>
  <c r="C34" i="12"/>
  <c r="F18" i="4"/>
  <c r="F19" i="4"/>
  <c r="W34" i="12"/>
  <c r="Z18" i="4"/>
  <c r="Z19" i="4"/>
  <c r="AE34" i="12"/>
  <c r="AH18" i="4"/>
  <c r="AH19" i="4"/>
  <c r="AJ19" i="4"/>
  <c r="AG34" i="12"/>
  <c r="AJ18" i="4"/>
  <c r="AF19" i="4"/>
  <c r="AC34" i="12"/>
  <c r="AF18" i="4"/>
  <c r="L34" i="12"/>
  <c r="O18" i="4"/>
  <c r="O19" i="4"/>
  <c r="AB34" i="12"/>
  <c r="AE18" i="4"/>
  <c r="AE19" i="4"/>
  <c r="F34" i="12"/>
  <c r="I18" i="4"/>
  <c r="I19" i="4"/>
  <c r="V34" i="12"/>
  <c r="Y18" i="4"/>
  <c r="Y19" i="4"/>
  <c r="AL34" i="12"/>
  <c r="AO18" i="4"/>
  <c r="AO19" i="4"/>
  <c r="S28" i="4"/>
  <c r="Y28" i="4"/>
  <c r="Y31" i="4"/>
  <c r="R31" i="4"/>
  <c r="AJ28" i="4"/>
  <c r="AK24" i="16"/>
  <c r="AK63" i="16"/>
  <c r="AL43" i="7"/>
  <c r="AO41" i="1"/>
  <c r="AO40" i="1"/>
  <c r="U44" i="4"/>
  <c r="AA44" i="4"/>
  <c r="V44" i="4"/>
  <c r="AJ44" i="4"/>
  <c r="AD15" i="4"/>
  <c r="Z35" i="4"/>
  <c r="AF15" i="4"/>
  <c r="AF35" i="4"/>
  <c r="AJ52" i="4"/>
  <c r="AH52" i="4"/>
  <c r="E97" i="17"/>
  <c r="O31" i="4"/>
  <c r="E31" i="4"/>
  <c r="AD32" i="4"/>
  <c r="AD35" i="4"/>
  <c r="AJ32" i="4"/>
  <c r="X49" i="4"/>
  <c r="X21" i="6"/>
  <c r="X22" i="6"/>
  <c r="AC22" i="1"/>
  <c r="AC21" i="1"/>
  <c r="Y44" i="4"/>
  <c r="O44" i="4"/>
  <c r="T44" i="4"/>
  <c r="Z15" i="4"/>
  <c r="L15" i="4"/>
  <c r="L35" i="4"/>
  <c r="AF52" i="4"/>
  <c r="R94" i="17"/>
  <c r="R95" i="17"/>
  <c r="R91" i="17"/>
  <c r="R93" i="17"/>
  <c r="R96" i="17"/>
  <c r="AB95" i="17"/>
  <c r="AB93" i="17"/>
  <c r="AB91" i="17"/>
  <c r="AB94" i="17"/>
  <c r="AB96" i="17"/>
  <c r="U31" i="4"/>
  <c r="W92" i="17"/>
  <c r="W95" i="17"/>
  <c r="W94" i="17"/>
  <c r="W96" i="17"/>
  <c r="W91" i="17"/>
  <c r="W93" i="17"/>
  <c r="AH12" i="4"/>
  <c r="AJ12" i="4"/>
  <c r="AJ15" i="4"/>
  <c r="AN52" i="4"/>
  <c r="AL35" i="4"/>
  <c r="R32" i="4"/>
  <c r="H12" i="4"/>
  <c r="E21" i="16"/>
  <c r="H32" i="4"/>
  <c r="H35" i="4"/>
  <c r="AB52" i="4"/>
  <c r="Z52" i="4"/>
  <c r="V96" i="17"/>
  <c r="V91" i="17"/>
  <c r="V93" i="17"/>
  <c r="V95" i="17"/>
  <c r="V94" i="17"/>
  <c r="D97" i="17"/>
  <c r="N40" i="4"/>
  <c r="K16" i="17"/>
  <c r="K83" i="12"/>
  <c r="N39" i="4"/>
  <c r="F40" i="4"/>
  <c r="C16" i="17"/>
  <c r="C83" i="12"/>
  <c r="F39" i="4"/>
  <c r="P40" i="4"/>
  <c r="M16" i="17"/>
  <c r="M83" i="12"/>
  <c r="P39" i="4"/>
  <c r="L40" i="4"/>
  <c r="I16" i="17"/>
  <c r="I83" i="12"/>
  <c r="L39" i="4"/>
  <c r="G40" i="4"/>
  <c r="D16" i="17"/>
  <c r="D83" i="12"/>
  <c r="G39" i="4"/>
  <c r="W40" i="4"/>
  <c r="T16" i="17"/>
  <c r="T83" i="12"/>
  <c r="W39" i="4"/>
  <c r="AM40" i="4"/>
  <c r="AJ16" i="17"/>
  <c r="AJ83" i="12"/>
  <c r="AM39" i="4"/>
  <c r="Q40" i="4"/>
  <c r="N16" i="17"/>
  <c r="N83" i="12"/>
  <c r="Q39" i="4"/>
  <c r="AG40" i="4"/>
  <c r="AD16" i="17"/>
  <c r="AD83" i="12"/>
  <c r="AG39" i="4"/>
  <c r="W28" i="4"/>
  <c r="W31" i="4"/>
  <c r="AC28" i="4"/>
  <c r="Z31" i="4"/>
  <c r="T28" i="4"/>
  <c r="AA91" i="17"/>
  <c r="AA93" i="17"/>
  <c r="AA94" i="17"/>
  <c r="AA95" i="17"/>
  <c r="AA96" i="17"/>
  <c r="U66" i="16"/>
  <c r="U27" i="16"/>
  <c r="AM5" i="4"/>
  <c r="AH47" i="4"/>
  <c r="AH43" i="4"/>
  <c r="F35" i="4"/>
  <c r="AD52" i="4"/>
  <c r="M24" i="16"/>
  <c r="M63" i="16"/>
  <c r="S34" i="12"/>
  <c r="V18" i="4"/>
  <c r="V19" i="4"/>
  <c r="K34" i="12"/>
  <c r="N18" i="4"/>
  <c r="N19" i="4"/>
  <c r="L19" i="4"/>
  <c r="I34" i="12"/>
  <c r="L18" i="4"/>
  <c r="H19" i="4"/>
  <c r="E34" i="12"/>
  <c r="H18" i="4"/>
  <c r="AN19" i="4"/>
  <c r="AK34" i="12"/>
  <c r="AN18" i="4"/>
  <c r="P34" i="12"/>
  <c r="S18" i="4"/>
  <c r="S19" i="4"/>
  <c r="AF34" i="12"/>
  <c r="AI18" i="4"/>
  <c r="AI19" i="4"/>
  <c r="J34" i="12"/>
  <c r="M18" i="4"/>
  <c r="M19" i="4"/>
  <c r="Z34" i="12"/>
  <c r="AC18" i="4"/>
  <c r="AC19" i="4"/>
  <c r="AI31" i="4"/>
  <c r="AO31" i="4"/>
  <c r="I31" i="4"/>
  <c r="S63" i="16"/>
  <c r="S24" i="16"/>
  <c r="AF47" i="4"/>
  <c r="AF43" i="4"/>
  <c r="AK43" i="7"/>
  <c r="AN41" i="1"/>
  <c r="AN40" i="1"/>
  <c r="AI5" i="4"/>
  <c r="AO5" i="4"/>
  <c r="I5" i="4"/>
  <c r="W21" i="6"/>
  <c r="W22" i="6"/>
  <c r="AB22" i="1"/>
  <c r="AB21" i="1"/>
  <c r="AA21" i="16"/>
  <c r="AA60" i="16"/>
  <c r="W62" i="16"/>
  <c r="W23" i="16"/>
  <c r="AC21" i="16"/>
  <c r="AC60" i="16"/>
  <c r="AC62" i="16"/>
  <c r="AC23" i="16"/>
  <c r="AG65" i="16"/>
  <c r="AG26" i="16"/>
  <c r="AE26" i="16"/>
  <c r="AE65" i="16"/>
  <c r="AP20" i="4"/>
  <c r="L63" i="16"/>
  <c r="L24" i="16"/>
  <c r="B63" i="16"/>
  <c r="B24" i="16"/>
  <c r="AE5" i="4"/>
  <c r="U5" i="4"/>
  <c r="T15" i="4"/>
  <c r="H52" i="4"/>
  <c r="F52" i="4"/>
  <c r="M5" i="4"/>
  <c r="W21" i="16"/>
  <c r="W60" i="16"/>
  <c r="I62" i="16"/>
  <c r="I23" i="16"/>
  <c r="AC65" i="16"/>
  <c r="AC26" i="16"/>
  <c r="T92" i="17"/>
  <c r="T91" i="17"/>
  <c r="T94" i="17"/>
  <c r="T95" i="17"/>
  <c r="T96" i="17"/>
  <c r="T93" i="17"/>
  <c r="Y97" i="17"/>
  <c r="E66" i="16"/>
  <c r="E27" i="16"/>
  <c r="R63" i="16"/>
  <c r="R24" i="16"/>
  <c r="O5" i="4"/>
  <c r="Q44" i="4"/>
  <c r="W47" i="4"/>
  <c r="W43" i="4"/>
  <c r="N47" i="4"/>
  <c r="N43" i="4"/>
  <c r="R15" i="4"/>
  <c r="N35" i="4"/>
  <c r="T35" i="4"/>
  <c r="AK65" i="16"/>
  <c r="AK26" i="16"/>
  <c r="AI62" i="16"/>
  <c r="AI23" i="16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B5" i="12"/>
  <c r="B48" i="16"/>
  <c r="J6" i="17"/>
  <c r="M8" i="4"/>
  <c r="O8" i="4"/>
  <c r="L6" i="17"/>
  <c r="Z6" i="17"/>
  <c r="AC8" i="4"/>
  <c r="AC11" i="4"/>
  <c r="B14" i="17"/>
  <c r="P14" i="17"/>
  <c r="V14" i="17"/>
  <c r="R14" i="17"/>
  <c r="E8" i="4"/>
  <c r="B6" i="17"/>
  <c r="S8" i="4"/>
  <c r="S11" i="4"/>
  <c r="P6" i="17"/>
  <c r="D6" i="17"/>
  <c r="G8" i="4"/>
  <c r="Y8" i="4"/>
  <c r="V6" i="17"/>
  <c r="U8" i="4"/>
  <c r="R6" i="17"/>
  <c r="AD6" i="17"/>
  <c r="AG8" i="4"/>
  <c r="AG11" i="4"/>
  <c r="AI8" i="4"/>
  <c r="AF6" i="17"/>
  <c r="T6" i="17"/>
  <c r="W8" i="4"/>
  <c r="W11" i="4"/>
  <c r="AL6" i="17"/>
  <c r="AO8" i="4"/>
  <c r="AO11" i="4"/>
  <c r="AH14" i="17"/>
  <c r="AM8" i="4"/>
  <c r="AJ6" i="17"/>
  <c r="X6" i="17"/>
  <c r="AA8" i="4"/>
  <c r="I8" i="4"/>
  <c r="F6" i="17"/>
  <c r="AB6" i="17"/>
  <c r="AE8" i="4"/>
  <c r="AD14" i="17"/>
  <c r="AF14" i="17"/>
  <c r="AL14" i="17"/>
  <c r="AJ14" i="17"/>
  <c r="L14" i="17"/>
  <c r="Z14" i="17"/>
  <c r="F14" i="17"/>
  <c r="H6" i="17"/>
  <c r="K8" i="4"/>
  <c r="AH6" i="17"/>
  <c r="AK8" i="4"/>
  <c r="AK11" i="4"/>
  <c r="N6" i="17"/>
  <c r="Q8" i="4"/>
  <c r="Y14" i="17"/>
  <c r="AA14" i="17"/>
  <c r="Q14" i="17"/>
  <c r="E14" i="17"/>
  <c r="G14" i="17"/>
  <c r="AC6" i="17"/>
  <c r="AF8" i="4"/>
  <c r="AF11" i="4"/>
  <c r="AE6" i="17"/>
  <c r="AH8" i="4"/>
  <c r="AG14" i="17"/>
  <c r="W14" i="17"/>
  <c r="Y6" i="17"/>
  <c r="AB8" i="4"/>
  <c r="AB11" i="4"/>
  <c r="AA6" i="17"/>
  <c r="AD8" i="4"/>
  <c r="Q6" i="17"/>
  <c r="T8" i="4"/>
  <c r="T11" i="4"/>
  <c r="E6" i="17"/>
  <c r="H8" i="4"/>
  <c r="H11" i="4"/>
  <c r="G6" i="17"/>
  <c r="J8" i="4"/>
  <c r="J11" i="4"/>
  <c r="M14" i="17"/>
  <c r="O14" i="17"/>
  <c r="AG6" i="17"/>
  <c r="AJ8" i="4"/>
  <c r="AJ11" i="4"/>
  <c r="W6" i="17"/>
  <c r="Z8" i="4"/>
  <c r="Z11" i="4"/>
  <c r="I14" i="17"/>
  <c r="K14" i="17"/>
  <c r="C14" i="17"/>
  <c r="AK14" i="17"/>
  <c r="M6" i="17"/>
  <c r="P8" i="4"/>
  <c r="P11" i="4"/>
  <c r="O6" i="17"/>
  <c r="R8" i="4"/>
  <c r="S14" i="17"/>
  <c r="U14" i="17"/>
  <c r="AL7" i="4"/>
  <c r="AI59" i="16"/>
  <c r="AI20" i="16"/>
  <c r="I6" i="17"/>
  <c r="L8" i="4"/>
  <c r="K6" i="17"/>
  <c r="N8" i="4"/>
  <c r="C6" i="17"/>
  <c r="F8" i="4"/>
  <c r="F11" i="4"/>
  <c r="AK6" i="17"/>
  <c r="AN8" i="4"/>
  <c r="AC14" i="17"/>
  <c r="AE14" i="17"/>
  <c r="S6" i="17"/>
  <c r="V8" i="4"/>
  <c r="V11" i="4"/>
  <c r="U6" i="17"/>
  <c r="X8" i="4"/>
  <c r="I13" i="1"/>
  <c r="J11" i="1"/>
  <c r="O97" i="17"/>
  <c r="L108" i="17"/>
  <c r="V97" i="17"/>
  <c r="S97" i="17"/>
  <c r="X97" i="17"/>
  <c r="N97" i="17"/>
  <c r="T27" i="16"/>
  <c r="T66" i="16"/>
  <c r="AC66" i="16"/>
  <c r="AC27" i="16"/>
  <c r="Z7" i="17"/>
  <c r="AC17" i="4"/>
  <c r="AF7" i="17"/>
  <c r="AI17" i="4"/>
  <c r="AK15" i="17"/>
  <c r="L20" i="4"/>
  <c r="I15" i="17"/>
  <c r="S7" i="17"/>
  <c r="V17" i="4"/>
  <c r="Q24" i="16"/>
  <c r="Q63" i="16"/>
  <c r="AD8" i="17"/>
  <c r="AG38" i="4"/>
  <c r="AJ8" i="17"/>
  <c r="AM38" i="4"/>
  <c r="D8" i="17"/>
  <c r="G38" i="4"/>
  <c r="M8" i="17"/>
  <c r="P38" i="4"/>
  <c r="K8" i="17"/>
  <c r="N38" i="4"/>
  <c r="O62" i="16"/>
  <c r="O23" i="16"/>
  <c r="AE21" i="16"/>
  <c r="AE60" i="16"/>
  <c r="R97" i="17"/>
  <c r="O47" i="4"/>
  <c r="O43" i="4"/>
  <c r="V47" i="4"/>
  <c r="V43" i="4"/>
  <c r="P63" i="16"/>
  <c r="P24" i="16"/>
  <c r="V7" i="17"/>
  <c r="Y17" i="4"/>
  <c r="AB7" i="17"/>
  <c r="AE17" i="4"/>
  <c r="AC15" i="17"/>
  <c r="AE7" i="17"/>
  <c r="AH17" i="4"/>
  <c r="C7" i="17"/>
  <c r="F17" i="4"/>
  <c r="F20" i="4"/>
  <c r="T31" i="4"/>
  <c r="O27" i="16"/>
  <c r="O66" i="16"/>
  <c r="AJ27" i="16"/>
  <c r="AJ66" i="16"/>
  <c r="AH7" i="17"/>
  <c r="AK17" i="4"/>
  <c r="B7" i="17"/>
  <c r="E17" i="4"/>
  <c r="H7" i="17"/>
  <c r="K17" i="4"/>
  <c r="K20" i="4"/>
  <c r="Y15" i="17"/>
  <c r="G7" i="17"/>
  <c r="J17" i="4"/>
  <c r="AE47" i="4"/>
  <c r="AE43" i="4"/>
  <c r="AL8" i="17"/>
  <c r="AO38" i="4"/>
  <c r="F8" i="17"/>
  <c r="I38" i="4"/>
  <c r="L8" i="17"/>
  <c r="O38" i="4"/>
  <c r="AC8" i="17"/>
  <c r="AF38" i="4"/>
  <c r="O8" i="17"/>
  <c r="R38" i="4"/>
  <c r="Q62" i="16"/>
  <c r="Q23" i="16"/>
  <c r="C26" i="16"/>
  <c r="C65" i="16"/>
  <c r="Z47" i="4"/>
  <c r="Z43" i="4"/>
  <c r="AM97" i="17"/>
  <c r="AF63" i="16"/>
  <c r="AF24" i="16"/>
  <c r="N7" i="17"/>
  <c r="Q17" i="4"/>
  <c r="T7" i="17"/>
  <c r="W17" i="4"/>
  <c r="M15" i="17"/>
  <c r="AA7" i="17"/>
  <c r="AD17" i="4"/>
  <c r="C62" i="16"/>
  <c r="C23" i="16"/>
  <c r="AL47" i="4"/>
  <c r="AL43" i="4"/>
  <c r="AN16" i="1"/>
  <c r="AH18" i="1"/>
  <c r="P18" i="1"/>
  <c r="AP16" i="1"/>
  <c r="AO16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P17" i="1"/>
  <c r="E9" i="1"/>
  <c r="E4" i="1"/>
  <c r="P16" i="1"/>
  <c r="AN18" i="1"/>
  <c r="AP18" i="1"/>
  <c r="AN17" i="1"/>
  <c r="AO17" i="1"/>
  <c r="M66" i="16"/>
  <c r="M27" i="16"/>
  <c r="J15" i="17"/>
  <c r="P15" i="17"/>
  <c r="E7" i="17"/>
  <c r="H17" i="4"/>
  <c r="K15" i="17"/>
  <c r="AE27" i="16"/>
  <c r="AE66" i="16"/>
  <c r="Y47" i="4"/>
  <c r="Y43" i="4"/>
  <c r="U65" i="16"/>
  <c r="U26" i="16"/>
  <c r="AA47" i="4"/>
  <c r="AA43" i="4"/>
  <c r="AG24" i="16"/>
  <c r="AG63" i="16"/>
  <c r="AL15" i="17"/>
  <c r="AO20" i="4"/>
  <c r="F15" i="17"/>
  <c r="L15" i="17"/>
  <c r="O20" i="4"/>
  <c r="AG7" i="17"/>
  <c r="AJ17" i="4"/>
  <c r="W15" i="17"/>
  <c r="M65" i="16"/>
  <c r="M26" i="16"/>
  <c r="Z8" i="17"/>
  <c r="AC38" i="4"/>
  <c r="AF8" i="17"/>
  <c r="AI38" i="4"/>
  <c r="AG8" i="17"/>
  <c r="AJ38" i="4"/>
  <c r="E8" i="17"/>
  <c r="H38" i="4"/>
  <c r="W8" i="17"/>
  <c r="Z38" i="4"/>
  <c r="AD97" i="17"/>
  <c r="Z97" i="17"/>
  <c r="R15" i="17"/>
  <c r="U20" i="4"/>
  <c r="X15" i="17"/>
  <c r="U7" i="17"/>
  <c r="X17" i="4"/>
  <c r="O15" i="17"/>
  <c r="P52" i="4"/>
  <c r="B23" i="7"/>
  <c r="E37" i="1"/>
  <c r="K62" i="16"/>
  <c r="K23" i="16"/>
  <c r="AO47" i="4"/>
  <c r="AO43" i="4"/>
  <c r="E65" i="16"/>
  <c r="E26" i="16"/>
  <c r="K47" i="4"/>
  <c r="K43" i="4"/>
  <c r="AD15" i="17"/>
  <c r="AJ15" i="17"/>
  <c r="D15" i="17"/>
  <c r="Q7" i="17"/>
  <c r="T17" i="4"/>
  <c r="AI15" i="17"/>
  <c r="AA63" i="16"/>
  <c r="AA24" i="16"/>
  <c r="AH8" i="17"/>
  <c r="AK38" i="4"/>
  <c r="B8" i="17"/>
  <c r="E38" i="4"/>
  <c r="H8" i="17"/>
  <c r="K38" i="4"/>
  <c r="U8" i="17"/>
  <c r="X38" i="4"/>
  <c r="AA8" i="17"/>
  <c r="AD38" i="4"/>
  <c r="W26" i="16"/>
  <c r="W65" i="16"/>
  <c r="AI47" i="4"/>
  <c r="AI43" i="4"/>
  <c r="F47" i="4"/>
  <c r="F43" i="4"/>
  <c r="C63" i="16"/>
  <c r="C24" i="16"/>
  <c r="K66" i="16"/>
  <c r="K27" i="16"/>
  <c r="Q47" i="4"/>
  <c r="Q43" i="4"/>
  <c r="J7" i="17"/>
  <c r="M17" i="4"/>
  <c r="P7" i="17"/>
  <c r="S17" i="4"/>
  <c r="S20" i="4"/>
  <c r="H20" i="4"/>
  <c r="E15" i="17"/>
  <c r="K7" i="17"/>
  <c r="N17" i="4"/>
  <c r="N20" i="4"/>
  <c r="Z63" i="16"/>
  <c r="Z24" i="16"/>
  <c r="N8" i="17"/>
  <c r="Q38" i="4"/>
  <c r="T8" i="17"/>
  <c r="W38" i="4"/>
  <c r="I8" i="17"/>
  <c r="L38" i="4"/>
  <c r="C8" i="17"/>
  <c r="F38" i="4"/>
  <c r="E62" i="16"/>
  <c r="E23" i="16"/>
  <c r="AG62" i="16"/>
  <c r="AG23" i="16"/>
  <c r="U47" i="4"/>
  <c r="U43" i="4"/>
  <c r="AL7" i="17"/>
  <c r="AO17" i="4"/>
  <c r="F7" i="17"/>
  <c r="I17" i="4"/>
  <c r="I20" i="4"/>
  <c r="L7" i="17"/>
  <c r="O17" i="4"/>
  <c r="AJ20" i="4"/>
  <c r="AG15" i="17"/>
  <c r="W7" i="17"/>
  <c r="Z17" i="4"/>
  <c r="Z20" i="4"/>
  <c r="D27" i="16"/>
  <c r="D66" i="16"/>
  <c r="AG47" i="4"/>
  <c r="AG43" i="4"/>
  <c r="X52" i="4"/>
  <c r="AK66" i="16"/>
  <c r="AK27" i="16"/>
  <c r="AJ31" i="4"/>
  <c r="S31" i="4"/>
  <c r="R7" i="17"/>
  <c r="U17" i="4"/>
  <c r="X7" i="17"/>
  <c r="AA17" i="4"/>
  <c r="X20" i="4"/>
  <c r="U15" i="17"/>
  <c r="O7" i="17"/>
  <c r="R17" i="4"/>
  <c r="V35" i="1"/>
  <c r="V7" i="1"/>
  <c r="S13" i="17"/>
  <c r="V8" i="17"/>
  <c r="Y38" i="4"/>
  <c r="AB8" i="17"/>
  <c r="AE38" i="4"/>
  <c r="Y8" i="17"/>
  <c r="AB38" i="4"/>
  <c r="AI8" i="17"/>
  <c r="AL38" i="4"/>
  <c r="G8" i="17"/>
  <c r="J38" i="4"/>
  <c r="P97" i="17"/>
  <c r="O21" i="16"/>
  <c r="O60" i="16"/>
  <c r="AD47" i="4"/>
  <c r="AD43" i="4"/>
  <c r="Q60" i="16"/>
  <c r="Q21" i="16"/>
  <c r="E47" i="4"/>
  <c r="E43" i="4"/>
  <c r="F63" i="16"/>
  <c r="F24" i="16"/>
  <c r="AD7" i="17"/>
  <c r="AG17" i="4"/>
  <c r="AJ7" i="17"/>
  <c r="AM17" i="4"/>
  <c r="D7" i="17"/>
  <c r="G17" i="4"/>
  <c r="G20" i="4"/>
  <c r="T20" i="4"/>
  <c r="Q15" i="17"/>
  <c r="AI7" i="17"/>
  <c r="AL17" i="4"/>
  <c r="AA16" i="17"/>
  <c r="AD41" i="4"/>
  <c r="Y65" i="16"/>
  <c r="Y26" i="16"/>
  <c r="AC47" i="4"/>
  <c r="AC43" i="4"/>
  <c r="AI63" i="16"/>
  <c r="AI24" i="16"/>
  <c r="AL47" i="12"/>
  <c r="AH47" i="12"/>
  <c r="AD47" i="12"/>
  <c r="Z47" i="12"/>
  <c r="V47" i="12"/>
  <c r="R47" i="12"/>
  <c r="N47" i="12"/>
  <c r="J47" i="12"/>
  <c r="F47" i="12"/>
  <c r="B47" i="12"/>
  <c r="AJ47" i="12"/>
  <c r="AF47" i="12"/>
  <c r="AB47" i="12"/>
  <c r="X47" i="12"/>
  <c r="T47" i="12"/>
  <c r="P47" i="12"/>
  <c r="L47" i="12"/>
  <c r="H47" i="12"/>
  <c r="D47" i="12"/>
  <c r="AK47" i="12"/>
  <c r="AC47" i="12"/>
  <c r="U47" i="12"/>
  <c r="M47" i="12"/>
  <c r="E47" i="12"/>
  <c r="AG47" i="12"/>
  <c r="Y47" i="12"/>
  <c r="Q47" i="12"/>
  <c r="I47" i="12"/>
  <c r="W47" i="12"/>
  <c r="G47" i="12"/>
  <c r="AI47" i="12"/>
  <c r="S47" i="12"/>
  <c r="C47" i="12"/>
  <c r="AE47" i="12"/>
  <c r="O47" i="12"/>
  <c r="AA47" i="12"/>
  <c r="K47" i="12"/>
  <c r="S47" i="4"/>
  <c r="S43" i="4"/>
  <c r="AE63" i="16"/>
  <c r="AE24" i="16"/>
  <c r="T97" i="17"/>
  <c r="Z15" i="17"/>
  <c r="AC20" i="4"/>
  <c r="AF15" i="17"/>
  <c r="AI20" i="4"/>
  <c r="AK7" i="17"/>
  <c r="AN17" i="4"/>
  <c r="I7" i="17"/>
  <c r="L17" i="4"/>
  <c r="V20" i="4"/>
  <c r="S15" i="17"/>
  <c r="AA97" i="17"/>
  <c r="T63" i="16"/>
  <c r="T24" i="16"/>
  <c r="AG60" i="16"/>
  <c r="AG21" i="16"/>
  <c r="W97" i="17"/>
  <c r="AB97" i="17"/>
  <c r="T47" i="4"/>
  <c r="T43" i="4"/>
  <c r="AA62" i="16"/>
  <c r="AA23" i="16"/>
  <c r="AJ47" i="4"/>
  <c r="AJ43" i="4"/>
  <c r="V63" i="16"/>
  <c r="V24" i="16"/>
  <c r="V15" i="17"/>
  <c r="Y20" i="4"/>
  <c r="AB15" i="17"/>
  <c r="AE20" i="4"/>
  <c r="AC7" i="17"/>
  <c r="AF17" i="4"/>
  <c r="AF20" i="4"/>
  <c r="AH20" i="4"/>
  <c r="AE15" i="17"/>
  <c r="C15" i="17"/>
  <c r="AC31" i="4"/>
  <c r="J8" i="17"/>
  <c r="M38" i="4"/>
  <c r="P8" i="17"/>
  <c r="S38" i="4"/>
  <c r="AK8" i="17"/>
  <c r="AN38" i="4"/>
  <c r="AE8" i="17"/>
  <c r="AH38" i="4"/>
  <c r="AH15" i="4"/>
  <c r="AJ35" i="4"/>
  <c r="AH15" i="17"/>
  <c r="E20" i="4"/>
  <c r="B15" i="17"/>
  <c r="H15" i="17"/>
  <c r="Y7" i="17"/>
  <c r="AB17" i="4"/>
  <c r="G15" i="17"/>
  <c r="I47" i="4"/>
  <c r="I43" i="4"/>
  <c r="G63" i="16"/>
  <c r="G24" i="16"/>
  <c r="AK47" i="4"/>
  <c r="AK43" i="4"/>
  <c r="AL63" i="16"/>
  <c r="AL24" i="16"/>
  <c r="N15" i="17"/>
  <c r="Q20" i="4"/>
  <c r="T15" i="17"/>
  <c r="W20" i="4"/>
  <c r="M7" i="17"/>
  <c r="P17" i="4"/>
  <c r="AD20" i="4"/>
  <c r="AA15" i="17"/>
  <c r="AA26" i="16"/>
  <c r="AA65" i="16"/>
  <c r="R8" i="17"/>
  <c r="U38" i="4"/>
  <c r="X8" i="17"/>
  <c r="AA38" i="4"/>
  <c r="Q8" i="17"/>
  <c r="T38" i="4"/>
  <c r="S8" i="17"/>
  <c r="V38" i="4"/>
  <c r="J47" i="4"/>
  <c r="J43" i="4"/>
  <c r="L92" i="17"/>
  <c r="L95" i="17"/>
  <c r="L93" i="17"/>
  <c r="L96" i="17"/>
  <c r="L94" i="17"/>
  <c r="L91" i="17"/>
  <c r="AM9" i="17"/>
  <c r="AP23" i="4"/>
  <c r="R35" i="4"/>
  <c r="M47" i="4"/>
  <c r="M43" i="4"/>
  <c r="N59" i="16"/>
  <c r="Q7" i="4"/>
  <c r="N20" i="16"/>
  <c r="Q11" i="4"/>
  <c r="AJ59" i="16"/>
  <c r="AJ20" i="16"/>
  <c r="AM7" i="4"/>
  <c r="G7" i="4"/>
  <c r="D59" i="16"/>
  <c r="D20" i="16"/>
  <c r="G11" i="4"/>
  <c r="E7" i="4"/>
  <c r="B20" i="16"/>
  <c r="B59" i="16"/>
  <c r="AE7" i="4"/>
  <c r="AE11" i="4"/>
  <c r="AB59" i="16"/>
  <c r="AB20" i="16"/>
  <c r="X59" i="16"/>
  <c r="AA11" i="4"/>
  <c r="X20" i="16"/>
  <c r="AA7" i="4"/>
  <c r="R20" i="16"/>
  <c r="U7" i="4"/>
  <c r="R59" i="16"/>
  <c r="U11" i="4"/>
  <c r="L59" i="16"/>
  <c r="L20" i="16"/>
  <c r="O7" i="4"/>
  <c r="AH20" i="16"/>
  <c r="AK7" i="4"/>
  <c r="AH59" i="16"/>
  <c r="T59" i="16"/>
  <c r="T20" i="16"/>
  <c r="W7" i="4"/>
  <c r="AD20" i="16"/>
  <c r="AG7" i="4"/>
  <c r="AD59" i="16"/>
  <c r="Z20" i="16"/>
  <c r="AC7" i="4"/>
  <c r="Z59" i="16"/>
  <c r="J20" i="16"/>
  <c r="M11" i="4"/>
  <c r="J59" i="16"/>
  <c r="M7" i="4"/>
  <c r="K7" i="4"/>
  <c r="H59" i="16"/>
  <c r="H20" i="16"/>
  <c r="K11" i="4"/>
  <c r="F59" i="16"/>
  <c r="F20" i="16"/>
  <c r="I7" i="4"/>
  <c r="AL20" i="16"/>
  <c r="AL59" i="16"/>
  <c r="AO7" i="4"/>
  <c r="AM11" i="4"/>
  <c r="AF20" i="16"/>
  <c r="AI7" i="4"/>
  <c r="AF59" i="16"/>
  <c r="E11" i="4"/>
  <c r="I11" i="4"/>
  <c r="O11" i="4"/>
  <c r="AI11" i="4"/>
  <c r="Y7" i="4"/>
  <c r="V59" i="16"/>
  <c r="V20" i="16"/>
  <c r="S7" i="4"/>
  <c r="P20" i="16"/>
  <c r="P59" i="16"/>
  <c r="Y11" i="4"/>
  <c r="AG59" i="16"/>
  <c r="AJ7" i="4"/>
  <c r="AG20" i="16"/>
  <c r="E59" i="16"/>
  <c r="H7" i="4"/>
  <c r="E20" i="16"/>
  <c r="U59" i="16"/>
  <c r="X7" i="4"/>
  <c r="U20" i="16"/>
  <c r="AK59" i="16"/>
  <c r="AN7" i="4"/>
  <c r="AK20" i="16"/>
  <c r="N7" i="4"/>
  <c r="K59" i="16"/>
  <c r="K20" i="16"/>
  <c r="R7" i="4"/>
  <c r="O59" i="16"/>
  <c r="O20" i="16"/>
  <c r="N11" i="4"/>
  <c r="V7" i="4"/>
  <c r="S59" i="16"/>
  <c r="S20" i="16"/>
  <c r="F7" i="4"/>
  <c r="C59" i="16"/>
  <c r="C20" i="16"/>
  <c r="I59" i="16"/>
  <c r="L7" i="4"/>
  <c r="I20" i="16"/>
  <c r="M59" i="16"/>
  <c r="P7" i="4"/>
  <c r="M20" i="16"/>
  <c r="L11" i="4"/>
  <c r="AD7" i="4"/>
  <c r="AA59" i="16"/>
  <c r="AA20" i="16"/>
  <c r="AH7" i="4"/>
  <c r="AE59" i="16"/>
  <c r="AE20" i="16"/>
  <c r="AH11" i="4"/>
  <c r="X11" i="4"/>
  <c r="AN11" i="4"/>
  <c r="Z7" i="4"/>
  <c r="W59" i="16"/>
  <c r="W20" i="16"/>
  <c r="R11" i="4"/>
  <c r="J7" i="4"/>
  <c r="G59" i="16"/>
  <c r="G20" i="16"/>
  <c r="Q59" i="16"/>
  <c r="T7" i="4"/>
  <c r="Q20" i="16"/>
  <c r="Y59" i="16"/>
  <c r="AB7" i="4"/>
  <c r="Y20" i="16"/>
  <c r="AC59" i="16"/>
  <c r="AF7" i="4"/>
  <c r="AC20" i="16"/>
  <c r="AD11" i="4"/>
  <c r="K11" i="1"/>
  <c r="J13" i="1"/>
  <c r="L97" i="17"/>
  <c r="V41" i="4"/>
  <c r="V37" i="4"/>
  <c r="S67" i="16"/>
  <c r="S28" i="16"/>
  <c r="M61" i="16"/>
  <c r="M22" i="16"/>
  <c r="F27" i="16"/>
  <c r="F66" i="16"/>
  <c r="L25" i="4"/>
  <c r="I48" i="12"/>
  <c r="L24" i="4"/>
  <c r="S25" i="4"/>
  <c r="P48" i="12"/>
  <c r="S24" i="4"/>
  <c r="AC25" i="4"/>
  <c r="Z48" i="12"/>
  <c r="AC24" i="4"/>
  <c r="AI22" i="16"/>
  <c r="AI61" i="16"/>
  <c r="AD22" i="16"/>
  <c r="AD61" i="16"/>
  <c r="L41" i="4"/>
  <c r="L37" i="4"/>
  <c r="I67" i="16"/>
  <c r="I28" i="16"/>
  <c r="AJ41" i="4"/>
  <c r="AG28" i="16"/>
  <c r="AJ37" i="4"/>
  <c r="AG67" i="16"/>
  <c r="V27" i="16"/>
  <c r="V66" i="16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F17" i="1"/>
  <c r="G17" i="1"/>
  <c r="H17" i="1"/>
  <c r="I17" i="1"/>
  <c r="J17" i="1"/>
  <c r="K17" i="1"/>
  <c r="L17" i="1"/>
  <c r="M17" i="1"/>
  <c r="N17" i="1"/>
  <c r="O17" i="1"/>
  <c r="AO41" i="4"/>
  <c r="AL28" i="16"/>
  <c r="AO37" i="4"/>
  <c r="AL67" i="16"/>
  <c r="AH22" i="16"/>
  <c r="AH61" i="16"/>
  <c r="S66" i="16"/>
  <c r="S27" i="16"/>
  <c r="AN41" i="4"/>
  <c r="AN37" i="4"/>
  <c r="AK67" i="16"/>
  <c r="AK28" i="16"/>
  <c r="M41" i="4"/>
  <c r="J28" i="16"/>
  <c r="M37" i="4"/>
  <c r="J67" i="16"/>
  <c r="AK61" i="16"/>
  <c r="AK22" i="16"/>
  <c r="P27" i="16"/>
  <c r="P66" i="16"/>
  <c r="R25" i="4"/>
  <c r="O48" i="12"/>
  <c r="R24" i="4"/>
  <c r="AL25" i="4"/>
  <c r="AI48" i="12"/>
  <c r="AL24" i="4"/>
  <c r="T25" i="4"/>
  <c r="Q48" i="12"/>
  <c r="T24" i="4"/>
  <c r="P25" i="4"/>
  <c r="M48" i="12"/>
  <c r="P24" i="4"/>
  <c r="G25" i="4"/>
  <c r="D48" i="12"/>
  <c r="G24" i="4"/>
  <c r="W25" i="4"/>
  <c r="T48" i="12"/>
  <c r="W24" i="4"/>
  <c r="AM25" i="4"/>
  <c r="AJ48" i="12"/>
  <c r="AM24" i="4"/>
  <c r="Q25" i="4"/>
  <c r="N48" i="12"/>
  <c r="Q24" i="4"/>
  <c r="AG25" i="4"/>
  <c r="AD48" i="12"/>
  <c r="AG24" i="4"/>
  <c r="J41" i="4"/>
  <c r="G28" i="16"/>
  <c r="J37" i="4"/>
  <c r="G67" i="16"/>
  <c r="AB41" i="4"/>
  <c r="AB37" i="4"/>
  <c r="Y67" i="16"/>
  <c r="Y28" i="16"/>
  <c r="Y41" i="4"/>
  <c r="Y37" i="4"/>
  <c r="V67" i="16"/>
  <c r="V28" i="16"/>
  <c r="O22" i="16"/>
  <c r="O61" i="16"/>
  <c r="X61" i="16"/>
  <c r="X22" i="16"/>
  <c r="AF27" i="16"/>
  <c r="AF66" i="16"/>
  <c r="AD37" i="4"/>
  <c r="AA67" i="16"/>
  <c r="AA28" i="16"/>
  <c r="K41" i="4"/>
  <c r="K37" i="4"/>
  <c r="H67" i="16"/>
  <c r="H28" i="16"/>
  <c r="AK41" i="4"/>
  <c r="AH28" i="16"/>
  <c r="AK37" i="4"/>
  <c r="AH67" i="16"/>
  <c r="AG20" i="4"/>
  <c r="AO18" i="1"/>
  <c r="AO15" i="1"/>
  <c r="AO9" i="1"/>
  <c r="AO4" i="1"/>
  <c r="AI18" i="1"/>
  <c r="AJ18" i="1"/>
  <c r="AK18" i="1"/>
  <c r="AL18" i="1"/>
  <c r="AM18" i="1"/>
  <c r="N22" i="16"/>
  <c r="N61" i="16"/>
  <c r="N41" i="4"/>
  <c r="N37" i="4"/>
  <c r="K67" i="16"/>
  <c r="K28" i="16"/>
  <c r="G41" i="4"/>
  <c r="G37" i="4"/>
  <c r="D67" i="16"/>
  <c r="D28" i="16"/>
  <c r="AG41" i="4"/>
  <c r="AD28" i="16"/>
  <c r="AG37" i="4"/>
  <c r="AD67" i="16"/>
  <c r="S22" i="16"/>
  <c r="S61" i="16"/>
  <c r="Z22" i="16"/>
  <c r="Z61" i="16"/>
  <c r="AH27" i="16"/>
  <c r="AH66" i="16"/>
  <c r="AG66" i="16"/>
  <c r="AG27" i="16"/>
  <c r="AD25" i="4"/>
  <c r="AA48" i="12"/>
  <c r="AD24" i="4"/>
  <c r="AN25" i="4"/>
  <c r="AK48" i="12"/>
  <c r="AN24" i="4"/>
  <c r="M25" i="4"/>
  <c r="J48" i="12"/>
  <c r="M24" i="4"/>
  <c r="B66" i="16"/>
  <c r="B27" i="16"/>
  <c r="K22" i="16"/>
  <c r="K61" i="16"/>
  <c r="N27" i="16"/>
  <c r="N66" i="16"/>
  <c r="X27" i="16"/>
  <c r="X66" i="16"/>
  <c r="R41" i="4"/>
  <c r="R37" i="4"/>
  <c r="O67" i="16"/>
  <c r="O28" i="16"/>
  <c r="G22" i="16"/>
  <c r="G61" i="16"/>
  <c r="V22" i="16"/>
  <c r="V61" i="16"/>
  <c r="AP22" i="4"/>
  <c r="AP4" i="4"/>
  <c r="AM64" i="16"/>
  <c r="AM25" i="16"/>
  <c r="AM29" i="16"/>
  <c r="AP27" i="4"/>
  <c r="G27" i="16"/>
  <c r="G66" i="16"/>
  <c r="T41" i="4"/>
  <c r="T37" i="4"/>
  <c r="Q67" i="16"/>
  <c r="Q28" i="16"/>
  <c r="U41" i="4"/>
  <c r="R28" i="16"/>
  <c r="U37" i="4"/>
  <c r="R67" i="16"/>
  <c r="AK20" i="4"/>
  <c r="AH25" i="4"/>
  <c r="AE48" i="12"/>
  <c r="AH24" i="4"/>
  <c r="J25" i="4"/>
  <c r="G48" i="12"/>
  <c r="J24" i="4"/>
  <c r="AB25" i="4"/>
  <c r="Y48" i="12"/>
  <c r="AB24" i="4"/>
  <c r="X25" i="4"/>
  <c r="U48" i="12"/>
  <c r="X24" i="4"/>
  <c r="K25" i="4"/>
  <c r="H48" i="12"/>
  <c r="K24" i="4"/>
  <c r="AA25" i="4"/>
  <c r="X48" i="12"/>
  <c r="AA24" i="4"/>
  <c r="E25" i="4"/>
  <c r="B48" i="12"/>
  <c r="E24" i="4"/>
  <c r="U25" i="4"/>
  <c r="R48" i="12"/>
  <c r="U24" i="4"/>
  <c r="AK25" i="4"/>
  <c r="AH48" i="12"/>
  <c r="AK24" i="4"/>
  <c r="Z27" i="16"/>
  <c r="Z66" i="16"/>
  <c r="AJ61" i="16"/>
  <c r="AJ22" i="16"/>
  <c r="AD27" i="16"/>
  <c r="AD66" i="16"/>
  <c r="W22" i="16"/>
  <c r="W61" i="16"/>
  <c r="L61" i="16"/>
  <c r="L22" i="16"/>
  <c r="AL22" i="16"/>
  <c r="AL61" i="16"/>
  <c r="F41" i="4"/>
  <c r="F37" i="4"/>
  <c r="C67" i="16"/>
  <c r="C28" i="16"/>
  <c r="W41" i="4"/>
  <c r="W37" i="4"/>
  <c r="T67" i="16"/>
  <c r="T28" i="16"/>
  <c r="J22" i="16"/>
  <c r="J61" i="16"/>
  <c r="AL20" i="4"/>
  <c r="AA20" i="4"/>
  <c r="H41" i="4"/>
  <c r="H37" i="4"/>
  <c r="E67" i="16"/>
  <c r="E28" i="16"/>
  <c r="AI41" i="4"/>
  <c r="AI37" i="4"/>
  <c r="AF67" i="16"/>
  <c r="AF28" i="16"/>
  <c r="AG61" i="16"/>
  <c r="AG22" i="16"/>
  <c r="E61" i="16"/>
  <c r="E22" i="16"/>
  <c r="M20" i="4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F16" i="1"/>
  <c r="G16" i="1"/>
  <c r="H16" i="1"/>
  <c r="I16" i="1"/>
  <c r="J16" i="1"/>
  <c r="K16" i="1"/>
  <c r="L16" i="1"/>
  <c r="M16" i="1"/>
  <c r="N16" i="1"/>
  <c r="O16" i="1"/>
  <c r="P20" i="4"/>
  <c r="W27" i="16"/>
  <c r="W66" i="16"/>
  <c r="AF41" i="4"/>
  <c r="AF37" i="4"/>
  <c r="AC67" i="16"/>
  <c r="AC28" i="16"/>
  <c r="I41" i="4"/>
  <c r="I37" i="4"/>
  <c r="F67" i="16"/>
  <c r="F28" i="16"/>
  <c r="AB27" i="16"/>
  <c r="AB66" i="16"/>
  <c r="B22" i="16"/>
  <c r="B61" i="16"/>
  <c r="AE22" i="16"/>
  <c r="AE61" i="16"/>
  <c r="AB61" i="16"/>
  <c r="AB22" i="16"/>
  <c r="L27" i="16"/>
  <c r="L66" i="16"/>
  <c r="AN20" i="4"/>
  <c r="AA41" i="4"/>
  <c r="AA37" i="4"/>
  <c r="X67" i="16"/>
  <c r="X28" i="16"/>
  <c r="Y61" i="16"/>
  <c r="Y22" i="16"/>
  <c r="AC61" i="16"/>
  <c r="AC22" i="16"/>
  <c r="Q66" i="16"/>
  <c r="Q27" i="16"/>
  <c r="V25" i="4"/>
  <c r="S48" i="12"/>
  <c r="V24" i="4"/>
  <c r="H25" i="4"/>
  <c r="E48" i="12"/>
  <c r="H24" i="4"/>
  <c r="AI25" i="4"/>
  <c r="AF48" i="12"/>
  <c r="AI24" i="4"/>
  <c r="D61" i="16"/>
  <c r="D22" i="16"/>
  <c r="AA66" i="16"/>
  <c r="AA27" i="16"/>
  <c r="F22" i="16"/>
  <c r="F61" i="16"/>
  <c r="R27" i="16"/>
  <c r="R66" i="16"/>
  <c r="Q41" i="4"/>
  <c r="Q37" i="4"/>
  <c r="N67" i="16"/>
  <c r="N28" i="16"/>
  <c r="P61" i="16"/>
  <c r="P22" i="16"/>
  <c r="U61" i="16"/>
  <c r="U22" i="16"/>
  <c r="Z41" i="4"/>
  <c r="Z37" i="4"/>
  <c r="W67" i="16"/>
  <c r="W28" i="16"/>
  <c r="AC41" i="4"/>
  <c r="Z28" i="16"/>
  <c r="AC37" i="4"/>
  <c r="Z67" i="16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F18" i="1"/>
  <c r="G18" i="1"/>
  <c r="H18" i="1"/>
  <c r="I18" i="1"/>
  <c r="J18" i="1"/>
  <c r="K18" i="1"/>
  <c r="L18" i="1"/>
  <c r="M18" i="1"/>
  <c r="N18" i="1"/>
  <c r="O18" i="1"/>
  <c r="O41" i="4"/>
  <c r="O37" i="4"/>
  <c r="L67" i="16"/>
  <c r="L28" i="16"/>
  <c r="H61" i="16"/>
  <c r="H22" i="16"/>
  <c r="C22" i="16"/>
  <c r="C61" i="16"/>
  <c r="J27" i="16"/>
  <c r="J66" i="16"/>
  <c r="J20" i="4"/>
  <c r="AH41" i="4"/>
  <c r="AH37" i="4"/>
  <c r="AE67" i="16"/>
  <c r="AE28" i="16"/>
  <c r="S41" i="4"/>
  <c r="S37" i="4"/>
  <c r="P67" i="16"/>
  <c r="P28" i="16"/>
  <c r="I61" i="16"/>
  <c r="I22" i="16"/>
  <c r="N25" i="4"/>
  <c r="K48" i="12"/>
  <c r="N24" i="4"/>
  <c r="F25" i="4"/>
  <c r="C48" i="12"/>
  <c r="F24" i="4"/>
  <c r="Z25" i="4"/>
  <c r="W48" i="12"/>
  <c r="Z24" i="4"/>
  <c r="AJ25" i="4"/>
  <c r="AG48" i="12"/>
  <c r="AJ24" i="4"/>
  <c r="AF25" i="4"/>
  <c r="AC48" i="12"/>
  <c r="AF24" i="4"/>
  <c r="O25" i="4"/>
  <c r="L48" i="12"/>
  <c r="O24" i="4"/>
  <c r="AE25" i="4"/>
  <c r="AB48" i="12"/>
  <c r="AE24" i="4"/>
  <c r="I25" i="4"/>
  <c r="F48" i="12"/>
  <c r="I24" i="4"/>
  <c r="Y25" i="4"/>
  <c r="V48" i="12"/>
  <c r="Y24" i="4"/>
  <c r="AO25" i="4"/>
  <c r="AL48" i="12"/>
  <c r="AO24" i="4"/>
  <c r="AL41" i="4"/>
  <c r="AL37" i="4"/>
  <c r="AI67" i="16"/>
  <c r="AI28" i="16"/>
  <c r="AE41" i="4"/>
  <c r="AB28" i="16"/>
  <c r="AE37" i="4"/>
  <c r="AB67" i="16"/>
  <c r="R22" i="16"/>
  <c r="R61" i="16"/>
  <c r="C66" i="16"/>
  <c r="C27" i="16"/>
  <c r="X41" i="4"/>
  <c r="X37" i="4"/>
  <c r="U67" i="16"/>
  <c r="U28" i="16"/>
  <c r="E41" i="4"/>
  <c r="B28" i="16"/>
  <c r="E37" i="4"/>
  <c r="B67" i="16"/>
  <c r="Q61" i="16"/>
  <c r="Q22" i="16"/>
  <c r="AM20" i="4"/>
  <c r="H27" i="16"/>
  <c r="H66" i="16"/>
  <c r="AL27" i="16"/>
  <c r="AL66" i="16"/>
  <c r="B13" i="17"/>
  <c r="E35" i="1"/>
  <c r="E7" i="1"/>
  <c r="R20" i="4"/>
  <c r="AI66" i="16"/>
  <c r="AI27" i="16"/>
  <c r="AA22" i="16"/>
  <c r="AA61" i="16"/>
  <c r="T61" i="16"/>
  <c r="T22" i="16"/>
  <c r="AB20" i="4"/>
  <c r="P41" i="4"/>
  <c r="P37" i="4"/>
  <c r="M67" i="16"/>
  <c r="M28" i="16"/>
  <c r="AM41" i="4"/>
  <c r="AM37" i="4"/>
  <c r="AJ67" i="16"/>
  <c r="AJ28" i="16"/>
  <c r="AF61" i="16"/>
  <c r="AF22" i="16"/>
  <c r="L11" i="1"/>
  <c r="K13" i="1"/>
  <c r="AL17" i="17"/>
  <c r="L17" i="17"/>
  <c r="F27" i="4"/>
  <c r="C17" i="17"/>
  <c r="X9" i="17"/>
  <c r="X10" i="17"/>
  <c r="AA23" i="4"/>
  <c r="J17" i="17"/>
  <c r="T9" i="17"/>
  <c r="T10" i="17"/>
  <c r="W23" i="4"/>
  <c r="AI9" i="17"/>
  <c r="AL23" i="4"/>
  <c r="I9" i="17"/>
  <c r="L23" i="4"/>
  <c r="E9" i="17"/>
  <c r="E10" i="17"/>
  <c r="H23" i="4"/>
  <c r="R17" i="17"/>
  <c r="AA27" i="4"/>
  <c r="X17" i="17"/>
  <c r="G17" i="17"/>
  <c r="AK9" i="17"/>
  <c r="AN23" i="4"/>
  <c r="N17" i="17"/>
  <c r="W27" i="4"/>
  <c r="T17" i="17"/>
  <c r="M17" i="17"/>
  <c r="AI17" i="17"/>
  <c r="Z17" i="17"/>
  <c r="L27" i="4"/>
  <c r="I17" i="17"/>
  <c r="V17" i="17"/>
  <c r="AB17" i="17"/>
  <c r="AE27" i="4"/>
  <c r="AC17" i="17"/>
  <c r="Z27" i="4"/>
  <c r="W17" i="17"/>
  <c r="K17" i="17"/>
  <c r="E17" i="17"/>
  <c r="H27" i="4"/>
  <c r="AK23" i="4"/>
  <c r="AH9" i="17"/>
  <c r="B9" i="17"/>
  <c r="B10" i="17"/>
  <c r="E23" i="4"/>
  <c r="H9" i="17"/>
  <c r="K23" i="4"/>
  <c r="Y9" i="17"/>
  <c r="Y10" i="17"/>
  <c r="AB23" i="4"/>
  <c r="AE9" i="17"/>
  <c r="AH23" i="4"/>
  <c r="AK17" i="17"/>
  <c r="AG23" i="4"/>
  <c r="AD9" i="17"/>
  <c r="AD10" i="17"/>
  <c r="AJ9" i="17"/>
  <c r="AM23" i="4"/>
  <c r="D9" i="17"/>
  <c r="D10" i="17"/>
  <c r="G23" i="4"/>
  <c r="Q9" i="17"/>
  <c r="Q10" i="17"/>
  <c r="T23" i="4"/>
  <c r="T27" i="4"/>
  <c r="O9" i="17"/>
  <c r="O10" i="17"/>
  <c r="R23" i="4"/>
  <c r="P9" i="17"/>
  <c r="P10" i="17"/>
  <c r="S23" i="4"/>
  <c r="F17" i="17"/>
  <c r="AG17" i="17"/>
  <c r="AF17" i="17"/>
  <c r="V27" i="4"/>
  <c r="S17" i="17"/>
  <c r="S18" i="17"/>
  <c r="U23" i="4"/>
  <c r="U27" i="4"/>
  <c r="R9" i="17"/>
  <c r="R10" i="17"/>
  <c r="U9" i="17"/>
  <c r="U10" i="17"/>
  <c r="X23" i="4"/>
  <c r="G9" i="17"/>
  <c r="J23" i="4"/>
  <c r="AA17" i="17"/>
  <c r="AD27" i="4"/>
  <c r="Q23" i="4"/>
  <c r="Q27" i="4"/>
  <c r="N9" i="17"/>
  <c r="N10" i="17"/>
  <c r="M9" i="17"/>
  <c r="M10" i="17"/>
  <c r="P23" i="4"/>
  <c r="AC23" i="4"/>
  <c r="Z9" i="17"/>
  <c r="Z10" i="17"/>
  <c r="Y23" i="4"/>
  <c r="V9" i="17"/>
  <c r="V10" i="17"/>
  <c r="AB9" i="17"/>
  <c r="AB10" i="17"/>
  <c r="AE23" i="4"/>
  <c r="AC9" i="17"/>
  <c r="AC10" i="17"/>
  <c r="AF23" i="4"/>
  <c r="W9" i="17"/>
  <c r="W10" i="17"/>
  <c r="Z23" i="4"/>
  <c r="K9" i="17"/>
  <c r="N23" i="4"/>
  <c r="U17" i="17"/>
  <c r="AO23" i="4"/>
  <c r="AO27" i="4"/>
  <c r="AL9" i="17"/>
  <c r="I23" i="4"/>
  <c r="F9" i="17"/>
  <c r="F10" i="17"/>
  <c r="L9" i="17"/>
  <c r="L10" i="17"/>
  <c r="O23" i="4"/>
  <c r="AG9" i="17"/>
  <c r="AJ23" i="4"/>
  <c r="AJ27" i="4"/>
  <c r="C9" i="17"/>
  <c r="C10" i="17"/>
  <c r="F23" i="4"/>
  <c r="AF9" i="17"/>
  <c r="AI23" i="4"/>
  <c r="S9" i="17"/>
  <c r="S10" i="17"/>
  <c r="V23" i="4"/>
  <c r="AK27" i="4"/>
  <c r="AH17" i="17"/>
  <c r="E27" i="4"/>
  <c r="B17" i="17"/>
  <c r="B18" i="17"/>
  <c r="B20" i="17"/>
  <c r="H17" i="17"/>
  <c r="K27" i="4"/>
  <c r="AB27" i="4"/>
  <c r="Y17" i="17"/>
  <c r="AH27" i="4"/>
  <c r="AE17" i="17"/>
  <c r="M23" i="4"/>
  <c r="J9" i="17"/>
  <c r="AA9" i="17"/>
  <c r="AA10" i="17"/>
  <c r="AD23" i="4"/>
  <c r="AG27" i="4"/>
  <c r="AD17" i="17"/>
  <c r="AJ17" i="17"/>
  <c r="D17" i="17"/>
  <c r="G27" i="4"/>
  <c r="Q17" i="17"/>
  <c r="R27" i="4"/>
  <c r="O17" i="17"/>
  <c r="P17" i="17"/>
  <c r="M11" i="1"/>
  <c r="L13" i="1"/>
  <c r="X22" i="4"/>
  <c r="X4" i="4"/>
  <c r="U64" i="16"/>
  <c r="U25" i="16"/>
  <c r="U29" i="16"/>
  <c r="S22" i="4"/>
  <c r="S4" i="4"/>
  <c r="P64" i="16"/>
  <c r="P25" i="16"/>
  <c r="P29" i="16"/>
  <c r="AJ64" i="16"/>
  <c r="AJ25" i="16"/>
  <c r="AJ29" i="16"/>
  <c r="AM22" i="4"/>
  <c r="AM4" i="4"/>
  <c r="H22" i="4"/>
  <c r="H4" i="4"/>
  <c r="E64" i="16"/>
  <c r="E25" i="16"/>
  <c r="E29" i="16"/>
  <c r="AL22" i="4"/>
  <c r="AL4" i="4"/>
  <c r="AI64" i="16"/>
  <c r="AI25" i="16"/>
  <c r="AI29" i="16"/>
  <c r="N22" i="4"/>
  <c r="N4" i="4"/>
  <c r="K64" i="16"/>
  <c r="K25" i="16"/>
  <c r="K29" i="16"/>
  <c r="AF22" i="4"/>
  <c r="AF4" i="4"/>
  <c r="AC25" i="16"/>
  <c r="AC29" i="16"/>
  <c r="AC64" i="16"/>
  <c r="P22" i="4"/>
  <c r="P4" i="4"/>
  <c r="M25" i="16"/>
  <c r="M29" i="16"/>
  <c r="M64" i="16"/>
  <c r="E22" i="4"/>
  <c r="E4" i="4"/>
  <c r="B21" i="17"/>
  <c r="B25" i="16"/>
  <c r="B29" i="16"/>
  <c r="B64" i="16"/>
  <c r="AN22" i="4"/>
  <c r="AN4" i="4"/>
  <c r="AK64" i="16"/>
  <c r="AK25" i="16"/>
  <c r="AK29" i="16"/>
  <c r="S27" i="4"/>
  <c r="AM27" i="4"/>
  <c r="AD22" i="4"/>
  <c r="AD4" i="4"/>
  <c r="AA64" i="16"/>
  <c r="AA25" i="16"/>
  <c r="AA29" i="16"/>
  <c r="AI22" i="4"/>
  <c r="AI4" i="4"/>
  <c r="AF64" i="16"/>
  <c r="AF25" i="16"/>
  <c r="AF29" i="16"/>
  <c r="V64" i="16"/>
  <c r="V25" i="16"/>
  <c r="V29" i="16"/>
  <c r="Y22" i="4"/>
  <c r="Y4" i="4"/>
  <c r="F64" i="16"/>
  <c r="F25" i="16"/>
  <c r="F29" i="16"/>
  <c r="I22" i="4"/>
  <c r="I4" i="4"/>
  <c r="Z22" i="4"/>
  <c r="Z4" i="4"/>
  <c r="W64" i="16"/>
  <c r="W25" i="16"/>
  <c r="W29" i="16"/>
  <c r="AB64" i="16"/>
  <c r="AB25" i="16"/>
  <c r="AB29" i="16"/>
  <c r="AE22" i="4"/>
  <c r="AE4" i="4"/>
  <c r="J22" i="4"/>
  <c r="J4" i="4"/>
  <c r="G64" i="16"/>
  <c r="G25" i="16"/>
  <c r="G29" i="16"/>
  <c r="R22" i="4"/>
  <c r="R4" i="4"/>
  <c r="O64" i="16"/>
  <c r="O25" i="16"/>
  <c r="O29" i="16"/>
  <c r="D64" i="16"/>
  <c r="D25" i="16"/>
  <c r="D29" i="16"/>
  <c r="G22" i="4"/>
  <c r="G4" i="4"/>
  <c r="AH22" i="4"/>
  <c r="AH4" i="4"/>
  <c r="AE64" i="16"/>
  <c r="AE25" i="16"/>
  <c r="AE29" i="16"/>
  <c r="K22" i="4"/>
  <c r="K4" i="4"/>
  <c r="H25" i="16"/>
  <c r="H29" i="16"/>
  <c r="H64" i="16"/>
  <c r="L22" i="4"/>
  <c r="L4" i="4"/>
  <c r="I25" i="16"/>
  <c r="I29" i="16"/>
  <c r="I64" i="16"/>
  <c r="T64" i="16"/>
  <c r="T25" i="16"/>
  <c r="T29" i="16"/>
  <c r="W22" i="4"/>
  <c r="W4" i="4"/>
  <c r="AA22" i="4"/>
  <c r="AA4" i="4"/>
  <c r="X25" i="16"/>
  <c r="X29" i="16"/>
  <c r="X64" i="16"/>
  <c r="M22" i="4"/>
  <c r="M4" i="4"/>
  <c r="J25" i="16"/>
  <c r="J29" i="16"/>
  <c r="J64" i="16"/>
  <c r="AL64" i="16"/>
  <c r="AL25" i="16"/>
  <c r="AL29" i="16"/>
  <c r="AO22" i="4"/>
  <c r="AO4" i="4"/>
  <c r="S20" i="17"/>
  <c r="T22" i="4"/>
  <c r="T4" i="4"/>
  <c r="Q64" i="16"/>
  <c r="Q25" i="16"/>
  <c r="Q29" i="16"/>
  <c r="AB22" i="4"/>
  <c r="AB4" i="4"/>
  <c r="Y25" i="16"/>
  <c r="Y29" i="16"/>
  <c r="Y64" i="16"/>
  <c r="AJ22" i="4"/>
  <c r="AJ4" i="4"/>
  <c r="AG64" i="16"/>
  <c r="AG25" i="16"/>
  <c r="AG29" i="16"/>
  <c r="AN27" i="4"/>
  <c r="AL27" i="4"/>
  <c r="M27" i="4"/>
  <c r="V22" i="4"/>
  <c r="V4" i="4"/>
  <c r="S64" i="16"/>
  <c r="S25" i="16"/>
  <c r="S29" i="16"/>
  <c r="F22" i="4"/>
  <c r="F4" i="4"/>
  <c r="C64" i="16"/>
  <c r="C25" i="16"/>
  <c r="C29" i="16"/>
  <c r="L64" i="16"/>
  <c r="L25" i="16"/>
  <c r="L29" i="16"/>
  <c r="O22" i="4"/>
  <c r="O4" i="4"/>
  <c r="X27" i="4"/>
  <c r="AC22" i="4"/>
  <c r="AC4" i="4"/>
  <c r="Z25" i="16"/>
  <c r="Z29" i="16"/>
  <c r="Z64" i="16"/>
  <c r="N25" i="16"/>
  <c r="N29" i="16"/>
  <c r="Q22" i="4"/>
  <c r="Q4" i="4"/>
  <c r="N64" i="16"/>
  <c r="U22" i="4"/>
  <c r="U4" i="4"/>
  <c r="R25" i="16"/>
  <c r="R29" i="16"/>
  <c r="R64" i="16"/>
  <c r="AI27" i="4"/>
  <c r="I27" i="4"/>
  <c r="AD25" i="16"/>
  <c r="AD29" i="16"/>
  <c r="AG22" i="4"/>
  <c r="AG4" i="4"/>
  <c r="AD64" i="16"/>
  <c r="AK22" i="4"/>
  <c r="AK4" i="4"/>
  <c r="AH25" i="16"/>
  <c r="AH29" i="16"/>
  <c r="AH64" i="16"/>
  <c r="N27" i="4"/>
  <c r="AF27" i="4"/>
  <c r="Y27" i="4"/>
  <c r="AC27" i="4"/>
  <c r="P27" i="4"/>
  <c r="J27" i="4"/>
  <c r="O27" i="4"/>
  <c r="M13" i="1"/>
  <c r="N11" i="1"/>
  <c r="S21" i="17"/>
  <c r="O11" i="1"/>
  <c r="N13" i="1"/>
  <c r="P11" i="1"/>
  <c r="O13" i="1"/>
  <c r="Q11" i="1"/>
  <c r="P13" i="1"/>
  <c r="Q13" i="1"/>
  <c r="R11" i="1"/>
  <c r="S11" i="1"/>
  <c r="R13" i="1"/>
  <c r="T11" i="1"/>
  <c r="S13" i="1"/>
  <c r="U11" i="1"/>
  <c r="T13" i="1"/>
  <c r="U13" i="1"/>
  <c r="V11" i="1"/>
  <c r="W11" i="1"/>
  <c r="V13" i="1"/>
  <c r="X11" i="1"/>
  <c r="W13" i="1"/>
  <c r="Y11" i="1"/>
  <c r="X13" i="1"/>
  <c r="Y13" i="1"/>
  <c r="Z11" i="1"/>
  <c r="AA11" i="1"/>
  <c r="Z13" i="1"/>
  <c r="AB11" i="1"/>
  <c r="AA13" i="1"/>
  <c r="AC11" i="1"/>
  <c r="AB13" i="1"/>
  <c r="AC13" i="1"/>
  <c r="AD11" i="1"/>
  <c r="AE11" i="1"/>
  <c r="AD13" i="1"/>
  <c r="AF11" i="1"/>
  <c r="AE13" i="1"/>
  <c r="AG11" i="1"/>
  <c r="AF13" i="1"/>
  <c r="AG13" i="1"/>
  <c r="AH11" i="1"/>
  <c r="AI11" i="1"/>
  <c r="AH13" i="1"/>
  <c r="AJ11" i="1"/>
  <c r="AI13" i="1"/>
  <c r="AK11" i="1"/>
  <c r="AJ13" i="1"/>
  <c r="AK13" i="1"/>
  <c r="AL11" i="1"/>
  <c r="AM11" i="1"/>
  <c r="AL13" i="1"/>
  <c r="AN11" i="1"/>
  <c r="AM13" i="1"/>
  <c r="AO11" i="1"/>
  <c r="AN13" i="1"/>
  <c r="AO13" i="1"/>
  <c r="AP11" i="1"/>
  <c r="G56" i="7"/>
  <c r="G57" i="7"/>
  <c r="H56" i="7"/>
  <c r="H57" i="7"/>
  <c r="I56" i="7"/>
  <c r="J56" i="7"/>
  <c r="J57" i="7"/>
  <c r="M36" i="1"/>
  <c r="K56" i="7"/>
  <c r="K57" i="7"/>
  <c r="I57" i="7"/>
  <c r="L36" i="1"/>
  <c r="I5" i="17"/>
  <c r="I10" i="17"/>
  <c r="J5" i="17"/>
  <c r="J10" i="17"/>
  <c r="G81" i="17"/>
  <c r="G102" i="17"/>
  <c r="H81" i="17"/>
  <c r="H102" i="17"/>
  <c r="I81" i="17"/>
  <c r="I102" i="17"/>
  <c r="J81" i="17"/>
  <c r="J102" i="17"/>
  <c r="K81" i="17"/>
  <c r="K102" i="17"/>
  <c r="G5" i="17"/>
  <c r="G10" i="17"/>
  <c r="J36" i="1"/>
  <c r="K36" i="1"/>
  <c r="H5" i="17"/>
  <c r="H10" i="17"/>
  <c r="K5" i="17"/>
  <c r="K10" i="17"/>
  <c r="N36" i="1"/>
  <c r="AP13" i="1"/>
  <c r="AM26" i="17"/>
  <c r="AM25" i="17"/>
  <c r="AM42" i="17"/>
  <c r="AM140" i="17"/>
  <c r="AM43" i="17"/>
  <c r="AM39" i="17"/>
  <c r="AM137" i="17"/>
  <c r="AM41" i="17"/>
  <c r="AM139" i="17"/>
  <c r="AM40" i="17"/>
  <c r="AM138" i="17"/>
  <c r="AM34" i="17"/>
  <c r="AM30" i="17"/>
  <c r="AM32" i="17"/>
  <c r="AM31" i="17"/>
  <c r="AM33" i="17"/>
  <c r="AM23" i="7"/>
  <c r="AM56" i="7"/>
  <c r="AM57" i="7"/>
  <c r="AP36" i="1"/>
  <c r="AM5" i="17"/>
  <c r="AM58" i="17"/>
  <c r="AM118" i="17"/>
  <c r="AM158" i="17"/>
  <c r="AM59" i="17"/>
  <c r="AM119" i="17"/>
  <c r="AM159" i="17"/>
  <c r="AM157" i="17"/>
  <c r="AM117" i="17"/>
  <c r="AM60" i="17"/>
  <c r="AM160" i="17"/>
  <c r="AM120" i="17"/>
  <c r="AM57" i="17"/>
  <c r="AM47" i="17"/>
  <c r="AP37" i="1"/>
  <c r="AM13" i="17"/>
  <c r="AM10" i="17"/>
  <c r="AM29" i="17"/>
  <c r="AP35" i="1"/>
  <c r="AM156" i="17"/>
  <c r="AM116" i="17"/>
  <c r="AM38" i="17"/>
  <c r="AM18" i="17"/>
  <c r="AM20" i="17"/>
  <c r="AM21" i="17"/>
  <c r="AP30" i="1"/>
  <c r="AP6" i="1"/>
  <c r="AP7" i="1"/>
  <c r="AM35" i="17"/>
  <c r="AM122" i="17"/>
  <c r="AM44" i="17"/>
  <c r="AM142" i="17"/>
  <c r="AM136" i="17"/>
  <c r="AM56" i="17"/>
  <c r="H44" i="1"/>
  <c r="F46" i="1"/>
  <c r="F44" i="1"/>
  <c r="G46" i="1"/>
  <c r="G44" i="1"/>
  <c r="H46" i="1"/>
  <c r="I46" i="1"/>
  <c r="I44" i="1"/>
  <c r="J46" i="1"/>
  <c r="J44" i="1"/>
  <c r="K46" i="1"/>
  <c r="K44" i="1"/>
  <c r="L46" i="1"/>
  <c r="L44" i="1"/>
  <c r="M46" i="1"/>
  <c r="M44" i="1"/>
  <c r="N46" i="1"/>
  <c r="N44" i="1"/>
  <c r="O46" i="1"/>
  <c r="O44" i="1"/>
  <c r="P46" i="1"/>
  <c r="P44" i="1"/>
  <c r="Q46" i="1"/>
  <c r="Q44" i="1"/>
  <c r="R46" i="1"/>
  <c r="R44" i="1"/>
  <c r="S46" i="1"/>
  <c r="S44" i="1"/>
  <c r="T46" i="1"/>
  <c r="T44" i="1"/>
  <c r="U46" i="1"/>
  <c r="U44" i="1"/>
  <c r="E5" i="1"/>
  <c r="P5" i="1"/>
  <c r="F20" i="1"/>
  <c r="F5" i="1"/>
  <c r="J20" i="1"/>
  <c r="J5" i="1"/>
  <c r="N20" i="1"/>
  <c r="N5" i="1"/>
  <c r="R20" i="1"/>
  <c r="R5" i="1"/>
  <c r="C26" i="1"/>
  <c r="C20" i="1"/>
  <c r="D26" i="1"/>
  <c r="D20" i="1"/>
  <c r="E26" i="1"/>
  <c r="E20" i="1"/>
  <c r="F26" i="1"/>
  <c r="G26" i="1"/>
  <c r="G20" i="1"/>
  <c r="G5" i="1"/>
  <c r="H26" i="1"/>
  <c r="H20" i="1"/>
  <c r="H5" i="1"/>
  <c r="I26" i="1"/>
  <c r="I20" i="1"/>
  <c r="I5" i="1"/>
  <c r="J26" i="1"/>
  <c r="K26" i="1"/>
  <c r="K20" i="1"/>
  <c r="K5" i="1"/>
  <c r="L26" i="1"/>
  <c r="L20" i="1"/>
  <c r="L5" i="1"/>
  <c r="M26" i="1"/>
  <c r="M20" i="1"/>
  <c r="M5" i="1"/>
  <c r="N26" i="1"/>
  <c r="O26" i="1"/>
  <c r="O20" i="1"/>
  <c r="O5" i="1"/>
  <c r="P26" i="1"/>
  <c r="P20" i="1"/>
  <c r="Q26" i="1"/>
  <c r="Q20" i="1"/>
  <c r="Q5" i="1"/>
  <c r="R26" i="1"/>
  <c r="S26" i="1"/>
  <c r="S20" i="1"/>
  <c r="S5" i="1"/>
  <c r="T26" i="1"/>
  <c r="T20" i="1"/>
  <c r="T5" i="1"/>
  <c r="U26" i="1"/>
  <c r="U20" i="1"/>
  <c r="U5" i="1"/>
  <c r="AM162" i="17"/>
  <c r="AM46" i="17"/>
  <c r="AM48" i="17"/>
  <c r="Y5" i="1"/>
  <c r="AA20" i="1"/>
  <c r="AA5" i="1"/>
  <c r="W26" i="1"/>
  <c r="W20" i="1"/>
  <c r="W5" i="1"/>
  <c r="X26" i="1"/>
  <c r="X20" i="1"/>
  <c r="X5" i="1"/>
  <c r="Y26" i="1"/>
  <c r="Y20" i="1"/>
  <c r="Z26" i="1"/>
  <c r="Z20" i="1"/>
  <c r="Z5" i="1"/>
  <c r="AA26" i="1"/>
  <c r="AB26" i="1"/>
  <c r="AB20" i="1"/>
  <c r="AB5" i="1"/>
  <c r="AC26" i="1"/>
  <c r="AC20" i="1"/>
  <c r="AC5" i="1"/>
  <c r="AD26" i="1"/>
  <c r="AD20" i="1"/>
  <c r="AD5" i="1"/>
  <c r="AE26" i="1"/>
  <c r="AE20" i="1"/>
  <c r="AE5" i="1"/>
  <c r="AF26" i="1"/>
  <c r="AF20" i="1"/>
  <c r="AF5" i="1"/>
  <c r="AG26" i="1"/>
  <c r="AG20" i="1"/>
  <c r="AG5" i="1"/>
  <c r="AH26" i="1"/>
  <c r="AH20" i="1"/>
  <c r="AH5" i="1"/>
  <c r="AI26" i="1"/>
  <c r="AI20" i="1"/>
  <c r="AI5" i="1"/>
  <c r="AJ26" i="1"/>
  <c r="AJ20" i="1"/>
  <c r="AJ5" i="1"/>
  <c r="AK26" i="1"/>
  <c r="AK20" i="1"/>
  <c r="AK5" i="1"/>
  <c r="AL26" i="1"/>
  <c r="AL20" i="1"/>
  <c r="AL5" i="1"/>
  <c r="AM26" i="1"/>
  <c r="AM20" i="1"/>
  <c r="AM5" i="1"/>
  <c r="AN26" i="1"/>
  <c r="AN20" i="1"/>
  <c r="AN5" i="1"/>
  <c r="AO26" i="1"/>
  <c r="AO20" i="1"/>
  <c r="AO5" i="1"/>
  <c r="AK25" i="17"/>
  <c r="AL25" i="17"/>
  <c r="G9" i="1"/>
  <c r="G4" i="1"/>
  <c r="O9" i="1"/>
  <c r="O4" i="1"/>
  <c r="F15" i="1"/>
  <c r="F9" i="1"/>
  <c r="F4" i="1"/>
  <c r="G15" i="1"/>
  <c r="H15" i="1"/>
  <c r="H9" i="1"/>
  <c r="H4" i="1"/>
  <c r="I15" i="1"/>
  <c r="I9" i="1"/>
  <c r="I4" i="1"/>
  <c r="J15" i="1"/>
  <c r="J9" i="1"/>
  <c r="J4" i="1"/>
  <c r="K15" i="1"/>
  <c r="K9" i="1"/>
  <c r="K4" i="1"/>
  <c r="L15" i="1"/>
  <c r="L9" i="1"/>
  <c r="L4" i="1"/>
  <c r="M15" i="1"/>
  <c r="M9" i="1"/>
  <c r="M4" i="1"/>
  <c r="N15" i="1"/>
  <c r="N9" i="1"/>
  <c r="N4" i="1"/>
  <c r="O15" i="1"/>
  <c r="X4" i="1"/>
  <c r="R9" i="1"/>
  <c r="R4" i="1"/>
  <c r="V9" i="1"/>
  <c r="V4" i="1"/>
  <c r="Z9" i="1"/>
  <c r="Z4" i="1"/>
  <c r="AD9" i="1"/>
  <c r="AD4" i="1"/>
  <c r="Q15" i="1"/>
  <c r="Q9" i="1"/>
  <c r="Q4" i="1"/>
  <c r="R15" i="1"/>
  <c r="S15" i="1"/>
  <c r="S9" i="1"/>
  <c r="S4" i="1"/>
  <c r="T15" i="1"/>
  <c r="T9" i="1"/>
  <c r="T4" i="1"/>
  <c r="U15" i="1"/>
  <c r="U9" i="1"/>
  <c r="U4" i="1"/>
  <c r="V15" i="1"/>
  <c r="W15" i="1"/>
  <c r="W9" i="1"/>
  <c r="W4" i="1"/>
  <c r="X15" i="1"/>
  <c r="X9" i="1"/>
  <c r="Y15" i="1"/>
  <c r="Y9" i="1"/>
  <c r="Y4" i="1"/>
  <c r="Z15" i="1"/>
  <c r="AA15" i="1"/>
  <c r="AA9" i="1"/>
  <c r="AA4" i="1"/>
  <c r="AB15" i="1"/>
  <c r="AB9" i="1"/>
  <c r="AB4" i="1"/>
  <c r="AC15" i="1"/>
  <c r="AC9" i="1"/>
  <c r="AC4" i="1"/>
  <c r="AD15" i="1"/>
  <c r="AE15" i="1"/>
  <c r="AE9" i="1"/>
  <c r="AE4" i="1"/>
  <c r="AF15" i="1"/>
  <c r="AF9" i="1"/>
  <c r="AF4" i="1"/>
  <c r="AG15" i="1"/>
  <c r="AG9" i="1"/>
  <c r="AG4" i="1"/>
  <c r="AI9" i="1"/>
  <c r="AI4" i="1"/>
  <c r="AI15" i="1"/>
  <c r="AJ15" i="1"/>
  <c r="AJ9" i="1"/>
  <c r="AJ4" i="1"/>
  <c r="AK15" i="1"/>
  <c r="AK9" i="1"/>
  <c r="AK4" i="1"/>
  <c r="AL15" i="1"/>
  <c r="AL9" i="1"/>
  <c r="AL4" i="1"/>
  <c r="AM15" i="1"/>
  <c r="AM9" i="1"/>
  <c r="AM4" i="1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H37" i="1"/>
  <c r="H35" i="1"/>
  <c r="H7" i="1"/>
  <c r="C22" i="7"/>
  <c r="D22" i="7"/>
  <c r="G37" i="1"/>
  <c r="G35" i="1"/>
  <c r="G7" i="1"/>
  <c r="E22" i="7"/>
  <c r="F22" i="7"/>
  <c r="I37" i="1"/>
  <c r="I35" i="1"/>
  <c r="I7" i="1"/>
  <c r="G22" i="7"/>
  <c r="H22" i="7"/>
  <c r="K37" i="1"/>
  <c r="K35" i="1"/>
  <c r="K7" i="1"/>
  <c r="I22" i="7"/>
  <c r="L37" i="1"/>
  <c r="L35" i="1"/>
  <c r="L7" i="1"/>
  <c r="J22" i="7"/>
  <c r="M37" i="1"/>
  <c r="M35" i="1"/>
  <c r="M7" i="1"/>
  <c r="K22" i="7"/>
  <c r="L22" i="7"/>
  <c r="O37" i="1"/>
  <c r="O35" i="1"/>
  <c r="O7" i="1"/>
  <c r="M22" i="7"/>
  <c r="P37" i="1"/>
  <c r="N22" i="7"/>
  <c r="Q37" i="1"/>
  <c r="O22" i="7"/>
  <c r="P22" i="7"/>
  <c r="S37" i="1"/>
  <c r="S35" i="1"/>
  <c r="S7" i="1"/>
  <c r="Q22" i="7"/>
  <c r="T37" i="1"/>
  <c r="Q13" i="17"/>
  <c r="R22" i="7"/>
  <c r="U37" i="1"/>
  <c r="U35" i="1"/>
  <c r="U7" i="1"/>
  <c r="D23" i="7"/>
  <c r="E23" i="7"/>
  <c r="F23" i="7"/>
  <c r="H23" i="7"/>
  <c r="I23" i="7"/>
  <c r="J23" i="7"/>
  <c r="M23" i="7"/>
  <c r="N23" i="7"/>
  <c r="P23" i="7"/>
  <c r="Q23" i="7"/>
  <c r="R23" i="7"/>
  <c r="D13" i="17"/>
  <c r="H13" i="17"/>
  <c r="H18" i="17"/>
  <c r="H20" i="17"/>
  <c r="H21" i="17"/>
  <c r="L13" i="17"/>
  <c r="L18" i="17"/>
  <c r="L20" i="17"/>
  <c r="L21" i="17"/>
  <c r="P13" i="17"/>
  <c r="P18" i="17"/>
  <c r="P20" i="17"/>
  <c r="P21" i="17"/>
  <c r="D18" i="17"/>
  <c r="D20" i="17"/>
  <c r="D21" i="17"/>
  <c r="Q35" i="1"/>
  <c r="Q7" i="1"/>
  <c r="N13" i="17"/>
  <c r="N18" i="17"/>
  <c r="N20" i="17"/>
  <c r="N21" i="17"/>
  <c r="P35" i="1"/>
  <c r="P7" i="1"/>
  <c r="M13" i="17"/>
  <c r="M18" i="17"/>
  <c r="M20" i="17"/>
  <c r="T35" i="1"/>
  <c r="T7" i="1"/>
  <c r="Q18" i="17"/>
  <c r="Q20" i="17"/>
  <c r="Q21" i="17"/>
  <c r="R13" i="17"/>
  <c r="J13" i="17"/>
  <c r="I13" i="17"/>
  <c r="E13" i="17"/>
  <c r="F13" i="17"/>
  <c r="L23" i="7"/>
  <c r="R37" i="1"/>
  <c r="O23" i="7"/>
  <c r="N37" i="1"/>
  <c r="K23" i="7"/>
  <c r="J37" i="1"/>
  <c r="G23" i="7"/>
  <c r="F37" i="1"/>
  <c r="C23" i="7"/>
  <c r="M21" i="17"/>
  <c r="J18" i="17"/>
  <c r="J20" i="17"/>
  <c r="J21" i="17"/>
  <c r="F35" i="1"/>
  <c r="F7" i="1"/>
  <c r="C13" i="17"/>
  <c r="N35" i="1"/>
  <c r="N7" i="1"/>
  <c r="K13" i="17"/>
  <c r="F18" i="17"/>
  <c r="F20" i="17"/>
  <c r="F21" i="17"/>
  <c r="R18" i="17"/>
  <c r="R20" i="17"/>
  <c r="R21" i="17"/>
  <c r="E18" i="17"/>
  <c r="E20" i="17"/>
  <c r="E21" i="17"/>
  <c r="J35" i="1"/>
  <c r="J7" i="1"/>
  <c r="G13" i="17"/>
  <c r="R35" i="1"/>
  <c r="R7" i="1"/>
  <c r="O13" i="17"/>
  <c r="I18" i="17"/>
  <c r="I20" i="17"/>
  <c r="I21" i="17"/>
  <c r="O18" i="17"/>
  <c r="O20" i="17"/>
  <c r="O21" i="17"/>
  <c r="C18" i="17"/>
  <c r="C20" i="17"/>
  <c r="C21" i="17"/>
  <c r="G18" i="17"/>
  <c r="G20" i="17"/>
  <c r="G21" i="17"/>
  <c r="K18" i="17"/>
  <c r="K20" i="17"/>
  <c r="K21" i="17"/>
  <c r="AE37" i="1"/>
  <c r="AE35" i="1"/>
  <c r="AE7" i="1"/>
  <c r="T22" i="7"/>
  <c r="W37" i="1"/>
  <c r="U22" i="7"/>
  <c r="X37" i="1"/>
  <c r="X35" i="1"/>
  <c r="X7" i="1"/>
  <c r="V22" i="7"/>
  <c r="W22" i="7"/>
  <c r="Z37" i="1"/>
  <c r="Z35" i="1"/>
  <c r="Z7" i="1"/>
  <c r="X22" i="7"/>
  <c r="AA37" i="1"/>
  <c r="AA35" i="1"/>
  <c r="AA7" i="1"/>
  <c r="Y22" i="7"/>
  <c r="AB37" i="1"/>
  <c r="AB35" i="1"/>
  <c r="AB7" i="1"/>
  <c r="Z22" i="7"/>
  <c r="AA22" i="7"/>
  <c r="AD37" i="1"/>
  <c r="AB22" i="7"/>
  <c r="AC22" i="7"/>
  <c r="AF37" i="1"/>
  <c r="AF35" i="1"/>
  <c r="AF7" i="1"/>
  <c r="AD22" i="7"/>
  <c r="T23" i="7"/>
  <c r="U23" i="7"/>
  <c r="Y23" i="7"/>
  <c r="AB23" i="7"/>
  <c r="U13" i="17"/>
  <c r="U18" i="17"/>
  <c r="U20" i="17"/>
  <c r="U21" i="17"/>
  <c r="W35" i="1"/>
  <c r="W7" i="1"/>
  <c r="T13" i="17"/>
  <c r="T18" i="17"/>
  <c r="T20" i="17"/>
  <c r="AD35" i="1"/>
  <c r="AD7" i="1"/>
  <c r="AA13" i="17"/>
  <c r="AA18" i="17"/>
  <c r="AA20" i="17"/>
  <c r="AA21" i="17"/>
  <c r="W13" i="17"/>
  <c r="W18" i="17"/>
  <c r="W20" i="17"/>
  <c r="W21" i="17"/>
  <c r="W23" i="7"/>
  <c r="AC13" i="17"/>
  <c r="AC18" i="17"/>
  <c r="AC20" i="17"/>
  <c r="AC21" i="17"/>
  <c r="AA23" i="7"/>
  <c r="Y13" i="17"/>
  <c r="Y18" i="17"/>
  <c r="Y20" i="17"/>
  <c r="Y21" i="17"/>
  <c r="AC23" i="7"/>
  <c r="X23" i="7"/>
  <c r="AB13" i="17"/>
  <c r="X13" i="17"/>
  <c r="AG37" i="1"/>
  <c r="AD23" i="7"/>
  <c r="AC37" i="1"/>
  <c r="Z23" i="7"/>
  <c r="Y37" i="1"/>
  <c r="V23" i="7"/>
  <c r="T21" i="17"/>
  <c r="V13" i="17"/>
  <c r="Y35" i="1"/>
  <c r="Y7" i="1"/>
  <c r="AG35" i="1"/>
  <c r="AG7" i="1"/>
  <c r="AD13" i="17"/>
  <c r="X18" i="17"/>
  <c r="X20" i="17"/>
  <c r="X21" i="17"/>
  <c r="AC35" i="1"/>
  <c r="AC7" i="1"/>
  <c r="Z13" i="17"/>
  <c r="AB18" i="17"/>
  <c r="AB20" i="17"/>
  <c r="AB21" i="17"/>
  <c r="Z18" i="17"/>
  <c r="Z20" i="17"/>
  <c r="Z21" i="17"/>
  <c r="AD18" i="17"/>
  <c r="AD20" i="17"/>
  <c r="AD21" i="17"/>
  <c r="V18" i="17"/>
  <c r="V20" i="17"/>
  <c r="V21" i="17"/>
  <c r="S33" i="1"/>
  <c r="S31" i="1"/>
  <c r="C10" i="7"/>
  <c r="F33" i="1"/>
  <c r="F31" i="1"/>
  <c r="D10" i="7"/>
  <c r="G33" i="1"/>
  <c r="G31" i="1"/>
  <c r="E10" i="7"/>
  <c r="H33" i="1"/>
  <c r="H31" i="1"/>
  <c r="F10" i="7"/>
  <c r="G10" i="7"/>
  <c r="J33" i="1"/>
  <c r="H10" i="7"/>
  <c r="K33" i="1"/>
  <c r="K31" i="1"/>
  <c r="I10" i="7"/>
  <c r="L33" i="1"/>
  <c r="L31" i="1"/>
  <c r="J10" i="7"/>
  <c r="K10" i="7"/>
  <c r="N33" i="1"/>
  <c r="N31" i="1"/>
  <c r="L10" i="7"/>
  <c r="O33" i="1"/>
  <c r="O31" i="1"/>
  <c r="M10" i="7"/>
  <c r="P33" i="1"/>
  <c r="P31" i="1"/>
  <c r="N10" i="7"/>
  <c r="O10" i="7"/>
  <c r="R33" i="1"/>
  <c r="R31" i="1"/>
  <c r="P10" i="7"/>
  <c r="Q10" i="7"/>
  <c r="T33" i="1"/>
  <c r="T31" i="1"/>
  <c r="R10" i="7"/>
  <c r="C11" i="7"/>
  <c r="D11" i="7"/>
  <c r="E11" i="7"/>
  <c r="G11" i="7"/>
  <c r="H11" i="7"/>
  <c r="I11" i="7"/>
  <c r="L11" i="7"/>
  <c r="M11" i="7"/>
  <c r="O11" i="7"/>
  <c r="P11" i="7"/>
  <c r="Q11" i="7"/>
  <c r="J31" i="1"/>
  <c r="K11" i="7"/>
  <c r="U33" i="1"/>
  <c r="R11" i="7"/>
  <c r="Q33" i="1"/>
  <c r="N11" i="7"/>
  <c r="M33" i="1"/>
  <c r="J11" i="7"/>
  <c r="I33" i="1"/>
  <c r="F11" i="7"/>
  <c r="I31" i="1"/>
  <c r="Q31" i="1"/>
  <c r="M31" i="1"/>
  <c r="U31" i="1"/>
  <c r="AG33" i="1"/>
  <c r="AG31" i="1"/>
  <c r="T10" i="7"/>
  <c r="W33" i="1"/>
  <c r="U10" i="7"/>
  <c r="X33" i="1"/>
  <c r="X31" i="1"/>
  <c r="V10" i="7"/>
  <c r="Y33" i="1"/>
  <c r="Y31" i="1"/>
  <c r="W10" i="7"/>
  <c r="W11" i="7"/>
  <c r="X10" i="7"/>
  <c r="X11" i="7"/>
  <c r="Y10" i="7"/>
  <c r="AB33" i="1"/>
  <c r="AB31" i="1"/>
  <c r="Z10" i="7"/>
  <c r="AC33" i="1"/>
  <c r="AC31" i="1"/>
  <c r="AA10" i="7"/>
  <c r="AB10" i="7"/>
  <c r="AB11" i="7"/>
  <c r="AC10" i="7"/>
  <c r="AF33" i="1"/>
  <c r="AF31" i="1"/>
  <c r="AD10" i="7"/>
  <c r="AE10" i="7"/>
  <c r="AF10" i="7"/>
  <c r="AI33" i="1"/>
  <c r="AG10" i="7"/>
  <c r="AJ33" i="1"/>
  <c r="AJ31" i="1"/>
  <c r="AH10" i="7"/>
  <c r="AK33" i="1"/>
  <c r="AK31" i="1"/>
  <c r="AI10" i="7"/>
  <c r="AI11" i="7"/>
  <c r="AJ10" i="7"/>
  <c r="AM33" i="1"/>
  <c r="AK10" i="7"/>
  <c r="AN33" i="1"/>
  <c r="AN31" i="1"/>
  <c r="AL10" i="7"/>
  <c r="AO33" i="1"/>
  <c r="V11" i="7"/>
  <c r="Y11" i="7"/>
  <c r="Z11" i="7"/>
  <c r="AD11" i="7"/>
  <c r="AG11" i="7"/>
  <c r="AH11" i="7"/>
  <c r="AJ11" i="7"/>
  <c r="AL11" i="7"/>
  <c r="AL26" i="17"/>
  <c r="AO31" i="1"/>
  <c r="AK26" i="17"/>
  <c r="AK11" i="7"/>
  <c r="AC11" i="7"/>
  <c r="U11" i="7"/>
  <c r="Z33" i="1"/>
  <c r="Z31" i="1"/>
  <c r="AM31" i="1"/>
  <c r="AI31" i="1"/>
  <c r="W31" i="1"/>
  <c r="AE33" i="1"/>
  <c r="T11" i="7"/>
  <c r="AE11" i="7"/>
  <c r="AH33" i="1"/>
  <c r="AA11" i="7"/>
  <c r="AD33" i="1"/>
  <c r="AL33" i="1"/>
  <c r="AF11" i="7"/>
  <c r="AA33" i="1"/>
  <c r="AL31" i="1"/>
  <c r="AD31" i="1"/>
  <c r="AA31" i="1"/>
  <c r="AH31" i="1"/>
  <c r="AE31" i="1"/>
  <c r="C40" i="7"/>
  <c r="D40" i="7"/>
  <c r="E40" i="7"/>
  <c r="F40" i="7"/>
  <c r="G40" i="7"/>
  <c r="H40" i="7"/>
  <c r="I40" i="7"/>
  <c r="J40" i="7"/>
  <c r="K40" i="7"/>
  <c r="L40" i="7"/>
  <c r="M40" i="7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K40" i="7"/>
  <c r="AJ40" i="7"/>
  <c r="AG40" i="7"/>
  <c r="AI40" i="7"/>
  <c r="AF40" i="7"/>
  <c r="AH40" i="7"/>
  <c r="AJ44" i="7"/>
  <c r="AI44" i="7"/>
  <c r="AJ42" i="7"/>
  <c r="AM42" i="1"/>
  <c r="AJ26" i="17"/>
  <c r="AI42" i="7"/>
  <c r="AL42" i="1"/>
  <c r="AI26" i="17"/>
  <c r="AH44" i="7"/>
  <c r="AJ43" i="7"/>
  <c r="AM41" i="1"/>
  <c r="AI43" i="7"/>
  <c r="AL41" i="1"/>
  <c r="AL40" i="1"/>
  <c r="AG44" i="7"/>
  <c r="AH42" i="7"/>
  <c r="AK42" i="1"/>
  <c r="AH26" i="17"/>
  <c r="AI25" i="17"/>
  <c r="AM40" i="1"/>
  <c r="AJ25" i="17"/>
  <c r="AH43" i="7"/>
  <c r="AK41" i="1"/>
  <c r="AF44" i="7"/>
  <c r="AG42" i="7"/>
  <c r="AJ42" i="1"/>
  <c r="AG26" i="17"/>
  <c r="AE44" i="7"/>
  <c r="AF42" i="7"/>
  <c r="AI42" i="1"/>
  <c r="AF26" i="17"/>
  <c r="AK40" i="1"/>
  <c r="AH25" i="17"/>
  <c r="AG43" i="7"/>
  <c r="AJ41" i="1"/>
  <c r="AJ40" i="1"/>
  <c r="AG25" i="17"/>
  <c r="AE42" i="7"/>
  <c r="AH42" i="1"/>
  <c r="AE26" i="17"/>
  <c r="AD44" i="7"/>
  <c r="AF43" i="7"/>
  <c r="AI41" i="1"/>
  <c r="AD42" i="7"/>
  <c r="AG42" i="1"/>
  <c r="AD26" i="17"/>
  <c r="AC44" i="7"/>
  <c r="AF25" i="17"/>
  <c r="AI40" i="1"/>
  <c r="AE43" i="7"/>
  <c r="AH41" i="1"/>
  <c r="AD43" i="7"/>
  <c r="AG41" i="1"/>
  <c r="AD39" i="17"/>
  <c r="AD137" i="17"/>
  <c r="AD41" i="17"/>
  <c r="AD139" i="17"/>
  <c r="AD42" i="17"/>
  <c r="AD140" i="17"/>
  <c r="AD43" i="17"/>
  <c r="AD141" i="17"/>
  <c r="AD40" i="17"/>
  <c r="AD138" i="17"/>
  <c r="AD38" i="17"/>
  <c r="AH40" i="1"/>
  <c r="AE25" i="17"/>
  <c r="AB44" i="7"/>
  <c r="AC42" i="7"/>
  <c r="AF42" i="1"/>
  <c r="AC26" i="17"/>
  <c r="AG40" i="1"/>
  <c r="AG30" i="1"/>
  <c r="AG6" i="1"/>
  <c r="AD25" i="17"/>
  <c r="AD147" i="17"/>
  <c r="AC43" i="7"/>
  <c r="AF41" i="1"/>
  <c r="AD30" i="17"/>
  <c r="AD33" i="17"/>
  <c r="AD31" i="17"/>
  <c r="AD32" i="17"/>
  <c r="AD34" i="17"/>
  <c r="AD29" i="17"/>
  <c r="AF40" i="1"/>
  <c r="AF30" i="1"/>
  <c r="AF6" i="1"/>
  <c r="AC25" i="17"/>
  <c r="AC43" i="17"/>
  <c r="AC141" i="17"/>
  <c r="AD150" i="17"/>
  <c r="AC42" i="17"/>
  <c r="AC140" i="17"/>
  <c r="AC41" i="17"/>
  <c r="AC139" i="17"/>
  <c r="AC40" i="17"/>
  <c r="AC138" i="17"/>
  <c r="AC39" i="17"/>
  <c r="AC137" i="17"/>
  <c r="AD146" i="17"/>
  <c r="AC38" i="17"/>
  <c r="AB43" i="7"/>
  <c r="AE41" i="1"/>
  <c r="AA44" i="7"/>
  <c r="AB42" i="7"/>
  <c r="AE42" i="1"/>
  <c r="AB26" i="17"/>
  <c r="AD44" i="17"/>
  <c r="AD142" i="17"/>
  <c r="AD58" i="17"/>
  <c r="AD158" i="17"/>
  <c r="AD118" i="17"/>
  <c r="AC149" i="17"/>
  <c r="AD47" i="17"/>
  <c r="AD121" i="17"/>
  <c r="AD161" i="17"/>
  <c r="AD157" i="17"/>
  <c r="AD117" i="17"/>
  <c r="AD149" i="17"/>
  <c r="AD60" i="17"/>
  <c r="AD120" i="17"/>
  <c r="AD160" i="17"/>
  <c r="AD59" i="17"/>
  <c r="AD119" i="17"/>
  <c r="AD159" i="17"/>
  <c r="AD148" i="17"/>
  <c r="AD57" i="17"/>
  <c r="AC33" i="17"/>
  <c r="AC32" i="17"/>
  <c r="AC34" i="17"/>
  <c r="AC30" i="17"/>
  <c r="AC29" i="17"/>
  <c r="AC31" i="17"/>
  <c r="AC44" i="17"/>
  <c r="AC142" i="17"/>
  <c r="AD35" i="17"/>
  <c r="AE40" i="1"/>
  <c r="AE30" i="1"/>
  <c r="AE6" i="1"/>
  <c r="AB25" i="17"/>
  <c r="AB41" i="17"/>
  <c r="AB139" i="17"/>
  <c r="AC148" i="17"/>
  <c r="AB39" i="17"/>
  <c r="AB137" i="17"/>
  <c r="AB42" i="17"/>
  <c r="AB140" i="17"/>
  <c r="AB40" i="17"/>
  <c r="AB138" i="17"/>
  <c r="AB43" i="17"/>
  <c r="AB141" i="17"/>
  <c r="AC150" i="17"/>
  <c r="AB38" i="17"/>
  <c r="Z44" i="7"/>
  <c r="AA42" i="7"/>
  <c r="AD42" i="1"/>
  <c r="AA26" i="17"/>
  <c r="AC59" i="17"/>
  <c r="AC159" i="17"/>
  <c r="AD168" i="17"/>
  <c r="AC119" i="17"/>
  <c r="AC60" i="17"/>
  <c r="AC160" i="17"/>
  <c r="AD169" i="17"/>
  <c r="AC120" i="17"/>
  <c r="AD129" i="17"/>
  <c r="AD46" i="17"/>
  <c r="AD48" i="17"/>
  <c r="AD162" i="17"/>
  <c r="AD122" i="17"/>
  <c r="AC157" i="17"/>
  <c r="AD166" i="17"/>
  <c r="AC117" i="17"/>
  <c r="AD126" i="17"/>
  <c r="AD167" i="17"/>
  <c r="AB147" i="17"/>
  <c r="AC58" i="17"/>
  <c r="AC158" i="17"/>
  <c r="AC118" i="17"/>
  <c r="AD128" i="17"/>
  <c r="AC47" i="17"/>
  <c r="AC121" i="17"/>
  <c r="AC161" i="17"/>
  <c r="AD170" i="17"/>
  <c r="AC147" i="17"/>
  <c r="AD151" i="17"/>
  <c r="AC146" i="17"/>
  <c r="AC57" i="17"/>
  <c r="Y44" i="7"/>
  <c r="Z42" i="7"/>
  <c r="AC42" i="1"/>
  <c r="Z26" i="17"/>
  <c r="AB29" i="17"/>
  <c r="AB34" i="17"/>
  <c r="AB30" i="17"/>
  <c r="AB32" i="17"/>
  <c r="AB33" i="17"/>
  <c r="AB31" i="17"/>
  <c r="AA39" i="17"/>
  <c r="AA137" i="17"/>
  <c r="AB146" i="17"/>
  <c r="AA43" i="17"/>
  <c r="AA141" i="17"/>
  <c r="AA42" i="17"/>
  <c r="AA140" i="17"/>
  <c r="AB149" i="17"/>
  <c r="AA41" i="17"/>
  <c r="AA139" i="17"/>
  <c r="AB148" i="17"/>
  <c r="AA40" i="17"/>
  <c r="AA138" i="17"/>
  <c r="AA38" i="17"/>
  <c r="AA43" i="7"/>
  <c r="AD41" i="1"/>
  <c r="AB44" i="17"/>
  <c r="AB142" i="17"/>
  <c r="AC35" i="17"/>
  <c r="AB59" i="17"/>
  <c r="AB119" i="17"/>
  <c r="AC128" i="17"/>
  <c r="AB159" i="17"/>
  <c r="AB150" i="17"/>
  <c r="AB157" i="17"/>
  <c r="AB117" i="17"/>
  <c r="AC126" i="17"/>
  <c r="AB58" i="17"/>
  <c r="AB158" i="17"/>
  <c r="AC167" i="17"/>
  <c r="AB118" i="17"/>
  <c r="AC127" i="17"/>
  <c r="AB47" i="17"/>
  <c r="AB161" i="17"/>
  <c r="AB121" i="17"/>
  <c r="AC151" i="17"/>
  <c r="AC166" i="17"/>
  <c r="AC46" i="17"/>
  <c r="AC48" i="17"/>
  <c r="AC122" i="17"/>
  <c r="AC162" i="17"/>
  <c r="AB60" i="17"/>
  <c r="AB120" i="17"/>
  <c r="AC129" i="17"/>
  <c r="AB160" i="17"/>
  <c r="AD130" i="17"/>
  <c r="AD127" i="17"/>
  <c r="AB57" i="17"/>
  <c r="AD40" i="1"/>
  <c r="AD30" i="1"/>
  <c r="AD6" i="1"/>
  <c r="AA25" i="17"/>
  <c r="AA44" i="17"/>
  <c r="AA142" i="17"/>
  <c r="Z41" i="17"/>
  <c r="Z139" i="17"/>
  <c r="AA148" i="17"/>
  <c r="Z43" i="17"/>
  <c r="Z141" i="17"/>
  <c r="AA150" i="17"/>
  <c r="Z40" i="17"/>
  <c r="Z138" i="17"/>
  <c r="AA147" i="17"/>
  <c r="Z42" i="17"/>
  <c r="Z140" i="17"/>
  <c r="Z39" i="17"/>
  <c r="Z137" i="17"/>
  <c r="Z38" i="17"/>
  <c r="X44" i="7"/>
  <c r="Y42" i="7"/>
  <c r="AB42" i="1"/>
  <c r="Y26" i="17"/>
  <c r="AB35" i="17"/>
  <c r="Z43" i="7"/>
  <c r="AC41" i="1"/>
  <c r="AC168" i="17"/>
  <c r="AA146" i="17"/>
  <c r="AC130" i="17"/>
  <c r="AB46" i="17"/>
  <c r="AB48" i="17"/>
  <c r="AB162" i="17"/>
  <c r="AB122" i="17"/>
  <c r="AD131" i="17"/>
  <c r="AC169" i="17"/>
  <c r="AC170" i="17"/>
  <c r="AA149" i="17"/>
  <c r="AB151" i="17"/>
  <c r="AD171" i="17"/>
  <c r="Y43" i="7"/>
  <c r="AB41" i="1"/>
  <c r="X42" i="7"/>
  <c r="AA42" i="1"/>
  <c r="X26" i="17"/>
  <c r="W44" i="7"/>
  <c r="AA32" i="17"/>
  <c r="AA33" i="17"/>
  <c r="AA30" i="17"/>
  <c r="AA29" i="17"/>
  <c r="AA31" i="17"/>
  <c r="AA34" i="17"/>
  <c r="Z44" i="17"/>
  <c r="Z142" i="17"/>
  <c r="AA151" i="17"/>
  <c r="AB40" i="1"/>
  <c r="AB30" i="1"/>
  <c r="AB6" i="1"/>
  <c r="Y25" i="17"/>
  <c r="AC40" i="1"/>
  <c r="AC30" i="1"/>
  <c r="AC6" i="1"/>
  <c r="Z25" i="17"/>
  <c r="Y39" i="17"/>
  <c r="Y137" i="17"/>
  <c r="Z146" i="17"/>
  <c r="Y42" i="17"/>
  <c r="Y140" i="17"/>
  <c r="Z149" i="17"/>
  <c r="Y43" i="17"/>
  <c r="Y141" i="17"/>
  <c r="Z150" i="17"/>
  <c r="Y40" i="17"/>
  <c r="Y138" i="17"/>
  <c r="Z147" i="17"/>
  <c r="Y41" i="17"/>
  <c r="Y139" i="17"/>
  <c r="Y38" i="17"/>
  <c r="AA47" i="17"/>
  <c r="AA121" i="17"/>
  <c r="AA161" i="17"/>
  <c r="AB170" i="17"/>
  <c r="AA60" i="17"/>
  <c r="AA160" i="17"/>
  <c r="AA120" i="17"/>
  <c r="AC171" i="17"/>
  <c r="Z148" i="17"/>
  <c r="Y146" i="17"/>
  <c r="AA117" i="17"/>
  <c r="AA157" i="17"/>
  <c r="AB166" i="17"/>
  <c r="AA58" i="17"/>
  <c r="AA158" i="17"/>
  <c r="AB167" i="17"/>
  <c r="AA118" i="17"/>
  <c r="AA59" i="17"/>
  <c r="AA159" i="17"/>
  <c r="AA119" i="17"/>
  <c r="AC131" i="17"/>
  <c r="AA57" i="17"/>
  <c r="Z33" i="17"/>
  <c r="Z34" i="17"/>
  <c r="Z31" i="17"/>
  <c r="Z30" i="17"/>
  <c r="Z32" i="17"/>
  <c r="Z29" i="17"/>
  <c r="X40" i="17"/>
  <c r="X138" i="17"/>
  <c r="X39" i="17"/>
  <c r="X137" i="17"/>
  <c r="X43" i="17"/>
  <c r="X141" i="17"/>
  <c r="X42" i="17"/>
  <c r="X140" i="17"/>
  <c r="Y149" i="17"/>
  <c r="X41" i="17"/>
  <c r="X139" i="17"/>
  <c r="X38" i="17"/>
  <c r="X43" i="7"/>
  <c r="AA41" i="1"/>
  <c r="Y44" i="17"/>
  <c r="Y142" i="17"/>
  <c r="Y31" i="17"/>
  <c r="Y34" i="17"/>
  <c r="Y30" i="17"/>
  <c r="Y29" i="17"/>
  <c r="Y32" i="17"/>
  <c r="Y33" i="17"/>
  <c r="AA35" i="17"/>
  <c r="W42" i="7"/>
  <c r="Z42" i="1"/>
  <c r="W26" i="17"/>
  <c r="W43" i="7"/>
  <c r="Z41" i="1"/>
  <c r="V44" i="7"/>
  <c r="Y59" i="17"/>
  <c r="Y159" i="17"/>
  <c r="Y119" i="17"/>
  <c r="Z58" i="17"/>
  <c r="Z118" i="17"/>
  <c r="AA127" i="17"/>
  <c r="Z158" i="17"/>
  <c r="AB129" i="17"/>
  <c r="Z47" i="17"/>
  <c r="Z161" i="17"/>
  <c r="Z121" i="17"/>
  <c r="Z130" i="17"/>
  <c r="AB127" i="17"/>
  <c r="AB169" i="17"/>
  <c r="AA46" i="17"/>
  <c r="AA48" i="17"/>
  <c r="AA162" i="17"/>
  <c r="AB171" i="17"/>
  <c r="AA122" i="17"/>
  <c r="Y157" i="17"/>
  <c r="Y117" i="17"/>
  <c r="Z59" i="17"/>
  <c r="Z159" i="17"/>
  <c r="Z119" i="17"/>
  <c r="Z128" i="17"/>
  <c r="Z60" i="17"/>
  <c r="Z120" i="17"/>
  <c r="Z160" i="17"/>
  <c r="AA128" i="17"/>
  <c r="AB128" i="17"/>
  <c r="AB126" i="17"/>
  <c r="Y150" i="17"/>
  <c r="Y58" i="17"/>
  <c r="Y158" i="17"/>
  <c r="Y118" i="17"/>
  <c r="Y147" i="17"/>
  <c r="AB130" i="17"/>
  <c r="Y148" i="17"/>
  <c r="Y60" i="17"/>
  <c r="Y160" i="17"/>
  <c r="Y120" i="17"/>
  <c r="Y47" i="17"/>
  <c r="Y121" i="17"/>
  <c r="Y161" i="17"/>
  <c r="Z117" i="17"/>
  <c r="AA126" i="17"/>
  <c r="Z157" i="17"/>
  <c r="AA168" i="17"/>
  <c r="AB168" i="17"/>
  <c r="Z151" i="17"/>
  <c r="Z57" i="17"/>
  <c r="Y57" i="17"/>
  <c r="X44" i="17"/>
  <c r="X142" i="17"/>
  <c r="W25" i="17"/>
  <c r="Z40" i="1"/>
  <c r="Z30" i="1"/>
  <c r="Z6" i="1"/>
  <c r="W42" i="17"/>
  <c r="W140" i="17"/>
  <c r="W39" i="17"/>
  <c r="W137" i="17"/>
  <c r="W43" i="17"/>
  <c r="W141" i="17"/>
  <c r="W40" i="17"/>
  <c r="W138" i="17"/>
  <c r="W41" i="17"/>
  <c r="W139" i="17"/>
  <c r="X148" i="17"/>
  <c r="W38" i="17"/>
  <c r="Y35" i="17"/>
  <c r="V42" i="7"/>
  <c r="Y42" i="1"/>
  <c r="V26" i="17"/>
  <c r="U44" i="7"/>
  <c r="AA40" i="1"/>
  <c r="AA30" i="1"/>
  <c r="AA6" i="1"/>
  <c r="X25" i="17"/>
  <c r="Z35" i="17"/>
  <c r="Z168" i="17"/>
  <c r="Z129" i="17"/>
  <c r="Z169" i="17"/>
  <c r="Z46" i="17"/>
  <c r="Z48" i="17"/>
  <c r="Z122" i="17"/>
  <c r="Z131" i="17"/>
  <c r="Z162" i="17"/>
  <c r="AA166" i="17"/>
  <c r="Z166" i="17"/>
  <c r="AA130" i="17"/>
  <c r="AB131" i="17"/>
  <c r="AA169" i="17"/>
  <c r="AA170" i="17"/>
  <c r="Z170" i="17"/>
  <c r="AA129" i="17"/>
  <c r="Y46" i="17"/>
  <c r="Y48" i="17"/>
  <c r="Y122" i="17"/>
  <c r="Y162" i="17"/>
  <c r="Z126" i="17"/>
  <c r="X149" i="17"/>
  <c r="X150" i="17"/>
  <c r="AA167" i="17"/>
  <c r="Z167" i="17"/>
  <c r="X146" i="17"/>
  <c r="X147" i="17"/>
  <c r="Y151" i="17"/>
  <c r="Z127" i="17"/>
  <c r="W44" i="17"/>
  <c r="W142" i="17"/>
  <c r="V40" i="17"/>
  <c r="V138" i="17"/>
  <c r="W147" i="17"/>
  <c r="V43" i="17"/>
  <c r="V141" i="17"/>
  <c r="W150" i="17"/>
  <c r="V39" i="17"/>
  <c r="V137" i="17"/>
  <c r="V41" i="17"/>
  <c r="V139" i="17"/>
  <c r="W148" i="17"/>
  <c r="V42" i="17"/>
  <c r="V140" i="17"/>
  <c r="W149" i="17"/>
  <c r="V38" i="17"/>
  <c r="X31" i="17"/>
  <c r="X29" i="17"/>
  <c r="X34" i="17"/>
  <c r="X32" i="17"/>
  <c r="X33" i="17"/>
  <c r="X30" i="17"/>
  <c r="V43" i="7"/>
  <c r="Y41" i="1"/>
  <c r="U42" i="7"/>
  <c r="X42" i="1"/>
  <c r="U26" i="17"/>
  <c r="T44" i="7"/>
  <c r="W32" i="17"/>
  <c r="W30" i="17"/>
  <c r="W29" i="17"/>
  <c r="W33" i="17"/>
  <c r="W34" i="17"/>
  <c r="W31" i="17"/>
  <c r="AA131" i="17"/>
  <c r="V146" i="17"/>
  <c r="W146" i="17"/>
  <c r="X59" i="17"/>
  <c r="X159" i="17"/>
  <c r="X119" i="17"/>
  <c r="W58" i="17"/>
  <c r="W158" i="17"/>
  <c r="W118" i="17"/>
  <c r="W157" i="17"/>
  <c r="W117" i="17"/>
  <c r="X47" i="17"/>
  <c r="X161" i="17"/>
  <c r="X121" i="17"/>
  <c r="AA171" i="17"/>
  <c r="Z171" i="17"/>
  <c r="W60" i="17"/>
  <c r="W160" i="17"/>
  <c r="W120" i="17"/>
  <c r="X60" i="17"/>
  <c r="X160" i="17"/>
  <c r="X120" i="17"/>
  <c r="X58" i="17"/>
  <c r="X118" i="17"/>
  <c r="X158" i="17"/>
  <c r="W47" i="17"/>
  <c r="W161" i="17"/>
  <c r="W121" i="17"/>
  <c r="W59" i="17"/>
  <c r="W119" i="17"/>
  <c r="W159" i="17"/>
  <c r="X117" i="17"/>
  <c r="X157" i="17"/>
  <c r="X151" i="17"/>
  <c r="W57" i="17"/>
  <c r="X57" i="17"/>
  <c r="T43" i="7"/>
  <c r="W41" i="1"/>
  <c r="T42" i="7"/>
  <c r="W42" i="1"/>
  <c r="T26" i="17"/>
  <c r="S44" i="7"/>
  <c r="X35" i="17"/>
  <c r="W35" i="17"/>
  <c r="U40" i="17"/>
  <c r="U138" i="17"/>
  <c r="V147" i="17"/>
  <c r="U42" i="17"/>
  <c r="U140" i="17"/>
  <c r="U39" i="17"/>
  <c r="U137" i="17"/>
  <c r="U43" i="17"/>
  <c r="U141" i="17"/>
  <c r="V150" i="17"/>
  <c r="U38" i="17"/>
  <c r="U41" i="17"/>
  <c r="U139" i="17"/>
  <c r="U43" i="7"/>
  <c r="X41" i="1"/>
  <c r="Y40" i="1"/>
  <c r="Y30" i="1"/>
  <c r="Y6" i="1"/>
  <c r="V25" i="17"/>
  <c r="V44" i="17"/>
  <c r="V142" i="17"/>
  <c r="X170" i="17"/>
  <c r="Y170" i="17"/>
  <c r="X167" i="17"/>
  <c r="Y167" i="17"/>
  <c r="X168" i="17"/>
  <c r="Y168" i="17"/>
  <c r="W46" i="17"/>
  <c r="W48" i="17"/>
  <c r="W122" i="17"/>
  <c r="W162" i="17"/>
  <c r="W151" i="17"/>
  <c r="X127" i="17"/>
  <c r="Y127" i="17"/>
  <c r="V149" i="17"/>
  <c r="X166" i="17"/>
  <c r="Y166" i="17"/>
  <c r="X129" i="17"/>
  <c r="Y129" i="17"/>
  <c r="X128" i="17"/>
  <c r="Y128" i="17"/>
  <c r="X126" i="17"/>
  <c r="Y126" i="17"/>
  <c r="X169" i="17"/>
  <c r="Y169" i="17"/>
  <c r="X46" i="17"/>
  <c r="X48" i="17"/>
  <c r="X122" i="17"/>
  <c r="X162" i="17"/>
  <c r="V148" i="17"/>
  <c r="X130" i="17"/>
  <c r="Y130" i="17"/>
  <c r="U44" i="17"/>
  <c r="U142" i="17"/>
  <c r="V34" i="17"/>
  <c r="V30" i="17"/>
  <c r="V29" i="17"/>
  <c r="V31" i="17"/>
  <c r="V32" i="17"/>
  <c r="V33" i="17"/>
  <c r="W40" i="1"/>
  <c r="W30" i="1"/>
  <c r="W6" i="1"/>
  <c r="T25" i="17"/>
  <c r="U25" i="17"/>
  <c r="X40" i="1"/>
  <c r="X30" i="1"/>
  <c r="X6" i="1"/>
  <c r="S42" i="7"/>
  <c r="V42" i="1"/>
  <c r="S26" i="17"/>
  <c r="R44" i="7"/>
  <c r="T43" i="17"/>
  <c r="T141" i="17"/>
  <c r="U150" i="17"/>
  <c r="T41" i="17"/>
  <c r="T139" i="17"/>
  <c r="T42" i="17"/>
  <c r="T140" i="17"/>
  <c r="T39" i="17"/>
  <c r="T137" i="17"/>
  <c r="T40" i="17"/>
  <c r="T138" i="17"/>
  <c r="T38" i="17"/>
  <c r="V60" i="17"/>
  <c r="V160" i="17"/>
  <c r="V120" i="17"/>
  <c r="V157" i="17"/>
  <c r="V117" i="17"/>
  <c r="U146" i="17"/>
  <c r="V58" i="17"/>
  <c r="V118" i="17"/>
  <c r="V158" i="17"/>
  <c r="X131" i="17"/>
  <c r="Y131" i="17"/>
  <c r="V151" i="17"/>
  <c r="V59" i="17"/>
  <c r="V159" i="17"/>
  <c r="V119" i="17"/>
  <c r="V47" i="17"/>
  <c r="V161" i="17"/>
  <c r="V121" i="17"/>
  <c r="X171" i="17"/>
  <c r="Y171" i="17"/>
  <c r="U147" i="17"/>
  <c r="U148" i="17"/>
  <c r="U149" i="17"/>
  <c r="V57" i="17"/>
  <c r="R43" i="7"/>
  <c r="U41" i="1"/>
  <c r="R42" i="7"/>
  <c r="U42" i="1"/>
  <c r="R26" i="17"/>
  <c r="Q44" i="7"/>
  <c r="T44" i="17"/>
  <c r="T142" i="17"/>
  <c r="S42" i="17"/>
  <c r="S140" i="17"/>
  <c r="S43" i="17"/>
  <c r="S141" i="17"/>
  <c r="T150" i="17"/>
  <c r="S41" i="17"/>
  <c r="S139" i="17"/>
  <c r="S39" i="17"/>
  <c r="S137" i="17"/>
  <c r="T146" i="17"/>
  <c r="S40" i="17"/>
  <c r="S138" i="17"/>
  <c r="S38" i="17"/>
  <c r="U30" i="17"/>
  <c r="U29" i="17"/>
  <c r="U34" i="17"/>
  <c r="U32" i="17"/>
  <c r="U33" i="17"/>
  <c r="U31" i="17"/>
  <c r="S43" i="7"/>
  <c r="V41" i="1"/>
  <c r="T34" i="17"/>
  <c r="T31" i="17"/>
  <c r="T32" i="17"/>
  <c r="T29" i="17"/>
  <c r="T30" i="17"/>
  <c r="T33" i="17"/>
  <c r="V35" i="17"/>
  <c r="U47" i="17"/>
  <c r="U161" i="17"/>
  <c r="U121" i="17"/>
  <c r="S149" i="17"/>
  <c r="W168" i="17"/>
  <c r="W167" i="17"/>
  <c r="T59" i="17"/>
  <c r="T159" i="17"/>
  <c r="T119" i="17"/>
  <c r="V170" i="17"/>
  <c r="W170" i="17"/>
  <c r="W127" i="17"/>
  <c r="V126" i="17"/>
  <c r="W126" i="17"/>
  <c r="T60" i="17"/>
  <c r="T160" i="17"/>
  <c r="T120" i="17"/>
  <c r="T58" i="17"/>
  <c r="T118" i="17"/>
  <c r="T158" i="17"/>
  <c r="U60" i="17"/>
  <c r="U120" i="17"/>
  <c r="V129" i="17"/>
  <c r="U160" i="17"/>
  <c r="U117" i="17"/>
  <c r="U157" i="17"/>
  <c r="U166" i="17"/>
  <c r="W166" i="17"/>
  <c r="T148" i="17"/>
  <c r="V130" i="17"/>
  <c r="W130" i="17"/>
  <c r="T149" i="17"/>
  <c r="V169" i="17"/>
  <c r="W169" i="17"/>
  <c r="V46" i="17"/>
  <c r="V48" i="17"/>
  <c r="V122" i="17"/>
  <c r="V162" i="17"/>
  <c r="U58" i="17"/>
  <c r="U118" i="17"/>
  <c r="U127" i="17"/>
  <c r="U158" i="17"/>
  <c r="U167" i="17"/>
  <c r="T157" i="17"/>
  <c r="T117" i="17"/>
  <c r="T47" i="17"/>
  <c r="T121" i="17"/>
  <c r="T161" i="17"/>
  <c r="U59" i="17"/>
  <c r="U119" i="17"/>
  <c r="U128" i="17"/>
  <c r="U159" i="17"/>
  <c r="U168" i="17"/>
  <c r="W128" i="17"/>
  <c r="T147" i="17"/>
  <c r="W129" i="17"/>
  <c r="U151" i="17"/>
  <c r="U57" i="17"/>
  <c r="T57" i="17"/>
  <c r="T35" i="17"/>
  <c r="V40" i="1"/>
  <c r="V30" i="1"/>
  <c r="V6" i="1"/>
  <c r="S25" i="17"/>
  <c r="R25" i="17"/>
  <c r="U40" i="1"/>
  <c r="U30" i="1"/>
  <c r="U6" i="1"/>
  <c r="U35" i="17"/>
  <c r="Q42" i="7"/>
  <c r="T42" i="1"/>
  <c r="Q26" i="17"/>
  <c r="P44" i="7"/>
  <c r="S44" i="17"/>
  <c r="S142" i="17"/>
  <c r="T151" i="17"/>
  <c r="R41" i="17"/>
  <c r="R139" i="17"/>
  <c r="R39" i="17"/>
  <c r="R137" i="17"/>
  <c r="R40" i="17"/>
  <c r="R138" i="17"/>
  <c r="R43" i="17"/>
  <c r="R141" i="17"/>
  <c r="R42" i="17"/>
  <c r="R140" i="17"/>
  <c r="R38" i="17"/>
  <c r="R150" i="17"/>
  <c r="U46" i="17"/>
  <c r="U48" i="17"/>
  <c r="U122" i="17"/>
  <c r="U162" i="17"/>
  <c r="V131" i="17"/>
  <c r="W131" i="17"/>
  <c r="V128" i="17"/>
  <c r="S150" i="17"/>
  <c r="V166" i="17"/>
  <c r="U169" i="17"/>
  <c r="V127" i="17"/>
  <c r="V167" i="17"/>
  <c r="U130" i="17"/>
  <c r="T162" i="17"/>
  <c r="T122" i="17"/>
  <c r="U126" i="17"/>
  <c r="R148" i="17"/>
  <c r="T46" i="17"/>
  <c r="T48" i="17"/>
  <c r="S146" i="17"/>
  <c r="V171" i="17"/>
  <c r="W171" i="17"/>
  <c r="S147" i="17"/>
  <c r="S148" i="17"/>
  <c r="U129" i="17"/>
  <c r="V168" i="17"/>
  <c r="U170" i="17"/>
  <c r="Q43" i="7"/>
  <c r="T41" i="1"/>
  <c r="S32" i="17"/>
  <c r="S29" i="17"/>
  <c r="S33" i="17"/>
  <c r="S30" i="17"/>
  <c r="S34" i="17"/>
  <c r="S31" i="17"/>
  <c r="T40" i="1"/>
  <c r="T30" i="1"/>
  <c r="T6" i="1"/>
  <c r="Q25" i="17"/>
  <c r="R44" i="17"/>
  <c r="R142" i="17"/>
  <c r="P42" i="7"/>
  <c r="S42" i="1"/>
  <c r="P26" i="17"/>
  <c r="O44" i="7"/>
  <c r="P43" i="7"/>
  <c r="S41" i="1"/>
  <c r="Q41" i="17"/>
  <c r="Q139" i="17"/>
  <c r="Q42" i="17"/>
  <c r="Q140" i="17"/>
  <c r="R149" i="17"/>
  <c r="Q43" i="17"/>
  <c r="Q141" i="17"/>
  <c r="Q39" i="17"/>
  <c r="Q137" i="17"/>
  <c r="Q40" i="17"/>
  <c r="Q138" i="17"/>
  <c r="R147" i="17"/>
  <c r="Q38" i="17"/>
  <c r="R33" i="17"/>
  <c r="R34" i="17"/>
  <c r="R30" i="17"/>
  <c r="R32" i="17"/>
  <c r="R31" i="17"/>
  <c r="R29" i="17"/>
  <c r="Q146" i="17"/>
  <c r="S157" i="17"/>
  <c r="T166" i="17"/>
  <c r="S117" i="17"/>
  <c r="U171" i="17"/>
  <c r="R59" i="17"/>
  <c r="R119" i="17"/>
  <c r="R159" i="17"/>
  <c r="S58" i="17"/>
  <c r="S118" i="17"/>
  <c r="S158" i="17"/>
  <c r="R146" i="17"/>
  <c r="U131" i="17"/>
  <c r="R47" i="17"/>
  <c r="R121" i="17"/>
  <c r="R161" i="17"/>
  <c r="R58" i="17"/>
  <c r="R158" i="17"/>
  <c r="R118" i="17"/>
  <c r="R60" i="17"/>
  <c r="R160" i="17"/>
  <c r="R120" i="17"/>
  <c r="S60" i="17"/>
  <c r="S120" i="17"/>
  <c r="S160" i="17"/>
  <c r="R117" i="17"/>
  <c r="R157" i="17"/>
  <c r="S47" i="17"/>
  <c r="S161" i="17"/>
  <c r="T170" i="17"/>
  <c r="S121" i="17"/>
  <c r="S59" i="17"/>
  <c r="S119" i="17"/>
  <c r="S159" i="17"/>
  <c r="S151" i="17"/>
  <c r="S57" i="17"/>
  <c r="R57" i="17"/>
  <c r="R35" i="17"/>
  <c r="P25" i="17"/>
  <c r="S40" i="1"/>
  <c r="S30" i="1"/>
  <c r="S6" i="1"/>
  <c r="O42" i="7"/>
  <c r="R42" i="1"/>
  <c r="O26" i="17"/>
  <c r="N44" i="7"/>
  <c r="Q44" i="17"/>
  <c r="Q142" i="17"/>
  <c r="R151" i="17"/>
  <c r="P42" i="17"/>
  <c r="P140" i="17"/>
  <c r="P39" i="17"/>
  <c r="P137" i="17"/>
  <c r="P40" i="17"/>
  <c r="P138" i="17"/>
  <c r="P41" i="17"/>
  <c r="P139" i="17"/>
  <c r="P43" i="17"/>
  <c r="P141" i="17"/>
  <c r="P38" i="17"/>
  <c r="S35" i="17"/>
  <c r="Q34" i="17"/>
  <c r="Q29" i="17"/>
  <c r="Q30" i="17"/>
  <c r="Q33" i="17"/>
  <c r="Q32" i="17"/>
  <c r="Q31" i="17"/>
  <c r="Q58" i="17"/>
  <c r="Q118" i="17"/>
  <c r="R127" i="17"/>
  <c r="Q158" i="17"/>
  <c r="P150" i="17"/>
  <c r="R167" i="17"/>
  <c r="S130" i="17"/>
  <c r="T130" i="17"/>
  <c r="Q148" i="17"/>
  <c r="S169" i="17"/>
  <c r="T169" i="17"/>
  <c r="S127" i="17"/>
  <c r="T127" i="17"/>
  <c r="Q150" i="17"/>
  <c r="Q60" i="17"/>
  <c r="Q120" i="17"/>
  <c r="Q160" i="17"/>
  <c r="R169" i="17"/>
  <c r="S46" i="17"/>
  <c r="S48" i="17"/>
  <c r="S162" i="17"/>
  <c r="T171" i="17"/>
  <c r="S122" i="17"/>
  <c r="R46" i="17"/>
  <c r="R48" i="17"/>
  <c r="R122" i="17"/>
  <c r="R162" i="17"/>
  <c r="S168" i="17"/>
  <c r="T168" i="17"/>
  <c r="Q147" i="17"/>
  <c r="S129" i="17"/>
  <c r="T129" i="17"/>
  <c r="S126" i="17"/>
  <c r="T126" i="17"/>
  <c r="P149" i="17"/>
  <c r="S167" i="17"/>
  <c r="T167" i="17"/>
  <c r="Q59" i="17"/>
  <c r="Q119" i="17"/>
  <c r="Q159" i="17"/>
  <c r="R168" i="17"/>
  <c r="Q47" i="17"/>
  <c r="Q161" i="17"/>
  <c r="Q121" i="17"/>
  <c r="Q117" i="17"/>
  <c r="R126" i="17"/>
  <c r="Q157" i="17"/>
  <c r="S128" i="17"/>
  <c r="T128" i="17"/>
  <c r="S166" i="17"/>
  <c r="S170" i="17"/>
  <c r="R170" i="17"/>
  <c r="Q149" i="17"/>
  <c r="Q57" i="17"/>
  <c r="P44" i="17"/>
  <c r="P142" i="17"/>
  <c r="Q151" i="17"/>
  <c r="O43" i="7"/>
  <c r="R41" i="1"/>
  <c r="R40" i="1"/>
  <c r="R30" i="1"/>
  <c r="R6" i="1"/>
  <c r="O25" i="17"/>
  <c r="Q35" i="17"/>
  <c r="O39" i="17"/>
  <c r="O137" i="17"/>
  <c r="O40" i="17"/>
  <c r="O138" i="17"/>
  <c r="O43" i="17"/>
  <c r="O141" i="17"/>
  <c r="O42" i="17"/>
  <c r="O140" i="17"/>
  <c r="O38" i="17"/>
  <c r="O41" i="17"/>
  <c r="O139" i="17"/>
  <c r="P148" i="17"/>
  <c r="N42" i="7"/>
  <c r="Q42" i="1"/>
  <c r="N26" i="17"/>
  <c r="M44" i="7"/>
  <c r="P29" i="17"/>
  <c r="P30" i="17"/>
  <c r="P32" i="17"/>
  <c r="P31" i="17"/>
  <c r="P33" i="17"/>
  <c r="P34" i="17"/>
  <c r="P60" i="17"/>
  <c r="P120" i="17"/>
  <c r="Q129" i="17"/>
  <c r="P160" i="17"/>
  <c r="S171" i="17"/>
  <c r="S131" i="17"/>
  <c r="T131" i="17"/>
  <c r="P58" i="17"/>
  <c r="P158" i="17"/>
  <c r="P118" i="17"/>
  <c r="Q127" i="17"/>
  <c r="P59" i="17"/>
  <c r="P119" i="17"/>
  <c r="P159" i="17"/>
  <c r="Q168" i="17"/>
  <c r="Q130" i="17"/>
  <c r="Q128" i="17"/>
  <c r="R130" i="17"/>
  <c r="Q46" i="17"/>
  <c r="Q48" i="17"/>
  <c r="Q162" i="17"/>
  <c r="R171" i="17"/>
  <c r="Q122" i="17"/>
  <c r="R131" i="17"/>
  <c r="P47" i="17"/>
  <c r="P121" i="17"/>
  <c r="P161" i="17"/>
  <c r="P157" i="17"/>
  <c r="P117" i="17"/>
  <c r="Q126" i="17"/>
  <c r="R166" i="17"/>
  <c r="P146" i="17"/>
  <c r="R129" i="17"/>
  <c r="P147" i="17"/>
  <c r="Q169" i="17"/>
  <c r="R128" i="17"/>
  <c r="P57" i="17"/>
  <c r="P35" i="17"/>
  <c r="N43" i="7"/>
  <c r="Q41" i="1"/>
  <c r="O44" i="17"/>
  <c r="O142" i="17"/>
  <c r="P151" i="17"/>
  <c r="O29" i="17"/>
  <c r="O33" i="17"/>
  <c r="O31" i="17"/>
  <c r="O32" i="17"/>
  <c r="O34" i="17"/>
  <c r="O30" i="17"/>
  <c r="N43" i="17"/>
  <c r="N141" i="17"/>
  <c r="O150" i="17"/>
  <c r="N40" i="17"/>
  <c r="N138" i="17"/>
  <c r="N39" i="17"/>
  <c r="N137" i="17"/>
  <c r="O146" i="17"/>
  <c r="N41" i="17"/>
  <c r="N139" i="17"/>
  <c r="O148" i="17"/>
  <c r="N42" i="17"/>
  <c r="N140" i="17"/>
  <c r="O149" i="17"/>
  <c r="N38" i="17"/>
  <c r="M42" i="7"/>
  <c r="P42" i="1"/>
  <c r="M26" i="17"/>
  <c r="L44" i="7"/>
  <c r="O47" i="17"/>
  <c r="O121" i="17"/>
  <c r="P130" i="17"/>
  <c r="O161" i="17"/>
  <c r="O59" i="17"/>
  <c r="O159" i="17"/>
  <c r="O119" i="17"/>
  <c r="P170" i="17"/>
  <c r="O58" i="17"/>
  <c r="O118" i="17"/>
  <c r="P127" i="17"/>
  <c r="O158" i="17"/>
  <c r="P167" i="17"/>
  <c r="Q170" i="17"/>
  <c r="O147" i="17"/>
  <c r="Q167" i="17"/>
  <c r="O157" i="17"/>
  <c r="P166" i="17"/>
  <c r="O117" i="17"/>
  <c r="P126" i="17"/>
  <c r="O60" i="17"/>
  <c r="O120" i="17"/>
  <c r="P129" i="17"/>
  <c r="O160" i="17"/>
  <c r="P169" i="17"/>
  <c r="P46" i="17"/>
  <c r="P48" i="17"/>
  <c r="P122" i="17"/>
  <c r="P162" i="17"/>
  <c r="Q166" i="17"/>
  <c r="P128" i="17"/>
  <c r="O57" i="17"/>
  <c r="O35" i="17"/>
  <c r="N44" i="17"/>
  <c r="N142" i="17"/>
  <c r="K44" i="7"/>
  <c r="L42" i="7"/>
  <c r="O42" i="1"/>
  <c r="L26" i="17"/>
  <c r="M41" i="17"/>
  <c r="M139" i="17"/>
  <c r="N148" i="17"/>
  <c r="M39" i="17"/>
  <c r="M137" i="17"/>
  <c r="N146" i="17"/>
  <c r="M40" i="17"/>
  <c r="M138" i="17"/>
  <c r="M38" i="17"/>
  <c r="M42" i="17"/>
  <c r="M140" i="17"/>
  <c r="M43" i="17"/>
  <c r="M141" i="17"/>
  <c r="N150" i="17"/>
  <c r="M43" i="7"/>
  <c r="P41" i="1"/>
  <c r="Q40" i="1"/>
  <c r="Q30" i="1"/>
  <c r="Q6" i="1"/>
  <c r="N25" i="17"/>
  <c r="O46" i="17"/>
  <c r="O48" i="17"/>
  <c r="O162" i="17"/>
  <c r="P171" i="17"/>
  <c r="O122" i="17"/>
  <c r="M147" i="17"/>
  <c r="Q171" i="17"/>
  <c r="P168" i="17"/>
  <c r="N149" i="17"/>
  <c r="P131" i="17"/>
  <c r="M150" i="17"/>
  <c r="O151" i="17"/>
  <c r="Q131" i="17"/>
  <c r="N147" i="17"/>
  <c r="M44" i="17"/>
  <c r="M142" i="17"/>
  <c r="L39" i="17"/>
  <c r="L137" i="17"/>
  <c r="L40" i="17"/>
  <c r="L138" i="17"/>
  <c r="L43" i="17"/>
  <c r="L141" i="17"/>
  <c r="L41" i="17"/>
  <c r="L139" i="17"/>
  <c r="L42" i="17"/>
  <c r="L140" i="17"/>
  <c r="M149" i="17"/>
  <c r="L38" i="17"/>
  <c r="P40" i="1"/>
  <c r="P30" i="1"/>
  <c r="P6" i="1"/>
  <c r="M25" i="17"/>
  <c r="K42" i="7"/>
  <c r="N42" i="1"/>
  <c r="K26" i="17"/>
  <c r="J44" i="7"/>
  <c r="L43" i="7"/>
  <c r="O41" i="1"/>
  <c r="N29" i="17"/>
  <c r="N33" i="17"/>
  <c r="N31" i="17"/>
  <c r="N30" i="17"/>
  <c r="N32" i="17"/>
  <c r="N34" i="17"/>
  <c r="N117" i="17"/>
  <c r="N157" i="17"/>
  <c r="N58" i="17"/>
  <c r="N158" i="17"/>
  <c r="N118" i="17"/>
  <c r="N151" i="17"/>
  <c r="N59" i="17"/>
  <c r="N119" i="17"/>
  <c r="N159" i="17"/>
  <c r="N47" i="17"/>
  <c r="N121" i="17"/>
  <c r="N161" i="17"/>
  <c r="N60" i="17"/>
  <c r="N120" i="17"/>
  <c r="N160" i="17"/>
  <c r="M146" i="17"/>
  <c r="M148" i="17"/>
  <c r="L44" i="17"/>
  <c r="L142" i="17"/>
  <c r="M151" i="17"/>
  <c r="N57" i="17"/>
  <c r="K43" i="7"/>
  <c r="N41" i="1"/>
  <c r="O40" i="1"/>
  <c r="O30" i="1"/>
  <c r="O6" i="1"/>
  <c r="L25" i="17"/>
  <c r="M32" i="17"/>
  <c r="M30" i="17"/>
  <c r="M29" i="17"/>
  <c r="M34" i="17"/>
  <c r="M33" i="17"/>
  <c r="M31" i="17"/>
  <c r="N35" i="17"/>
  <c r="J42" i="7"/>
  <c r="M42" i="1"/>
  <c r="J26" i="17"/>
  <c r="I44" i="7"/>
  <c r="N46" i="17"/>
  <c r="N48" i="17"/>
  <c r="N122" i="17"/>
  <c r="N162" i="17"/>
  <c r="N130" i="17"/>
  <c r="O130" i="17"/>
  <c r="O128" i="17"/>
  <c r="M58" i="17"/>
  <c r="M158" i="17"/>
  <c r="M118" i="17"/>
  <c r="N127" i="17"/>
  <c r="M157" i="17"/>
  <c r="N166" i="17"/>
  <c r="M117" i="17"/>
  <c r="N129" i="17"/>
  <c r="O129" i="17"/>
  <c r="O127" i="17"/>
  <c r="M60" i="17"/>
  <c r="M160" i="17"/>
  <c r="N169" i="17"/>
  <c r="M120" i="17"/>
  <c r="M59" i="17"/>
  <c r="M159" i="17"/>
  <c r="N168" i="17"/>
  <c r="M119" i="17"/>
  <c r="O167" i="17"/>
  <c r="O166" i="17"/>
  <c r="O169" i="17"/>
  <c r="M47" i="17"/>
  <c r="M121" i="17"/>
  <c r="M161" i="17"/>
  <c r="N170" i="17"/>
  <c r="O170" i="17"/>
  <c r="O168" i="17"/>
  <c r="N126" i="17"/>
  <c r="O126" i="17"/>
  <c r="M57" i="17"/>
  <c r="J43" i="7"/>
  <c r="M41" i="1"/>
  <c r="M40" i="1"/>
  <c r="M30" i="1"/>
  <c r="M6" i="1"/>
  <c r="J25" i="17"/>
  <c r="M35" i="17"/>
  <c r="H44" i="7"/>
  <c r="I42" i="7"/>
  <c r="L42" i="1"/>
  <c r="I26" i="17"/>
  <c r="L34" i="17"/>
  <c r="L31" i="17"/>
  <c r="L32" i="17"/>
  <c r="L30" i="17"/>
  <c r="L29" i="17"/>
  <c r="L33" i="17"/>
  <c r="N40" i="1"/>
  <c r="N30" i="1"/>
  <c r="N6" i="1"/>
  <c r="K25" i="17"/>
  <c r="L157" i="17"/>
  <c r="L117" i="17"/>
  <c r="M126" i="17"/>
  <c r="N167" i="17"/>
  <c r="L59" i="17"/>
  <c r="L119" i="17"/>
  <c r="L159" i="17"/>
  <c r="M166" i="17"/>
  <c r="O171" i="17"/>
  <c r="L47" i="17"/>
  <c r="L121" i="17"/>
  <c r="L161" i="17"/>
  <c r="M170" i="17"/>
  <c r="M168" i="17"/>
  <c r="L60" i="17"/>
  <c r="L120" i="17"/>
  <c r="L160" i="17"/>
  <c r="L58" i="17"/>
  <c r="L158" i="17"/>
  <c r="M167" i="17"/>
  <c r="L118" i="17"/>
  <c r="M127" i="17"/>
  <c r="M46" i="17"/>
  <c r="M48" i="17"/>
  <c r="M122" i="17"/>
  <c r="M162" i="17"/>
  <c r="N171" i="17"/>
  <c r="M130" i="17"/>
  <c r="M128" i="17"/>
  <c r="M169" i="17"/>
  <c r="N128" i="17"/>
  <c r="O131" i="17"/>
  <c r="L35" i="17"/>
  <c r="L57" i="17"/>
  <c r="H42" i="7"/>
  <c r="K42" i="1"/>
  <c r="H26" i="17"/>
  <c r="G44" i="7"/>
  <c r="I43" i="7"/>
  <c r="L41" i="1"/>
  <c r="N131" i="17"/>
  <c r="L46" i="17"/>
  <c r="L48" i="17"/>
  <c r="L122" i="17"/>
  <c r="L162" i="17"/>
  <c r="M171" i="17"/>
  <c r="M129" i="17"/>
  <c r="H43" i="7"/>
  <c r="K41" i="1"/>
  <c r="H25" i="17"/>
  <c r="L40" i="1"/>
  <c r="L30" i="1"/>
  <c r="L6" i="1"/>
  <c r="I25" i="17"/>
  <c r="K40" i="1"/>
  <c r="K30" i="1"/>
  <c r="K6" i="1"/>
  <c r="G42" i="7"/>
  <c r="J42" i="1"/>
  <c r="G26" i="17"/>
  <c r="F44" i="7"/>
  <c r="M131" i="17"/>
  <c r="G43" i="7"/>
  <c r="J41" i="1"/>
  <c r="F42" i="7"/>
  <c r="I42" i="1"/>
  <c r="F26" i="17"/>
  <c r="F43" i="7"/>
  <c r="I41" i="1"/>
  <c r="E44" i="7"/>
  <c r="F25" i="17"/>
  <c r="I40" i="1"/>
  <c r="I30" i="1"/>
  <c r="I6" i="1"/>
  <c r="F39" i="17"/>
  <c r="F137" i="17"/>
  <c r="F42" i="17"/>
  <c r="F140" i="17"/>
  <c r="F43" i="17"/>
  <c r="F141" i="17"/>
  <c r="F40" i="17"/>
  <c r="F138" i="17"/>
  <c r="F41" i="17"/>
  <c r="F139" i="17"/>
  <c r="F38" i="17"/>
  <c r="E42" i="7"/>
  <c r="H42" i="1"/>
  <c r="E26" i="17"/>
  <c r="D44" i="7"/>
  <c r="G25" i="17"/>
  <c r="J40" i="1"/>
  <c r="J30" i="1"/>
  <c r="J6" i="1"/>
  <c r="F44" i="17"/>
  <c r="F142" i="17"/>
  <c r="F30" i="17"/>
  <c r="F34" i="17"/>
  <c r="F31" i="17"/>
  <c r="F33" i="17"/>
  <c r="F29" i="17"/>
  <c r="F32" i="17"/>
  <c r="E43" i="7"/>
  <c r="H41" i="1"/>
  <c r="E43" i="17"/>
  <c r="E141" i="17"/>
  <c r="F150" i="17"/>
  <c r="E41" i="17"/>
  <c r="E139" i="17"/>
  <c r="E42" i="17"/>
  <c r="E140" i="17"/>
  <c r="E40" i="17"/>
  <c r="E138" i="17"/>
  <c r="E39" i="17"/>
  <c r="E137" i="17"/>
  <c r="F146" i="17"/>
  <c r="E38" i="17"/>
  <c r="D42" i="7"/>
  <c r="G42" i="1"/>
  <c r="D26" i="17"/>
  <c r="C44" i="7"/>
  <c r="F58" i="17"/>
  <c r="F118" i="17"/>
  <c r="F158" i="17"/>
  <c r="E149" i="17"/>
  <c r="F59" i="17"/>
  <c r="F159" i="17"/>
  <c r="F119" i="17"/>
  <c r="F47" i="17"/>
  <c r="F161" i="17"/>
  <c r="F121" i="17"/>
  <c r="F149" i="17"/>
  <c r="F157" i="17"/>
  <c r="F117" i="17"/>
  <c r="F147" i="17"/>
  <c r="F60" i="17"/>
  <c r="F160" i="17"/>
  <c r="F120" i="17"/>
  <c r="F148" i="17"/>
  <c r="F57" i="17"/>
  <c r="D43" i="7"/>
  <c r="G41" i="1"/>
  <c r="C42" i="7"/>
  <c r="F42" i="1"/>
  <c r="C26" i="17"/>
  <c r="B44" i="7"/>
  <c r="D41" i="17"/>
  <c r="D139" i="17"/>
  <c r="D43" i="17"/>
  <c r="D141" i="17"/>
  <c r="D40" i="17"/>
  <c r="D138" i="17"/>
  <c r="E147" i="17"/>
  <c r="D42" i="17"/>
  <c r="D140" i="17"/>
  <c r="D39" i="17"/>
  <c r="D137" i="17"/>
  <c r="E146" i="17"/>
  <c r="D38" i="17"/>
  <c r="E44" i="17"/>
  <c r="E142" i="17"/>
  <c r="H40" i="1"/>
  <c r="H30" i="1"/>
  <c r="H6" i="1"/>
  <c r="E25" i="17"/>
  <c r="D25" i="17"/>
  <c r="G40" i="1"/>
  <c r="G30" i="1"/>
  <c r="G6" i="1"/>
  <c r="F35" i="17"/>
  <c r="E148" i="17"/>
  <c r="F46" i="17"/>
  <c r="F48" i="17"/>
  <c r="F122" i="17"/>
  <c r="F162" i="17"/>
  <c r="D147" i="17"/>
  <c r="F151" i="17"/>
  <c r="E150" i="17"/>
  <c r="D44" i="17"/>
  <c r="D142" i="17"/>
  <c r="E151" i="17"/>
  <c r="C43" i="7"/>
  <c r="F41" i="1"/>
  <c r="D30" i="17"/>
  <c r="D32" i="17"/>
  <c r="D33" i="17"/>
  <c r="D31" i="17"/>
  <c r="D29" i="17"/>
  <c r="D34" i="17"/>
  <c r="F40" i="1"/>
  <c r="F30" i="1"/>
  <c r="F6" i="1"/>
  <c r="C25" i="17"/>
  <c r="B42" i="7"/>
  <c r="E42" i="1"/>
  <c r="B26" i="17"/>
  <c r="E33" i="17"/>
  <c r="E34" i="17"/>
  <c r="E32" i="17"/>
  <c r="E31" i="17"/>
  <c r="E29" i="17"/>
  <c r="E30" i="17"/>
  <c r="C41" i="17"/>
  <c r="C139" i="17"/>
  <c r="D148" i="17"/>
  <c r="C39" i="17"/>
  <c r="C137" i="17"/>
  <c r="D146" i="17"/>
  <c r="C40" i="17"/>
  <c r="C138" i="17"/>
  <c r="C42" i="17"/>
  <c r="C140" i="17"/>
  <c r="C43" i="17"/>
  <c r="C141" i="17"/>
  <c r="C38" i="17"/>
  <c r="D150" i="17"/>
  <c r="E157" i="17"/>
  <c r="E117" i="17"/>
  <c r="E47" i="17"/>
  <c r="E161" i="17"/>
  <c r="E121" i="17"/>
  <c r="D60" i="17"/>
  <c r="D160" i="17"/>
  <c r="D120" i="17"/>
  <c r="C147" i="17"/>
  <c r="E60" i="17"/>
  <c r="E120" i="17"/>
  <c r="E160" i="17"/>
  <c r="D47" i="17"/>
  <c r="D121" i="17"/>
  <c r="D161" i="17"/>
  <c r="D59" i="17"/>
  <c r="D119" i="17"/>
  <c r="D159" i="17"/>
  <c r="E59" i="17"/>
  <c r="E119" i="17"/>
  <c r="E159" i="17"/>
  <c r="D58" i="17"/>
  <c r="D118" i="17"/>
  <c r="D158" i="17"/>
  <c r="E58" i="17"/>
  <c r="E118" i="17"/>
  <c r="E158" i="17"/>
  <c r="D117" i="17"/>
  <c r="D157" i="17"/>
  <c r="D149" i="17"/>
  <c r="E57" i="17"/>
  <c r="D57" i="17"/>
  <c r="B43" i="17"/>
  <c r="B141" i="17"/>
  <c r="C150" i="17"/>
  <c r="B42" i="17"/>
  <c r="B140" i="17"/>
  <c r="C149" i="17"/>
  <c r="B41" i="17"/>
  <c r="B139" i="17"/>
  <c r="C148" i="17"/>
  <c r="B40" i="17"/>
  <c r="B138" i="17"/>
  <c r="B39" i="17"/>
  <c r="B137" i="17"/>
  <c r="C146" i="17"/>
  <c r="B38" i="17"/>
  <c r="B43" i="7"/>
  <c r="E41" i="1"/>
  <c r="D35" i="17"/>
  <c r="C44" i="17"/>
  <c r="C142" i="17"/>
  <c r="D151" i="17"/>
  <c r="E35" i="17"/>
  <c r="C31" i="17"/>
  <c r="C33" i="17"/>
  <c r="C34" i="17"/>
  <c r="C32" i="17"/>
  <c r="C29" i="17"/>
  <c r="C30" i="17"/>
  <c r="C47" i="17"/>
  <c r="C161" i="17"/>
  <c r="D170" i="17"/>
  <c r="C121" i="17"/>
  <c r="E128" i="17"/>
  <c r="F128" i="17"/>
  <c r="E126" i="17"/>
  <c r="F126" i="17"/>
  <c r="C157" i="17"/>
  <c r="C117" i="17"/>
  <c r="E169" i="17"/>
  <c r="F169" i="17"/>
  <c r="E130" i="17"/>
  <c r="F130" i="17"/>
  <c r="E166" i="17"/>
  <c r="F166" i="17"/>
  <c r="C58" i="17"/>
  <c r="C118" i="17"/>
  <c r="C158" i="17"/>
  <c r="E167" i="17"/>
  <c r="F167" i="17"/>
  <c r="E129" i="17"/>
  <c r="F129" i="17"/>
  <c r="E170" i="17"/>
  <c r="F170" i="17"/>
  <c r="C151" i="17"/>
  <c r="C60" i="17"/>
  <c r="C120" i="17"/>
  <c r="C160" i="17"/>
  <c r="D46" i="17"/>
  <c r="D48" i="17"/>
  <c r="D162" i="17"/>
  <c r="D122" i="17"/>
  <c r="D126" i="17"/>
  <c r="C59" i="17"/>
  <c r="C119" i="17"/>
  <c r="C159" i="17"/>
  <c r="E46" i="17"/>
  <c r="E48" i="17"/>
  <c r="E162" i="17"/>
  <c r="E122" i="17"/>
  <c r="E127" i="17"/>
  <c r="F127" i="17"/>
  <c r="E168" i="17"/>
  <c r="F168" i="17"/>
  <c r="D168" i="17"/>
  <c r="D130" i="17"/>
  <c r="D169" i="17"/>
  <c r="C57" i="17"/>
  <c r="C35" i="17"/>
  <c r="E40" i="1"/>
  <c r="E30" i="1"/>
  <c r="E6" i="1"/>
  <c r="B25" i="17"/>
  <c r="B44" i="17"/>
  <c r="B142" i="17"/>
  <c r="D167" i="17"/>
  <c r="E171" i="17"/>
  <c r="F171" i="17"/>
  <c r="D128" i="17"/>
  <c r="D127" i="17"/>
  <c r="C46" i="17"/>
  <c r="C48" i="17"/>
  <c r="C122" i="17"/>
  <c r="C162" i="17"/>
  <c r="D171" i="17"/>
  <c r="E131" i="17"/>
  <c r="F131" i="17"/>
  <c r="D166" i="17"/>
  <c r="D129" i="17"/>
  <c r="B30" i="17"/>
  <c r="B32" i="17"/>
  <c r="B34" i="17"/>
  <c r="B33" i="17"/>
  <c r="B31" i="17"/>
  <c r="B29" i="17"/>
  <c r="B59" i="17"/>
  <c r="B159" i="17"/>
  <c r="C168" i="17"/>
  <c r="B119" i="17"/>
  <c r="C128" i="17"/>
  <c r="B58" i="17"/>
  <c r="B118" i="17"/>
  <c r="C127" i="17"/>
  <c r="B158" i="17"/>
  <c r="C167" i="17"/>
  <c r="B60" i="17"/>
  <c r="B160" i="17"/>
  <c r="C169" i="17"/>
  <c r="B120" i="17"/>
  <c r="C129" i="17"/>
  <c r="D131" i="17"/>
  <c r="B157" i="17"/>
  <c r="C166" i="17"/>
  <c r="B117" i="17"/>
  <c r="C126" i="17"/>
  <c r="B47" i="17"/>
  <c r="B161" i="17"/>
  <c r="C170" i="17"/>
  <c r="B121" i="17"/>
  <c r="C130" i="17"/>
  <c r="B57" i="17"/>
  <c r="B35" i="17"/>
  <c r="G3" i="16"/>
  <c r="G60" i="16"/>
  <c r="G82" i="17"/>
  <c r="J3" i="16"/>
  <c r="J60" i="16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K3" i="16"/>
  <c r="K60" i="16"/>
  <c r="K82" i="17"/>
  <c r="H3" i="16"/>
  <c r="I3" i="16"/>
  <c r="I60" i="16"/>
  <c r="B46" i="17"/>
  <c r="B48" i="17"/>
  <c r="B162" i="17"/>
  <c r="C171" i="17"/>
  <c r="B122" i="17"/>
  <c r="C131" i="17"/>
  <c r="I82" i="17"/>
  <c r="H82" i="17"/>
  <c r="H60" i="16"/>
  <c r="K103" i="17"/>
  <c r="K87" i="17"/>
  <c r="G103" i="17"/>
  <c r="G87" i="17"/>
  <c r="G92" i="17"/>
  <c r="J82" i="17"/>
  <c r="K108" i="17"/>
  <c r="G108" i="17"/>
  <c r="I103" i="17"/>
  <c r="I87" i="17"/>
  <c r="G39" i="17"/>
  <c r="G137" i="17"/>
  <c r="G146" i="17"/>
  <c r="G30" i="17"/>
  <c r="G117" i="17"/>
  <c r="G126" i="17"/>
  <c r="G96" i="17"/>
  <c r="G94" i="17"/>
  <c r="G95" i="17"/>
  <c r="G91" i="17"/>
  <c r="G93" i="17"/>
  <c r="K95" i="17"/>
  <c r="K93" i="17"/>
  <c r="K96" i="17"/>
  <c r="K94" i="17"/>
  <c r="K91" i="17"/>
  <c r="H103" i="17"/>
  <c r="H87" i="17"/>
  <c r="H92" i="17"/>
  <c r="J103" i="17"/>
  <c r="J87" i="17"/>
  <c r="K92" i="17"/>
  <c r="G157" i="17"/>
  <c r="G166" i="17"/>
  <c r="J108" i="17"/>
  <c r="I108" i="17"/>
  <c r="H108" i="17"/>
  <c r="I94" i="17"/>
  <c r="I95" i="17"/>
  <c r="I91" i="17"/>
  <c r="I96" i="17"/>
  <c r="I93" i="17"/>
  <c r="I92" i="17"/>
  <c r="H39" i="17"/>
  <c r="H137" i="17"/>
  <c r="H146" i="17"/>
  <c r="H30" i="17"/>
  <c r="H117" i="17"/>
  <c r="H126" i="17"/>
  <c r="J95" i="17"/>
  <c r="J96" i="17"/>
  <c r="J93" i="17"/>
  <c r="J94" i="17"/>
  <c r="J91" i="17"/>
  <c r="K34" i="17"/>
  <c r="K43" i="17"/>
  <c r="K141" i="17"/>
  <c r="G41" i="17"/>
  <c r="G139" i="17"/>
  <c r="G148" i="17"/>
  <c r="G32" i="17"/>
  <c r="J92" i="17"/>
  <c r="K40" i="17"/>
  <c r="K138" i="17"/>
  <c r="K31" i="17"/>
  <c r="G40" i="17"/>
  <c r="G138" i="17"/>
  <c r="G147" i="17"/>
  <c r="G31" i="17"/>
  <c r="G34" i="17"/>
  <c r="G43" i="17"/>
  <c r="G141" i="17"/>
  <c r="G150" i="17"/>
  <c r="K41" i="17"/>
  <c r="K139" i="17"/>
  <c r="K32" i="17"/>
  <c r="G33" i="17"/>
  <c r="G42" i="17"/>
  <c r="G140" i="17"/>
  <c r="G149" i="17"/>
  <c r="H96" i="17"/>
  <c r="H91" i="17"/>
  <c r="H95" i="17"/>
  <c r="H94" i="17"/>
  <c r="H93" i="17"/>
  <c r="K39" i="17"/>
  <c r="K137" i="17"/>
  <c r="K30" i="17"/>
  <c r="K97" i="17"/>
  <c r="K38" i="17"/>
  <c r="K29" i="17"/>
  <c r="K33" i="17"/>
  <c r="K42" i="17"/>
  <c r="K140" i="17"/>
  <c r="G97" i="17"/>
  <c r="G38" i="17"/>
  <c r="G29" i="17"/>
  <c r="G57" i="17"/>
  <c r="K160" i="17"/>
  <c r="K120" i="17"/>
  <c r="G161" i="17"/>
  <c r="G170" i="17"/>
  <c r="G121" i="17"/>
  <c r="G130" i="17"/>
  <c r="K150" i="17"/>
  <c r="L150" i="17"/>
  <c r="L146" i="17"/>
  <c r="G158" i="17"/>
  <c r="G167" i="17"/>
  <c r="G118" i="17"/>
  <c r="G127" i="17"/>
  <c r="K121" i="17"/>
  <c r="K161" i="17"/>
  <c r="L170" i="17"/>
  <c r="H157" i="17"/>
  <c r="H166" i="17"/>
  <c r="L148" i="17"/>
  <c r="G119" i="17"/>
  <c r="G128" i="17"/>
  <c r="G159" i="17"/>
  <c r="G168" i="17"/>
  <c r="K117" i="17"/>
  <c r="K157" i="17"/>
  <c r="L166" i="17"/>
  <c r="G160" i="17"/>
  <c r="G169" i="17"/>
  <c r="G120" i="17"/>
  <c r="G129" i="17"/>
  <c r="L147" i="17"/>
  <c r="K159" i="17"/>
  <c r="K119" i="17"/>
  <c r="L149" i="17"/>
  <c r="K158" i="17"/>
  <c r="K118" i="17"/>
  <c r="G44" i="17"/>
  <c r="G142" i="17"/>
  <c r="G151" i="17"/>
  <c r="G59" i="17"/>
  <c r="K59" i="17"/>
  <c r="G58" i="17"/>
  <c r="I43" i="17"/>
  <c r="I141" i="17"/>
  <c r="I34" i="17"/>
  <c r="K47" i="17"/>
  <c r="I38" i="17"/>
  <c r="I29" i="17"/>
  <c r="I97" i="17"/>
  <c r="K35" i="17"/>
  <c r="I30" i="17"/>
  <c r="I39" i="17"/>
  <c r="I137" i="17"/>
  <c r="I146" i="17"/>
  <c r="I42" i="17"/>
  <c r="I140" i="17"/>
  <c r="I149" i="17"/>
  <c r="I33" i="17"/>
  <c r="K58" i="17"/>
  <c r="I31" i="17"/>
  <c r="I40" i="17"/>
  <c r="I138" i="17"/>
  <c r="I41" i="17"/>
  <c r="I139" i="17"/>
  <c r="I32" i="17"/>
  <c r="H97" i="17"/>
  <c r="H38" i="17"/>
  <c r="H29" i="17"/>
  <c r="J43" i="17"/>
  <c r="J141" i="17"/>
  <c r="J34" i="17"/>
  <c r="K44" i="17"/>
  <c r="K142" i="17"/>
  <c r="H43" i="17"/>
  <c r="H141" i="17"/>
  <c r="H150" i="17"/>
  <c r="H34" i="17"/>
  <c r="J97" i="17"/>
  <c r="J29" i="17"/>
  <c r="J38" i="17"/>
  <c r="H41" i="17"/>
  <c r="H139" i="17"/>
  <c r="H148" i="17"/>
  <c r="H32" i="17"/>
  <c r="J41" i="17"/>
  <c r="J139" i="17"/>
  <c r="K148" i="17"/>
  <c r="J32" i="17"/>
  <c r="J39" i="17"/>
  <c r="J137" i="17"/>
  <c r="J30" i="17"/>
  <c r="H40" i="17"/>
  <c r="H138" i="17"/>
  <c r="H147" i="17"/>
  <c r="H31" i="17"/>
  <c r="J33" i="17"/>
  <c r="J42" i="17"/>
  <c r="J140" i="17"/>
  <c r="K149" i="17"/>
  <c r="G35" i="17"/>
  <c r="K60" i="17"/>
  <c r="K57" i="17"/>
  <c r="H42" i="17"/>
  <c r="H140" i="17"/>
  <c r="H149" i="17"/>
  <c r="H33" i="17"/>
  <c r="G60" i="17"/>
  <c r="G47" i="17"/>
  <c r="J40" i="17"/>
  <c r="J138" i="17"/>
  <c r="K147" i="17"/>
  <c r="J31" i="17"/>
  <c r="H57" i="17"/>
  <c r="J146" i="17"/>
  <c r="J150" i="17"/>
  <c r="I148" i="17"/>
  <c r="J159" i="17"/>
  <c r="J119" i="17"/>
  <c r="K128" i="17"/>
  <c r="K162" i="17"/>
  <c r="L171" i="17"/>
  <c r="K122" i="17"/>
  <c r="L126" i="17"/>
  <c r="L169" i="17"/>
  <c r="J118" i="17"/>
  <c r="J158" i="17"/>
  <c r="G46" i="17"/>
  <c r="G48" i="17"/>
  <c r="G122" i="17"/>
  <c r="G131" i="17"/>
  <c r="G162" i="17"/>
  <c r="G171" i="17"/>
  <c r="J148" i="17"/>
  <c r="I121" i="17"/>
  <c r="I161" i="17"/>
  <c r="I170" i="17"/>
  <c r="J147" i="17"/>
  <c r="J149" i="17"/>
  <c r="J157" i="17"/>
  <c r="J117" i="17"/>
  <c r="J126" i="17"/>
  <c r="H159" i="17"/>
  <c r="H168" i="17"/>
  <c r="H119" i="17"/>
  <c r="H128" i="17"/>
  <c r="J161" i="17"/>
  <c r="J121" i="17"/>
  <c r="J130" i="17"/>
  <c r="I158" i="17"/>
  <c r="I118" i="17"/>
  <c r="I150" i="17"/>
  <c r="L127" i="17"/>
  <c r="L128" i="17"/>
  <c r="L130" i="17"/>
  <c r="K146" i="17"/>
  <c r="H118" i="17"/>
  <c r="H127" i="17"/>
  <c r="H158" i="17"/>
  <c r="H167" i="17"/>
  <c r="I160" i="17"/>
  <c r="I169" i="17"/>
  <c r="I120" i="17"/>
  <c r="H160" i="17"/>
  <c r="H169" i="17"/>
  <c r="H120" i="17"/>
  <c r="H129" i="17"/>
  <c r="K151" i="17"/>
  <c r="L151" i="17"/>
  <c r="I147" i="17"/>
  <c r="J120" i="17"/>
  <c r="J129" i="17"/>
  <c r="J160" i="17"/>
  <c r="J169" i="17"/>
  <c r="H161" i="17"/>
  <c r="H170" i="17"/>
  <c r="H121" i="17"/>
  <c r="H130" i="17"/>
  <c r="I159" i="17"/>
  <c r="I119" i="17"/>
  <c r="I128" i="17"/>
  <c r="I117" i="17"/>
  <c r="I126" i="17"/>
  <c r="I157" i="17"/>
  <c r="I166" i="17"/>
  <c r="K167" i="17"/>
  <c r="L167" i="17"/>
  <c r="L168" i="17"/>
  <c r="L129" i="17"/>
  <c r="I47" i="17"/>
  <c r="H58" i="17"/>
  <c r="H47" i="17"/>
  <c r="I59" i="17"/>
  <c r="I44" i="17"/>
  <c r="I142" i="17"/>
  <c r="I57" i="17"/>
  <c r="I60" i="17"/>
  <c r="K46" i="17"/>
  <c r="K48" i="17"/>
  <c r="J60" i="17"/>
  <c r="H59" i="17"/>
  <c r="J47" i="17"/>
  <c r="I58" i="17"/>
  <c r="I35" i="17"/>
  <c r="J58" i="17"/>
  <c r="H60" i="17"/>
  <c r="J59" i="17"/>
  <c r="J44" i="17"/>
  <c r="J142" i="17"/>
  <c r="H35" i="17"/>
  <c r="J57" i="17"/>
  <c r="J35" i="17"/>
  <c r="H44" i="17"/>
  <c r="H142" i="17"/>
  <c r="H151" i="17"/>
  <c r="AE81" i="17"/>
  <c r="K130" i="17"/>
  <c r="K129" i="17"/>
  <c r="I127" i="17"/>
  <c r="K126" i="17"/>
  <c r="J168" i="17"/>
  <c r="J151" i="17"/>
  <c r="I167" i="17"/>
  <c r="J127" i="17"/>
  <c r="H122" i="17"/>
  <c r="H131" i="17"/>
  <c r="H162" i="17"/>
  <c r="H171" i="17"/>
  <c r="I168" i="17"/>
  <c r="K127" i="17"/>
  <c r="K170" i="17"/>
  <c r="J170" i="17"/>
  <c r="K166" i="17"/>
  <c r="J166" i="17"/>
  <c r="I130" i="17"/>
  <c r="K169" i="17"/>
  <c r="L131" i="17"/>
  <c r="J122" i="17"/>
  <c r="J131" i="17"/>
  <c r="J162" i="17"/>
  <c r="I162" i="17"/>
  <c r="I171" i="17"/>
  <c r="I122" i="17"/>
  <c r="I151" i="17"/>
  <c r="K168" i="17"/>
  <c r="I129" i="17"/>
  <c r="J167" i="17"/>
  <c r="J128" i="17"/>
  <c r="I46" i="17"/>
  <c r="I48" i="17"/>
  <c r="H46" i="17"/>
  <c r="H48" i="17"/>
  <c r="J46" i="17"/>
  <c r="J48" i="17"/>
  <c r="AE87" i="17"/>
  <c r="AE91" i="17"/>
  <c r="AE102" i="17"/>
  <c r="I131" i="17"/>
  <c r="K131" i="17"/>
  <c r="AE108" i="17"/>
  <c r="K171" i="17"/>
  <c r="J171" i="17"/>
  <c r="AE94" i="17"/>
  <c r="AE95" i="17"/>
  <c r="AE96" i="17"/>
  <c r="AE93" i="17"/>
  <c r="AE92" i="17"/>
  <c r="AE97" i="17"/>
  <c r="AE40" i="17"/>
  <c r="AE138" i="17"/>
  <c r="AE147" i="17"/>
  <c r="AE31" i="17"/>
  <c r="AE43" i="17"/>
  <c r="AE141" i="17"/>
  <c r="AE150" i="17"/>
  <c r="AE34" i="17"/>
  <c r="AE42" i="17"/>
  <c r="AE140" i="17"/>
  <c r="AE149" i="17"/>
  <c r="AE33" i="17"/>
  <c r="AE39" i="17"/>
  <c r="AE137" i="17"/>
  <c r="AE146" i="17"/>
  <c r="AE30" i="17"/>
  <c r="AE41" i="17"/>
  <c r="AE139" i="17"/>
  <c r="AE148" i="17"/>
  <c r="AE32" i="17"/>
  <c r="AE157" i="17"/>
  <c r="AE166" i="17"/>
  <c r="AE117" i="17"/>
  <c r="AE126" i="17"/>
  <c r="AE121" i="17"/>
  <c r="AE130" i="17"/>
  <c r="AE161" i="17"/>
  <c r="AE170" i="17"/>
  <c r="AE159" i="17"/>
  <c r="AE168" i="17"/>
  <c r="AE119" i="17"/>
  <c r="AE128" i="17"/>
  <c r="AE120" i="17"/>
  <c r="AE129" i="17"/>
  <c r="AE160" i="17"/>
  <c r="AE169" i="17"/>
  <c r="AE118" i="17"/>
  <c r="AE127" i="17"/>
  <c r="AE158" i="17"/>
  <c r="AE167" i="17"/>
  <c r="AE57" i="17"/>
  <c r="AE47" i="17"/>
  <c r="AE59" i="17"/>
  <c r="AE60" i="17"/>
  <c r="AE58" i="17"/>
  <c r="AF81" i="17"/>
  <c r="AF87" i="17"/>
  <c r="AJ81" i="17"/>
  <c r="AH81" i="17"/>
  <c r="AH87" i="17"/>
  <c r="AI81" i="17"/>
  <c r="AK81" i="17"/>
  <c r="AK102" i="17"/>
  <c r="AL81" i="17"/>
  <c r="AL15" i="7"/>
  <c r="AK15" i="7"/>
  <c r="AG81" i="17"/>
  <c r="AG87" i="17"/>
  <c r="AG93" i="17"/>
  <c r="AK108" i="17"/>
  <c r="AG40" i="17"/>
  <c r="AG138" i="17"/>
  <c r="AG31" i="17"/>
  <c r="AG91" i="17"/>
  <c r="AG102" i="17"/>
  <c r="AG94" i="17"/>
  <c r="AK87" i="17"/>
  <c r="AK92" i="17"/>
  <c r="AF102" i="17"/>
  <c r="AK22" i="7"/>
  <c r="AK23" i="7"/>
  <c r="AK56" i="7"/>
  <c r="AN37" i="1"/>
  <c r="AF92" i="17"/>
  <c r="AF96" i="17"/>
  <c r="AF95" i="17"/>
  <c r="AF94" i="17"/>
  <c r="AL102" i="17"/>
  <c r="AL87" i="17"/>
  <c r="AL91" i="17"/>
  <c r="AI87" i="17"/>
  <c r="AI91" i="17"/>
  <c r="AI102" i="17"/>
  <c r="AJ102" i="17"/>
  <c r="AJ87" i="17"/>
  <c r="AF93" i="17"/>
  <c r="AJ15" i="7"/>
  <c r="AH96" i="17"/>
  <c r="AH95" i="17"/>
  <c r="AH93" i="17"/>
  <c r="AH92" i="17"/>
  <c r="AH94" i="17"/>
  <c r="AG95" i="17"/>
  <c r="AG96" i="17"/>
  <c r="AL22" i="7"/>
  <c r="AL23" i="7"/>
  <c r="AL56" i="7"/>
  <c r="AO37" i="1"/>
  <c r="AM16" i="7"/>
  <c r="AM34" i="7"/>
  <c r="AH91" i="17"/>
  <c r="AH102" i="17"/>
  <c r="AF91" i="17"/>
  <c r="AL16" i="7"/>
  <c r="AG92" i="17"/>
  <c r="AL108" i="17"/>
  <c r="AI108" i="17"/>
  <c r="AG108" i="17"/>
  <c r="AH108" i="17"/>
  <c r="AF108" i="17"/>
  <c r="AJ108" i="17"/>
  <c r="AG58" i="17"/>
  <c r="AG118" i="17"/>
  <c r="AG158" i="17"/>
  <c r="AK94" i="17"/>
  <c r="AK41" i="17"/>
  <c r="AK139" i="17"/>
  <c r="AK93" i="17"/>
  <c r="AK31" i="17"/>
  <c r="AK96" i="17"/>
  <c r="AK34" i="17"/>
  <c r="AK95" i="17"/>
  <c r="AK33" i="17"/>
  <c r="AK91" i="17"/>
  <c r="AG41" i="17"/>
  <c r="AG139" i="17"/>
  <c r="AG32" i="17"/>
  <c r="AF97" i="17"/>
  <c r="AM33" i="7"/>
  <c r="AL33" i="7"/>
  <c r="AL57" i="7"/>
  <c r="AO36" i="1"/>
  <c r="AL13" i="17"/>
  <c r="AH41" i="17"/>
  <c r="AH139" i="17"/>
  <c r="AH32" i="17"/>
  <c r="AH34" i="17"/>
  <c r="AH43" i="17"/>
  <c r="AH141" i="17"/>
  <c r="AJ93" i="17"/>
  <c r="AJ95" i="17"/>
  <c r="AJ96" i="17"/>
  <c r="AJ94" i="17"/>
  <c r="AJ92" i="17"/>
  <c r="AK40" i="17"/>
  <c r="AK138" i="17"/>
  <c r="AF39" i="17"/>
  <c r="AF137" i="17"/>
  <c r="AF146" i="17"/>
  <c r="AF30" i="17"/>
  <c r="AG34" i="17"/>
  <c r="AG43" i="17"/>
  <c r="AG141" i="17"/>
  <c r="AH30" i="17"/>
  <c r="AH39" i="17"/>
  <c r="AH137" i="17"/>
  <c r="AJ16" i="7"/>
  <c r="AJ22" i="7"/>
  <c r="AJ23" i="7"/>
  <c r="AJ56" i="7"/>
  <c r="AM37" i="1"/>
  <c r="AI15" i="7"/>
  <c r="AK42" i="17"/>
  <c r="AK140" i="17"/>
  <c r="AL94" i="17"/>
  <c r="AL96" i="17"/>
  <c r="AL95" i="17"/>
  <c r="AL92" i="17"/>
  <c r="AL93" i="17"/>
  <c r="AF41" i="17"/>
  <c r="AF139" i="17"/>
  <c r="AF148" i="17"/>
  <c r="AF32" i="17"/>
  <c r="AK16" i="7"/>
  <c r="AG30" i="17"/>
  <c r="AG39" i="17"/>
  <c r="AG137" i="17"/>
  <c r="AH97" i="17"/>
  <c r="AG42" i="17"/>
  <c r="AG140" i="17"/>
  <c r="AG149" i="17"/>
  <c r="AG33" i="17"/>
  <c r="AH40" i="17"/>
  <c r="AH138" i="17"/>
  <c r="AH147" i="17"/>
  <c r="AH31" i="17"/>
  <c r="AF40" i="17"/>
  <c r="AF138" i="17"/>
  <c r="AF147" i="17"/>
  <c r="AF31" i="17"/>
  <c r="AF33" i="17"/>
  <c r="AF42" i="17"/>
  <c r="AF140" i="17"/>
  <c r="AF149" i="17"/>
  <c r="AK57" i="7"/>
  <c r="AN36" i="1"/>
  <c r="AK13" i="17"/>
  <c r="AK43" i="17"/>
  <c r="AK141" i="17"/>
  <c r="AH33" i="17"/>
  <c r="AH42" i="17"/>
  <c r="AH140" i="17"/>
  <c r="AJ91" i="17"/>
  <c r="AI96" i="17"/>
  <c r="AI92" i="17"/>
  <c r="AI93" i="17"/>
  <c r="AI94" i="17"/>
  <c r="AI95" i="17"/>
  <c r="AK39" i="17"/>
  <c r="AK137" i="17"/>
  <c r="AK30" i="17"/>
  <c r="AF43" i="17"/>
  <c r="AF141" i="17"/>
  <c r="AF150" i="17"/>
  <c r="AF34" i="17"/>
  <c r="AG97" i="17"/>
  <c r="AG146" i="17"/>
  <c r="AH149" i="17"/>
  <c r="AG147" i="17"/>
  <c r="AG150" i="17"/>
  <c r="AH119" i="17"/>
  <c r="AH159" i="17"/>
  <c r="AK118" i="17"/>
  <c r="AK158" i="17"/>
  <c r="AK157" i="17"/>
  <c r="AK117" i="17"/>
  <c r="AG120" i="17"/>
  <c r="AG160" i="17"/>
  <c r="AH148" i="17"/>
  <c r="AK149" i="17"/>
  <c r="AH146" i="17"/>
  <c r="AF117" i="17"/>
  <c r="AF126" i="17"/>
  <c r="AF157" i="17"/>
  <c r="AF166" i="17"/>
  <c r="AH150" i="17"/>
  <c r="AK120" i="17"/>
  <c r="AK160" i="17"/>
  <c r="AK161" i="17"/>
  <c r="AK121" i="17"/>
  <c r="AF120" i="17"/>
  <c r="AF129" i="17"/>
  <c r="AF160" i="17"/>
  <c r="AF169" i="17"/>
  <c r="AG148" i="17"/>
  <c r="AF118" i="17"/>
  <c r="AF127" i="17"/>
  <c r="AF158" i="17"/>
  <c r="AF167" i="17"/>
  <c r="AG117" i="17"/>
  <c r="AG126" i="17"/>
  <c r="AG157" i="17"/>
  <c r="AG166" i="17"/>
  <c r="AG161" i="17"/>
  <c r="AG121" i="17"/>
  <c r="AH160" i="17"/>
  <c r="AH120" i="17"/>
  <c r="AH129" i="17"/>
  <c r="AF121" i="17"/>
  <c r="AF130" i="17"/>
  <c r="AF161" i="17"/>
  <c r="AF170" i="17"/>
  <c r="AH158" i="17"/>
  <c r="AH167" i="17"/>
  <c r="AH118" i="17"/>
  <c r="AH127" i="17"/>
  <c r="AF119" i="17"/>
  <c r="AF128" i="17"/>
  <c r="AF159" i="17"/>
  <c r="AF168" i="17"/>
  <c r="AH157" i="17"/>
  <c r="AH117" i="17"/>
  <c r="AH126" i="17"/>
  <c r="AH121" i="17"/>
  <c r="AH130" i="17"/>
  <c r="AH161" i="17"/>
  <c r="AG119" i="17"/>
  <c r="AG128" i="17"/>
  <c r="AG159" i="17"/>
  <c r="AG168" i="17"/>
  <c r="AH58" i="17"/>
  <c r="AF59" i="17"/>
  <c r="AK97" i="17"/>
  <c r="AK32" i="17"/>
  <c r="AK60" i="17"/>
  <c r="AL97" i="17"/>
  <c r="AH59" i="17"/>
  <c r="AF57" i="17"/>
  <c r="AK57" i="17"/>
  <c r="AG57" i="17"/>
  <c r="AK58" i="17"/>
  <c r="AG59" i="17"/>
  <c r="AF60" i="17"/>
  <c r="AG47" i="17"/>
  <c r="AH47" i="17"/>
  <c r="AJ97" i="17"/>
  <c r="AK47" i="17"/>
  <c r="AL31" i="7"/>
  <c r="AK31" i="7"/>
  <c r="AJ31" i="7"/>
  <c r="AM31" i="7"/>
  <c r="AJ43" i="17"/>
  <c r="AJ141" i="17"/>
  <c r="AJ34" i="17"/>
  <c r="AL5" i="17"/>
  <c r="AO35" i="1"/>
  <c r="AI40" i="17"/>
  <c r="AI138" i="17"/>
  <c r="AI147" i="17"/>
  <c r="AI31" i="17"/>
  <c r="AK18" i="17"/>
  <c r="AK38" i="17"/>
  <c r="AL42" i="17"/>
  <c r="AL140" i="17"/>
  <c r="AL33" i="17"/>
  <c r="AJ33" i="17"/>
  <c r="AJ42" i="17"/>
  <c r="AJ140" i="17"/>
  <c r="AF47" i="17"/>
  <c r="AI39" i="17"/>
  <c r="AI137" i="17"/>
  <c r="AI146" i="17"/>
  <c r="AI30" i="17"/>
  <c r="AH60" i="17"/>
  <c r="AN35" i="1"/>
  <c r="AK5" i="17"/>
  <c r="AL34" i="17"/>
  <c r="AL43" i="17"/>
  <c r="AL141" i="17"/>
  <c r="AH15" i="7"/>
  <c r="AI22" i="7"/>
  <c r="AI23" i="7"/>
  <c r="AI56" i="7"/>
  <c r="AL37" i="1"/>
  <c r="AH57" i="17"/>
  <c r="AJ30" i="17"/>
  <c r="AJ39" i="17"/>
  <c r="AJ137" i="17"/>
  <c r="AJ40" i="17"/>
  <c r="AJ138" i="17"/>
  <c r="AJ147" i="17"/>
  <c r="AJ31" i="17"/>
  <c r="AI41" i="17"/>
  <c r="AI139" i="17"/>
  <c r="AI148" i="17"/>
  <c r="AI32" i="17"/>
  <c r="AK32" i="7"/>
  <c r="AM32" i="7"/>
  <c r="AL32" i="7"/>
  <c r="AL30" i="17"/>
  <c r="AL39" i="17"/>
  <c r="AL137" i="17"/>
  <c r="AI42" i="17"/>
  <c r="AI140" i="17"/>
  <c r="AI149" i="17"/>
  <c r="AI33" i="17"/>
  <c r="AI34" i="17"/>
  <c r="AI43" i="17"/>
  <c r="AI141" i="17"/>
  <c r="AI150" i="17"/>
  <c r="AF58" i="17"/>
  <c r="AG60" i="17"/>
  <c r="AL40" i="17"/>
  <c r="AL138" i="17"/>
  <c r="AL31" i="17"/>
  <c r="AL32" i="17"/>
  <c r="AL41" i="17"/>
  <c r="AL139" i="17"/>
  <c r="AJ13" i="17"/>
  <c r="AJ57" i="7"/>
  <c r="AM36" i="1"/>
  <c r="AJ32" i="17"/>
  <c r="AJ41" i="17"/>
  <c r="AJ139" i="17"/>
  <c r="AJ148" i="17"/>
  <c r="AL38" i="17"/>
  <c r="AL136" i="17"/>
  <c r="AL18" i="17"/>
  <c r="AI97" i="17"/>
  <c r="AK148" i="17"/>
  <c r="AG169" i="17"/>
  <c r="AG127" i="17"/>
  <c r="AL158" i="17"/>
  <c r="AL118" i="17"/>
  <c r="AL146" i="17"/>
  <c r="AM146" i="17"/>
  <c r="AI118" i="17"/>
  <c r="AI127" i="17"/>
  <c r="AI158" i="17"/>
  <c r="AI167" i="17"/>
  <c r="AM145" i="17"/>
  <c r="AL147" i="17"/>
  <c r="AM147" i="17"/>
  <c r="AL117" i="17"/>
  <c r="AL157" i="17"/>
  <c r="AI119" i="17"/>
  <c r="AI128" i="17"/>
  <c r="AI159" i="17"/>
  <c r="AI168" i="17"/>
  <c r="AL149" i="17"/>
  <c r="AM149" i="17"/>
  <c r="AJ150" i="17"/>
  <c r="AK147" i="17"/>
  <c r="AL148" i="17"/>
  <c r="AM148" i="17"/>
  <c r="AI120" i="17"/>
  <c r="AI129" i="17"/>
  <c r="AI160" i="17"/>
  <c r="AI169" i="17"/>
  <c r="AJ117" i="17"/>
  <c r="AJ157" i="17"/>
  <c r="AK166" i="17"/>
  <c r="AL150" i="17"/>
  <c r="AM150" i="17"/>
  <c r="AJ149" i="17"/>
  <c r="AK44" i="17"/>
  <c r="AK142" i="17"/>
  <c r="AK136" i="17"/>
  <c r="AL145" i="17"/>
  <c r="AH170" i="17"/>
  <c r="AK150" i="17"/>
  <c r="AH169" i="17"/>
  <c r="AG130" i="17"/>
  <c r="AG167" i="17"/>
  <c r="AG129" i="17"/>
  <c r="AH168" i="17"/>
  <c r="AL160" i="17"/>
  <c r="AL120" i="17"/>
  <c r="AJ161" i="17"/>
  <c r="AK170" i="17"/>
  <c r="AJ121" i="17"/>
  <c r="AI161" i="17"/>
  <c r="AI170" i="17"/>
  <c r="AI121" i="17"/>
  <c r="AI130" i="17"/>
  <c r="AJ146" i="17"/>
  <c r="AH166" i="17"/>
  <c r="AJ159" i="17"/>
  <c r="AJ119" i="17"/>
  <c r="AJ128" i="17"/>
  <c r="AL159" i="17"/>
  <c r="AL119" i="17"/>
  <c r="AJ118" i="17"/>
  <c r="AK127" i="17"/>
  <c r="AJ158" i="17"/>
  <c r="AJ167" i="17"/>
  <c r="AL161" i="17"/>
  <c r="AL121" i="17"/>
  <c r="AI117" i="17"/>
  <c r="AI126" i="17"/>
  <c r="AI157" i="17"/>
  <c r="AI166" i="17"/>
  <c r="AJ160" i="17"/>
  <c r="AK169" i="17"/>
  <c r="AJ120" i="17"/>
  <c r="AK59" i="17"/>
  <c r="AK119" i="17"/>
  <c r="AK128" i="17"/>
  <c r="AK159" i="17"/>
  <c r="AK146" i="17"/>
  <c r="AG170" i="17"/>
  <c r="AK126" i="17"/>
  <c r="AH128" i="17"/>
  <c r="AL58" i="17"/>
  <c r="AJ57" i="17"/>
  <c r="AJ58" i="17"/>
  <c r="AI57" i="17"/>
  <c r="AI60" i="17"/>
  <c r="AG15" i="7"/>
  <c r="AH16" i="7"/>
  <c r="AH22" i="7"/>
  <c r="AH23" i="7"/>
  <c r="AH56" i="7"/>
  <c r="AK37" i="1"/>
  <c r="AN7" i="1"/>
  <c r="AN30" i="1"/>
  <c r="AN6" i="1"/>
  <c r="AJ59" i="17"/>
  <c r="AL59" i="17"/>
  <c r="AO7" i="1"/>
  <c r="AO30" i="1"/>
  <c r="AO6" i="1"/>
  <c r="AM35" i="1"/>
  <c r="AJ5" i="17"/>
  <c r="AI16" i="7"/>
  <c r="AL47" i="17"/>
  <c r="AJ60" i="17"/>
  <c r="AL29" i="17"/>
  <c r="AL10" i="17"/>
  <c r="AL20" i="17"/>
  <c r="AL21" i="17"/>
  <c r="AL44" i="17"/>
  <c r="AL142" i="17"/>
  <c r="AJ18" i="17"/>
  <c r="AJ38" i="17"/>
  <c r="AI47" i="17"/>
  <c r="AL57" i="17"/>
  <c r="AI59" i="17"/>
  <c r="AI57" i="7"/>
  <c r="AL36" i="1"/>
  <c r="AI13" i="17"/>
  <c r="AK10" i="17"/>
  <c r="AK20" i="17"/>
  <c r="AK21" i="17"/>
  <c r="AK29" i="17"/>
  <c r="AL60" i="17"/>
  <c r="AI58" i="17"/>
  <c r="AJ47" i="17"/>
  <c r="AK167" i="17"/>
  <c r="AJ129" i="17"/>
  <c r="AK168" i="17"/>
  <c r="AL128" i="17"/>
  <c r="AM128" i="17"/>
  <c r="AJ130" i="17"/>
  <c r="AL167" i="17"/>
  <c r="AM167" i="17"/>
  <c r="AL156" i="17"/>
  <c r="AL116" i="17"/>
  <c r="AL170" i="17"/>
  <c r="AM170" i="17"/>
  <c r="AK156" i="17"/>
  <c r="AK116" i="17"/>
  <c r="AL129" i="17"/>
  <c r="AM129" i="17"/>
  <c r="AJ166" i="17"/>
  <c r="AK130" i="17"/>
  <c r="AL130" i="17"/>
  <c r="AM130" i="17"/>
  <c r="AL126" i="17"/>
  <c r="AM126" i="17"/>
  <c r="AJ44" i="17"/>
  <c r="AJ142" i="17"/>
  <c r="AK151" i="17"/>
  <c r="AJ136" i="17"/>
  <c r="AJ169" i="17"/>
  <c r="AL168" i="17"/>
  <c r="AM168" i="17"/>
  <c r="AJ170" i="17"/>
  <c r="AL151" i="17"/>
  <c r="AM151" i="17"/>
  <c r="AJ127" i="17"/>
  <c r="AJ168" i="17"/>
  <c r="AK129" i="17"/>
  <c r="AL169" i="17"/>
  <c r="AM169" i="17"/>
  <c r="AJ126" i="17"/>
  <c r="AL166" i="17"/>
  <c r="AM166" i="17"/>
  <c r="AL127" i="17"/>
  <c r="AM127" i="17"/>
  <c r="AK56" i="17"/>
  <c r="AK35" i="17"/>
  <c r="AJ10" i="17"/>
  <c r="AJ20" i="17"/>
  <c r="AJ21" i="17"/>
  <c r="AJ29" i="17"/>
  <c r="AI29" i="7"/>
  <c r="AL29" i="7"/>
  <c r="AH29" i="7"/>
  <c r="AJ29" i="7"/>
  <c r="AK29" i="7"/>
  <c r="AM29" i="7"/>
  <c r="AM7" i="1"/>
  <c r="AM30" i="1"/>
  <c r="AM6" i="1"/>
  <c r="AI18" i="17"/>
  <c r="AI38" i="17"/>
  <c r="AH57" i="7"/>
  <c r="AK36" i="1"/>
  <c r="AH13" i="17"/>
  <c r="AI5" i="17"/>
  <c r="AL35" i="1"/>
  <c r="AL35" i="17"/>
  <c r="AL56" i="17"/>
  <c r="AK30" i="7"/>
  <c r="AL30" i="7"/>
  <c r="AM30" i="7"/>
  <c r="AJ30" i="7"/>
  <c r="AI30" i="7"/>
  <c r="AF15" i="7"/>
  <c r="AG16" i="7"/>
  <c r="AG22" i="7"/>
  <c r="AG23" i="7"/>
  <c r="AG56" i="7"/>
  <c r="AJ37" i="1"/>
  <c r="AI44" i="17"/>
  <c r="AI142" i="17"/>
  <c r="AI136" i="17"/>
  <c r="AJ145" i="17"/>
  <c r="AJ116" i="17"/>
  <c r="AJ156" i="17"/>
  <c r="AK165" i="17"/>
  <c r="AL125" i="17"/>
  <c r="AM125" i="17"/>
  <c r="AK46" i="17"/>
  <c r="AK48" i="17"/>
  <c r="AK162" i="17"/>
  <c r="AK122" i="17"/>
  <c r="AL46" i="17"/>
  <c r="AL48" i="17"/>
  <c r="AL162" i="17"/>
  <c r="AL122" i="17"/>
  <c r="AK145" i="17"/>
  <c r="AL165" i="17"/>
  <c r="AM165" i="17"/>
  <c r="AL7" i="1"/>
  <c r="AL30" i="1"/>
  <c r="AL6" i="1"/>
  <c r="AG13" i="17"/>
  <c r="AG57" i="7"/>
  <c r="AJ36" i="1"/>
  <c r="AI29" i="17"/>
  <c r="AI10" i="17"/>
  <c r="AI20" i="17"/>
  <c r="AI21" i="17"/>
  <c r="AF22" i="7"/>
  <c r="AF23" i="7"/>
  <c r="AF56" i="7"/>
  <c r="AI37" i="1"/>
  <c r="AE15" i="7"/>
  <c r="AF16" i="7"/>
  <c r="AH38" i="17"/>
  <c r="AH18" i="17"/>
  <c r="AI28" i="7"/>
  <c r="AK28" i="7"/>
  <c r="AH28" i="7"/>
  <c r="AM28" i="7"/>
  <c r="AL28" i="7"/>
  <c r="AJ28" i="7"/>
  <c r="AG28" i="7"/>
  <c r="AK35" i="1"/>
  <c r="AH5" i="17"/>
  <c r="AJ35" i="17"/>
  <c r="AJ56" i="17"/>
  <c r="AH44" i="17"/>
  <c r="AH142" i="17"/>
  <c r="AI151" i="17"/>
  <c r="AH136" i="17"/>
  <c r="AI116" i="17"/>
  <c r="AJ125" i="17"/>
  <c r="AI156" i="17"/>
  <c r="AJ165" i="17"/>
  <c r="AJ151" i="17"/>
  <c r="AJ46" i="17"/>
  <c r="AJ48" i="17"/>
  <c r="AJ162" i="17"/>
  <c r="AJ122" i="17"/>
  <c r="AL131" i="17"/>
  <c r="AM131" i="17"/>
  <c r="AK171" i="17"/>
  <c r="AK125" i="17"/>
  <c r="AL171" i="17"/>
  <c r="AM171" i="17"/>
  <c r="AI145" i="17"/>
  <c r="AF57" i="7"/>
  <c r="AI36" i="1"/>
  <c r="AF13" i="17"/>
  <c r="AG5" i="17"/>
  <c r="AJ35" i="1"/>
  <c r="AG18" i="17"/>
  <c r="AG38" i="17"/>
  <c r="AH10" i="17"/>
  <c r="AH29" i="17"/>
  <c r="AE16" i="7"/>
  <c r="AE22" i="7"/>
  <c r="AE23" i="7"/>
  <c r="AE56" i="7"/>
  <c r="AH37" i="1"/>
  <c r="AH20" i="17"/>
  <c r="AH21" i="17"/>
  <c r="AK7" i="1"/>
  <c r="AK30" i="1"/>
  <c r="AK6" i="1"/>
  <c r="AL27" i="7"/>
  <c r="AK27" i="7"/>
  <c r="AF27" i="7"/>
  <c r="AI27" i="7"/>
  <c r="AG27" i="7"/>
  <c r="AM27" i="7"/>
  <c r="AJ27" i="7"/>
  <c r="AH27" i="7"/>
  <c r="AI56" i="17"/>
  <c r="AI35" i="17"/>
  <c r="AH116" i="17"/>
  <c r="AH156" i="17"/>
  <c r="AK131" i="17"/>
  <c r="AG44" i="17"/>
  <c r="AG142" i="17"/>
  <c r="AH151" i="17"/>
  <c r="AG136" i="17"/>
  <c r="AI46" i="17"/>
  <c r="AI48" i="17"/>
  <c r="AI162" i="17"/>
  <c r="AI122" i="17"/>
  <c r="AJ131" i="17"/>
  <c r="AJ171" i="17"/>
  <c r="AJ7" i="1"/>
  <c r="AJ30" i="1"/>
  <c r="AJ6" i="1"/>
  <c r="AE57" i="7"/>
  <c r="AH36" i="1"/>
  <c r="AE13" i="17"/>
  <c r="AG10" i="17"/>
  <c r="AG20" i="17"/>
  <c r="AG21" i="17"/>
  <c r="AG29" i="17"/>
  <c r="AL26" i="7"/>
  <c r="AM26" i="7"/>
  <c r="AE26" i="7"/>
  <c r="AK26" i="7"/>
  <c r="AH26" i="7"/>
  <c r="AI26" i="7"/>
  <c r="AF26" i="7"/>
  <c r="AG26" i="7"/>
  <c r="AJ26" i="7"/>
  <c r="AF38" i="17"/>
  <c r="AF18" i="17"/>
  <c r="AH35" i="17"/>
  <c r="AH56" i="17"/>
  <c r="AF5" i="17"/>
  <c r="AI35" i="1"/>
  <c r="AH46" i="17"/>
  <c r="AH48" i="17"/>
  <c r="AH122" i="17"/>
  <c r="AH162" i="17"/>
  <c r="AG156" i="17"/>
  <c r="AG116" i="17"/>
  <c r="AH125" i="17"/>
  <c r="AI131" i="17"/>
  <c r="AI165" i="17"/>
  <c r="AH165" i="17"/>
  <c r="AH145" i="17"/>
  <c r="AF44" i="17"/>
  <c r="AF142" i="17"/>
  <c r="AG151" i="17"/>
  <c r="AF136" i="17"/>
  <c r="AI125" i="17"/>
  <c r="AE18" i="17"/>
  <c r="AE38" i="17"/>
  <c r="AI7" i="1"/>
  <c r="AI30" i="1"/>
  <c r="AI6" i="1"/>
  <c r="AG56" i="17"/>
  <c r="AG35" i="17"/>
  <c r="AH35" i="1"/>
  <c r="AE5" i="17"/>
  <c r="AF10" i="17"/>
  <c r="AF20" i="17"/>
  <c r="AF21" i="17"/>
  <c r="AF29" i="17"/>
  <c r="AI171" i="17"/>
  <c r="AF156" i="17"/>
  <c r="AG165" i="17"/>
  <c r="AF116" i="17"/>
  <c r="AG46" i="17"/>
  <c r="AG48" i="17"/>
  <c r="AG162" i="17"/>
  <c r="AH171" i="17"/>
  <c r="AG122" i="17"/>
  <c r="AH131" i="17"/>
  <c r="AE44" i="17"/>
  <c r="AE142" i="17"/>
  <c r="AE151" i="17"/>
  <c r="AE136" i="17"/>
  <c r="AF145" i="17"/>
  <c r="AG145" i="17"/>
  <c r="AH7" i="1"/>
  <c r="AH30" i="1"/>
  <c r="AH6" i="1"/>
  <c r="AF56" i="17"/>
  <c r="AF35" i="17"/>
  <c r="AE10" i="17"/>
  <c r="AE20" i="17"/>
  <c r="AE21" i="17"/>
  <c r="AE29" i="17"/>
  <c r="AF46" i="17"/>
  <c r="AF48" i="17"/>
  <c r="AF162" i="17"/>
  <c r="AF122" i="17"/>
  <c r="AG131" i="17"/>
  <c r="AG125" i="17"/>
  <c r="AE156" i="17"/>
  <c r="AF165" i="17"/>
  <c r="AE116" i="17"/>
  <c r="AF125" i="17"/>
  <c r="AF151" i="17"/>
  <c r="AG171" i="17"/>
  <c r="AE35" i="17"/>
  <c r="AE56" i="17"/>
  <c r="AK82" i="7"/>
  <c r="AG83" i="7"/>
  <c r="AI86" i="7"/>
  <c r="AI51" i="7"/>
  <c r="AL86" i="7"/>
  <c r="AE51" i="7"/>
  <c r="AH82" i="7"/>
  <c r="AK88" i="7"/>
  <c r="AK51" i="7"/>
  <c r="AM88" i="7"/>
  <c r="AL88" i="7"/>
  <c r="AG51" i="7"/>
  <c r="AK84" i="7"/>
  <c r="AJ51" i="7"/>
  <c r="AJ87" i="7"/>
  <c r="AF51" i="7"/>
  <c r="AI83" i="7"/>
  <c r="AL51" i="7"/>
  <c r="AL89" i="7"/>
  <c r="AH51" i="7"/>
  <c r="AL85" i="7"/>
  <c r="AM51" i="7"/>
  <c r="AM90" i="7"/>
  <c r="AE46" i="17"/>
  <c r="AE48" i="17"/>
  <c r="AE122" i="17"/>
  <c r="AE131" i="17"/>
  <c r="AE162" i="17"/>
  <c r="AE171" i="17"/>
  <c r="AJ86" i="7"/>
  <c r="AM84" i="7"/>
  <c r="AH83" i="7"/>
  <c r="AE82" i="7"/>
  <c r="AK85" i="7"/>
  <c r="AH84" i="7"/>
  <c r="AL83" i="7"/>
  <c r="AG82" i="7"/>
  <c r="AM85" i="7"/>
  <c r="AM89" i="7"/>
  <c r="AK86" i="7"/>
  <c r="AI85" i="7"/>
  <c r="AK83" i="7"/>
  <c r="AM82" i="7"/>
  <c r="AL87" i="7"/>
  <c r="AL84" i="7"/>
  <c r="AK87" i="7"/>
  <c r="AM86" i="7"/>
  <c r="AJ85" i="7"/>
  <c r="AH85" i="7"/>
  <c r="AG84" i="7"/>
  <c r="AF83" i="7"/>
  <c r="AM83" i="7"/>
  <c r="AL82" i="7"/>
  <c r="AF82" i="7"/>
  <c r="AI82" i="7"/>
  <c r="AM87" i="7"/>
  <c r="AI84" i="7"/>
  <c r="AJ84" i="7"/>
  <c r="AJ83" i="7"/>
  <c r="AJ82" i="7"/>
  <c r="AF131" i="17"/>
  <c r="AF171" i="17"/>
</calcChain>
</file>

<file path=xl/comments1.xml><?xml version="1.0" encoding="utf-8"?>
<comments xmlns="http://schemas.openxmlformats.org/spreadsheetml/2006/main">
  <authors>
    <author>Auteur</author>
  </authors>
  <commentList>
    <comment ref="A2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Part CAPEX des coûts systèmes (réseaux, stockage, flex demande - hors méthanation) sont attribués aux différentes filières EnR de production, en fonction de leur poids dans la production nette totale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Part OPEX des coûts systèmes (réseaux, stockage, flex demande - hors méthanation) sont attribués aux différentes filières EnR de production, en fonction de leur poids dans la production nette totale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Part des coûts du système (réseaux, stockage infra jour, STEP, flex Demande) attribuables aux sources non-EnR. Cela n'inclut pas les coûts de production de l'énergie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Y compris CI de la filière power-to-gas + gas-to-power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gardés constants en ligne avec hypothèses de l'étude 100% EnR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Coûts totaux du réseau distribution et transport?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2014 à 2019: montants prévisionnels qui seront imputés au compte régulé de lissage au titre du déploiement des compteurs linky par ErDF (délibaération CRE du 2 juil 2014. P.14.)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• 33,5 M€/an pour les recharges optimisées de véhicules. La trajectoire de pénétration des véhicules électrique est linéaire entre les points de passages suivants (tirés des Visions) : 2010=0% ; 2030=11% soit 3.7M pour un part total de 35M ; 2050=65% soit 14,3 pour parc total de 22 M.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Quelle capex en €/MW/an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Quelle capex en €/MW/an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quelle année installer les premier MW de capacité de conversion PtG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Les TACs d'équilibrage (pas encore au gaz de synthèse)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Démarrer les installations en 2021 pour être à un rythme d'à peu près 500 MW par an</t>
        </r>
      </text>
    </comment>
    <comment ref="AM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TACs 100% gaz de synthèse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d'une progression linéaire entre les coûts 2010 et 2015 tels que localisés sur la courbe d'Artélys (livrable [coût])   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la courbe d'Artélys (livrable [coût])   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Supposés constants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LCOE supposé constant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8cts/kWh en 2013 à 7cts/kWh en 2030 à 6,5cts/kWh en 2050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de 15cts/kWh en 2013 à 9,5cts/kWh en 2030 à 8cts/kWh en 2050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d'une comparaison au posé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Reconstruction du capex en ligne avec évolution du LCOE projeté par Artelys d'un prix triple de celui du offshore posé (45cts/kWh) en 2013 à un prix double en 2030 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d'un LCOE de 14cts/kwh en 2013 et 10cts/kwh en 2030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18 et 14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N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Lu à l'œil nu du rapport [Coûts]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Dont 200€ liés au raccordement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 d'arrivée en 2050 déduit du différentiel coût capacitaire EnR total - coûts toutes filières sauf hydro. Puis trajectoire calquée sur la trajectoire d'évolution du capex (€/kw)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Points de passage tirés du livrable "Coûts" sur la base de points de passage capex (en €/kw), supposant évolution du LCOE parallèle à évolution du capex</t>
        </r>
      </text>
    </comment>
    <comment ref="AN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Sur la base de chiffrages ETSAP/IEA avec un capex de 3077€/kW en 2013 et 2769€/kW en 2020</t>
        </r>
      </text>
    </comment>
    <comment ref="AQ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Source: IRENA "Electricity storage and RE for Island Power" 2012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Données issues du rapport [Modèle]</t>
        </r>
      </text>
    </comment>
  </commentList>
</comments>
</file>

<file path=xl/sharedStrings.xml><?xml version="1.0" encoding="utf-8"?>
<sst xmlns="http://schemas.openxmlformats.org/spreadsheetml/2006/main" count="542" uniqueCount="259">
  <si>
    <t>Dont coût pour le secteur résidentiel</t>
  </si>
  <si>
    <t>Dont coût des recharges optimisées</t>
  </si>
  <si>
    <t>Dont coût des STEP supplémentaires</t>
  </si>
  <si>
    <t>Dont coût du stockage inter-saisonnier</t>
  </si>
  <si>
    <t>Dont coût du stockage infra-journalier</t>
  </si>
  <si>
    <t>Dont inter-régional</t>
  </si>
  <si>
    <t>CAPEX 2050 (€/kW)</t>
  </si>
  <si>
    <t>OPEX fixe 2050 (€/kW/an)</t>
  </si>
  <si>
    <t>Eolien terrestre NG</t>
  </si>
  <si>
    <t>Eolien terrestre AG</t>
  </si>
  <si>
    <t>Eolien en mer posé</t>
  </si>
  <si>
    <t>Eolien flottant</t>
  </si>
  <si>
    <t>PV au sol</t>
  </si>
  <si>
    <t>PV sur toiture</t>
  </si>
  <si>
    <t>Solaire thermodynamique</t>
  </si>
  <si>
    <t>Marémotrice</t>
  </si>
  <si>
    <t>STEP additionnelles (2,7 GW)</t>
  </si>
  <si>
    <t>STEP additionnelles (+2,3 GW)</t>
  </si>
  <si>
    <t>Géothermie</t>
  </si>
  <si>
    <t>Cogénération à bois</t>
  </si>
  <si>
    <t>OPEX var (c€/kWh)</t>
  </si>
  <si>
    <t>UIOM</t>
  </si>
  <si>
    <t>Méthanisation</t>
  </si>
  <si>
    <t>Production nette 2050 (MWh)</t>
  </si>
  <si>
    <t>Solaire (moyenne pondérée)</t>
  </si>
  <si>
    <t>Dont OPEX</t>
  </si>
  <si>
    <t>Dont CAPEX</t>
  </si>
  <si>
    <t>LCOE filières et sous-filières (PTI)</t>
  </si>
  <si>
    <t>Stockage infra-journalier</t>
  </si>
  <si>
    <t>Stockage inter-saisonnier</t>
  </si>
  <si>
    <t>Durée de vie</t>
  </si>
  <si>
    <t>CAPEX 2050 (€/kW/an)</t>
  </si>
  <si>
    <t>Dont distribution et infra-régional</t>
  </si>
  <si>
    <t>Dotations aux amortissements</t>
  </si>
  <si>
    <t>Charges financières nettes</t>
  </si>
  <si>
    <t>Autres achats (entretien et maintenance)</t>
  </si>
  <si>
    <t>Achats liés à l'équilibre du syst élec (hors pertes)</t>
  </si>
  <si>
    <t>Achats liés aux pertes</t>
  </si>
  <si>
    <t>Autres produits et charges opé</t>
  </si>
  <si>
    <t>Charges de personnel</t>
  </si>
  <si>
    <t>Impôts et taxes</t>
  </si>
  <si>
    <t>CAPEX</t>
  </si>
  <si>
    <t>OPEX</t>
  </si>
  <si>
    <t>Total (hors pertes)</t>
  </si>
  <si>
    <t>Charges nettes à tarifer</t>
  </si>
  <si>
    <t>RTE</t>
  </si>
  <si>
    <t>ERdF</t>
  </si>
  <si>
    <t>Structure des coûts 2013 de RTE et ERdF</t>
  </si>
  <si>
    <t>http://www.cre.fr/documents/consultations-publiques/quatriemes-tarifs-d-utilisation-des-reseaux-publics-d-electricite</t>
  </si>
  <si>
    <t>Part OPEX (hors pertes et services systèmes)</t>
  </si>
  <si>
    <t>Moins charges de pertes, services systèmes et raccordements (PSR)</t>
  </si>
  <si>
    <t>Charges nettes (hors PSR)</t>
  </si>
  <si>
    <t>Part CAPEX (hors raccordement)</t>
  </si>
  <si>
    <t>Part OPEX pour charge de personnel</t>
  </si>
  <si>
    <t>Dont OPEX (charges de personnel)</t>
  </si>
  <si>
    <t>Dont OPEX (hors charges de personnel)</t>
  </si>
  <si>
    <t>Cas de référence</t>
  </si>
  <si>
    <t>Cogénération Bois</t>
  </si>
  <si>
    <t>TAC au gaz de synthèse</t>
  </si>
  <si>
    <t>STEP</t>
  </si>
  <si>
    <t>PowertoHeat</t>
  </si>
  <si>
    <t>PV toiture</t>
  </si>
  <si>
    <t>PV sol</t>
  </si>
  <si>
    <t>Eolien Onshore surtoilé</t>
  </si>
  <si>
    <t>Eolien Onshore classique</t>
  </si>
  <si>
    <t>Eolien Offshore posé</t>
  </si>
  <si>
    <t>Houlomoteur</t>
  </si>
  <si>
    <t>Nucléaire</t>
  </si>
  <si>
    <t>Hydrolienne</t>
  </si>
  <si>
    <t>Hydraulique à réservoirs</t>
  </si>
  <si>
    <t>Fil de l'eau</t>
  </si>
  <si>
    <t>TAC</t>
  </si>
  <si>
    <t>Eolien Offshore flottant</t>
  </si>
  <si>
    <t>Méthanation</t>
  </si>
  <si>
    <t>CSP</t>
  </si>
  <si>
    <t>CCGT</t>
  </si>
  <si>
    <t>CAES</t>
  </si>
  <si>
    <t>Cogénération Méthanisation</t>
  </si>
  <si>
    <t>Chroniques de coûts annuels (M€ 2013)</t>
  </si>
  <si>
    <t>Part EnR en % de la production élec</t>
  </si>
  <si>
    <t>http://www.cre.fr/documents/deliberations/decision/comptage-evolue-erdf2</t>
  </si>
  <si>
    <t>Source: Délibération de la CRE sur le cadre de régulation du déploiement de Linky</t>
  </si>
  <si>
    <t>Coût total sur la période 2015-2021</t>
  </si>
  <si>
    <t>Mds €</t>
  </si>
  <si>
    <t>Année</t>
  </si>
  <si>
    <t>Nombre prévisionnel de compteur Linky installés (millions)</t>
  </si>
  <si>
    <t>Coût annuel moyen sur la période</t>
  </si>
  <si>
    <t>Coût unitaire</t>
  </si>
  <si>
    <t>Coût annuel prévisionnel sur la période</t>
  </si>
  <si>
    <t>CAPEX 2030 (€/kw)</t>
  </si>
  <si>
    <t>Capacité (MW)</t>
  </si>
  <si>
    <t>Total de compteur installés sur la période (millions)</t>
  </si>
  <si>
    <t>Durée de vie d'un compteur (année)</t>
  </si>
  <si>
    <t>Investissements 2015 annualisés</t>
  </si>
  <si>
    <t>" 2017 "</t>
  </si>
  <si>
    <t>" 2016 "</t>
  </si>
  <si>
    <t>"2018 "</t>
  </si>
  <si>
    <t>" 2019 "</t>
  </si>
  <si>
    <t>" 2020 "</t>
  </si>
  <si>
    <t>" 2021 "</t>
  </si>
  <si>
    <t>TOTAL</t>
  </si>
  <si>
    <t>TOTAL (M€)</t>
  </si>
  <si>
    <t>LINKY 2ème génération</t>
  </si>
  <si>
    <t>Stockage infra-jour (CAES)</t>
  </si>
  <si>
    <t>Capex (€/MW/an)</t>
  </si>
  <si>
    <t>Opex fixes (€/MW/an)</t>
  </si>
  <si>
    <t>Capex (€/MW)</t>
  </si>
  <si>
    <t>TOTAL Opex (M€)</t>
  </si>
  <si>
    <t>Cohortes Capex:</t>
  </si>
  <si>
    <t>CAPEX 2013 (€/kw)</t>
  </si>
  <si>
    <t>Installations annuelles</t>
  </si>
  <si>
    <t>TOTAL Capex (M€)</t>
  </si>
  <si>
    <t>Coûts totaux (M€)</t>
  </si>
  <si>
    <t>Coûts annualisés des capacités de stockage</t>
  </si>
  <si>
    <t>Coûts annualisés du pilotage de la demande</t>
  </si>
  <si>
    <t>Coûts annualisés de réseau</t>
  </si>
  <si>
    <t>Chiffrage Artelys (coûts 2050)</t>
  </si>
  <si>
    <t>Courbe d'investissement</t>
  </si>
  <si>
    <t>Capacité En MW</t>
  </si>
  <si>
    <t>Coûts annualisés de l'éolien</t>
  </si>
  <si>
    <t>Coûts annualisés du solaire</t>
  </si>
  <si>
    <t>EOLIEN</t>
  </si>
  <si>
    <t>SOLAIRE</t>
  </si>
  <si>
    <t>Coûts annualisés de la biomasse</t>
  </si>
  <si>
    <t>BIOMASSE</t>
  </si>
  <si>
    <t>Bois énergie</t>
  </si>
  <si>
    <t>Stockage</t>
  </si>
  <si>
    <t>Additions cumulées (MW)</t>
  </si>
  <si>
    <t>EmR</t>
  </si>
  <si>
    <t>Coûts annualisés des énergies marines</t>
  </si>
  <si>
    <t>Géoth</t>
  </si>
  <si>
    <t>Coûts annualisés de la géothermie</t>
  </si>
  <si>
    <t>Coût capacitaire des ENR</t>
  </si>
  <si>
    <t>Coût du combustible Bois</t>
  </si>
  <si>
    <t>Coût capacitaire de la valorisation du surplus</t>
  </si>
  <si>
    <t>Coût capacitaire du réseau (valeur 2013 : 1640 M€)</t>
  </si>
  <si>
    <t>Coût fixe du réseau</t>
  </si>
  <si>
    <t>Coût du stockage intersaisonnier</t>
  </si>
  <si>
    <t>Coût des STEP</t>
  </si>
  <si>
    <t>Coût du stockage infrajournalier</t>
  </si>
  <si>
    <t>Coût capacitaire du thermique</t>
  </si>
  <si>
    <t>Coût de la flexibilité de la consommation</t>
  </si>
  <si>
    <t>Production (MWh)</t>
  </si>
  <si>
    <t>Opex var (€/MWh)</t>
  </si>
  <si>
    <t>Dont OPEX variable</t>
  </si>
  <si>
    <t>Coûts associés (M€)</t>
  </si>
  <si>
    <t>Hydraulique</t>
  </si>
  <si>
    <t>PAC</t>
  </si>
  <si>
    <t>Gain variable  de la valorisation du surplus</t>
  </si>
  <si>
    <t>Coût des combustibles hors enr</t>
  </si>
  <si>
    <t>Coût du CO2</t>
  </si>
  <si>
    <t>Coût total M€/an</t>
  </si>
  <si>
    <t>Coût de l'énergie consommée €/MWh (Coût actuel ~91 €/MWh)</t>
  </si>
  <si>
    <t>Reconstruction</t>
  </si>
  <si>
    <t>Valorisation surplus</t>
  </si>
  <si>
    <t>Hydraulique (réservoir + fil de l'eau)</t>
  </si>
  <si>
    <t>Production nette (TWh)</t>
  </si>
  <si>
    <t>Historique</t>
  </si>
  <si>
    <t>Mix 100%</t>
  </si>
  <si>
    <t>Eolien terrestre</t>
  </si>
  <si>
    <t>Eolien en mer</t>
  </si>
  <si>
    <t>PV</t>
  </si>
  <si>
    <t>Hydroélectricité</t>
  </si>
  <si>
    <t>Energies marines</t>
  </si>
  <si>
    <t>Chaleur fatale</t>
  </si>
  <si>
    <t>Gaz naturel</t>
  </si>
  <si>
    <t>Fioul</t>
  </si>
  <si>
    <t>Charbon</t>
  </si>
  <si>
    <t>Part EnR (%)</t>
  </si>
  <si>
    <t>Production nette (Mwh)</t>
  </si>
  <si>
    <t>Toutes technos</t>
  </si>
  <si>
    <t>Eolien en mer toutes technos</t>
  </si>
  <si>
    <t>Eolien terrestre AG et NG</t>
  </si>
  <si>
    <t>Hydro</t>
  </si>
  <si>
    <t>Eolien terrestre (moyennes pondérée)</t>
  </si>
  <si>
    <t>LCOE 2050 (€/MWh)</t>
  </si>
  <si>
    <t>Eolien en mer (moyennes pondérées)</t>
  </si>
  <si>
    <t>Thermiques non-EnR</t>
  </si>
  <si>
    <t>EnR</t>
  </si>
  <si>
    <t>Ration solaires de production</t>
  </si>
  <si>
    <t>Production</t>
  </si>
  <si>
    <t>Part</t>
  </si>
  <si>
    <t>Total</t>
  </si>
  <si>
    <t>LCOE (€/MWh)</t>
  </si>
  <si>
    <t>Coûts capacitaires (M€)</t>
  </si>
  <si>
    <t>Coûts total</t>
  </si>
  <si>
    <t>Part opex (en % du LCOE)</t>
  </si>
  <si>
    <t>Opex variable (M€)</t>
  </si>
  <si>
    <t>Coûts annualisés de l'hydraulique</t>
  </si>
  <si>
    <t>Coûts capacitaires totaux EnR (hors opex var)</t>
  </si>
  <si>
    <t>95%ENR</t>
  </si>
  <si>
    <t>80%ENR</t>
  </si>
  <si>
    <t>40%ENR</t>
  </si>
  <si>
    <t>TAC au gaz de synthèse (GtP)</t>
  </si>
  <si>
    <t>Production 2050 (MWh)</t>
  </si>
  <si>
    <t>Part opex (% du coût annuel)</t>
  </si>
  <si>
    <t>TOTAL Opex fixe (M€)</t>
  </si>
  <si>
    <t>Total opex var (M€)</t>
  </si>
  <si>
    <t>Dont OPEX fixes</t>
  </si>
  <si>
    <t>Dont OPEX variables</t>
  </si>
  <si>
    <t>Coût du combustible bois</t>
  </si>
  <si>
    <t>Coût du réseau</t>
  </si>
  <si>
    <t>Coût du pilotage de la demande</t>
  </si>
  <si>
    <t>Coût du stockage</t>
  </si>
  <si>
    <t>Prix unitaire moyen €/MWh EnR</t>
  </si>
  <si>
    <t>LCOE nouvelle install €/MWh EnR</t>
  </si>
  <si>
    <t>Solaire</t>
  </si>
  <si>
    <t>Coûts totaux annuels prod EnR (M€)</t>
  </si>
  <si>
    <t>Coûts capacitaires EnR total</t>
  </si>
  <si>
    <t>Reconstitution des coûts capacitaire à partir des LCOE 2050 (M€)</t>
  </si>
  <si>
    <t>Dont coût des STEP Existantes</t>
  </si>
  <si>
    <t>Dont méthanation</t>
  </si>
  <si>
    <t>Eolien (terrestre, en mer posé, en mer flottant)</t>
  </si>
  <si>
    <t>Solaire (PV, CSP)</t>
  </si>
  <si>
    <t>Hydraulique et énergies marines</t>
  </si>
  <si>
    <t>Gaz de synthèse (méthanation)</t>
  </si>
  <si>
    <t>Autres (géothermie et cogé biogaz et biomasse)</t>
  </si>
  <si>
    <t>TOTAL OPEX</t>
  </si>
  <si>
    <t>TOTAL CAPEX</t>
  </si>
  <si>
    <t>Check</t>
  </si>
  <si>
    <t>COUTS DE LA PRODUCTION D'ENR et METHANATION</t>
  </si>
  <si>
    <t>Part opex</t>
  </si>
  <si>
    <t>PRODUCTION MARCHANDE (PRODUCTION NETTE - PERTES RESEAUX, REPARTIE PAR PART DE L'ENERGIE FINALE)</t>
  </si>
  <si>
    <t>TOTAL PRODUCTION MARCHANDE</t>
  </si>
  <si>
    <t>PRODUCTION en % du total</t>
  </si>
  <si>
    <t>Non-EnR</t>
  </si>
  <si>
    <t>PRODUCTION en TWh (PERTE INCLUSES)</t>
  </si>
  <si>
    <t>COUTS TOTAL DU SYSTÈME ELECTRIQUE (coûts de reseau, stockage infrajour et STEP et flex de la demande inclus)</t>
  </si>
  <si>
    <t>Gaz de synthèse (méthanation) capex</t>
  </si>
  <si>
    <t>Eolien (terrestre, en mer posé, en mer flottant) capex</t>
  </si>
  <si>
    <t>Solaire (PV, CSP) capex</t>
  </si>
  <si>
    <t>Hydraulique et énergies marines capex</t>
  </si>
  <si>
    <t>Autres (géothermie et cogé biogaz et biomasse) capex</t>
  </si>
  <si>
    <t>Gaz de synthèse (méthanation) opex</t>
  </si>
  <si>
    <t>Eolien (terrestre, en mer posé, en mer flottant)opex</t>
  </si>
  <si>
    <t>Solaire (PV, CSP)opex</t>
  </si>
  <si>
    <t>Hydraulique et énergies marines opex</t>
  </si>
  <si>
    <t>Autres (géothermie et cogé biogaz et biomasse) opex</t>
  </si>
  <si>
    <t>PERTES DE RESEAU</t>
  </si>
  <si>
    <t>CAPEX par filière (coûts de production EnR) M€</t>
  </si>
  <si>
    <t>OPEX par filière (coûts de production EnR) M€</t>
  </si>
  <si>
    <t>TOTAL CAPEX+OPEX M€</t>
  </si>
  <si>
    <t>CAPEX RESEAU STOCKAGE CT et FLEX DEM M€</t>
  </si>
  <si>
    <t>OPEX RESEAU STOCKAGE CT ET FLEX DEM M€</t>
  </si>
  <si>
    <t>TOTAL CAPEX+OPEX EnR M€</t>
  </si>
  <si>
    <t>CAPEX + OPEX systèmes non-EnR M€</t>
  </si>
  <si>
    <t>COUTS UNITAIRES DE PRODUCTION (CAPEX+OPEX) M€</t>
  </si>
  <si>
    <t>CAPEX système non-EnR</t>
  </si>
  <si>
    <t>OPEX système non-EnR</t>
  </si>
  <si>
    <t>Coûts 2012</t>
  </si>
  <si>
    <t>PRODUCTION en TWh (PERTE EXCLUES)</t>
  </si>
  <si>
    <t>Taux de croissance de la productivité du capital</t>
  </si>
  <si>
    <t>Taux de croissance de la productivité du travail (OPEX)</t>
  </si>
  <si>
    <t>Productivité du capital (TWh/M€)</t>
  </si>
  <si>
    <t>Productivité du travail (OPEX)  (TWh/M€)</t>
  </si>
  <si>
    <t>Productivité des facteurs (CAPEX + OPEX)  (TWh/M€)</t>
  </si>
  <si>
    <t>Taux de croissance de la productivité des facteurs (CAPEX + OPEX)</t>
  </si>
  <si>
    <t>Basées sur données Coûts 2012</t>
  </si>
  <si>
    <t>SORTIES POUR GAEL  (A ACTUALISER POUR CHAQUE TECHNO)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</si>
</sst>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#,##0\ &quot;€&quot;"/>
    <numFmt numFmtId="165" formatCode="0.0%"/>
    <numFmt numFmtId="166" formatCode="#,##0.00\ &quot;€&quot;"/>
    <numFmt numFmtId="167" formatCode="0.000"/>
    <numFmt numFmtId="168" formatCode="_-* #,##0\ _€_-;\-* #,##0\ _€_-;_-* &quot;-&quot;??\ _€_-;_-@_-"/>
    <numFmt numFmtId="169" formatCode="#,##0.0"/>
    <numFmt numFmtId="170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43" fontId="6" fillId="0" borderId="0" applyFont="0" applyFill="0" applyBorder="0" applyAlignment="0" applyProtection="0"/>
    <xf numFmtId="0" fontId="9" fillId="13" borderId="0" applyNumberFormat="0" applyBorder="0" applyAlignment="0" applyProtection="0"/>
    <xf numFmtId="0" fontId="12" fillId="0" borderId="0"/>
    <xf numFmtId="0" fontId="12" fillId="0" borderId="0"/>
  </cellStyleXfs>
  <cellXfs count="173">
    <xf numFmtId="0" fontId="0" fillId="0" borderId="0" xfId="0"/>
    <xf numFmtId="0" fontId="3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7" xfId="0" applyFont="1" applyBorder="1"/>
    <xf numFmtId="4" fontId="0" fillId="0" borderId="0" xfId="0" applyNumberFormat="1" applyBorder="1"/>
    <xf numFmtId="4" fontId="0" fillId="0" borderId="6" xfId="0" applyNumberFormat="1" applyBorder="1"/>
    <xf numFmtId="4" fontId="2" fillId="0" borderId="8" xfId="0" applyNumberFormat="1" applyFont="1" applyBorder="1"/>
    <xf numFmtId="4" fontId="2" fillId="0" borderId="9" xfId="0" applyNumberFormat="1" applyFont="1" applyBorder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3" borderId="0" xfId="0" applyNumberFormat="1" applyFill="1"/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0" fillId="0" borderId="1" xfId="0" applyNumberFormat="1" applyBorder="1"/>
    <xf numFmtId="0" fontId="0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0" fillId="0" borderId="10" xfId="0" applyNumberFormat="1" applyBorder="1"/>
    <xf numFmtId="165" fontId="0" fillId="0" borderId="0" xfId="1" applyNumberFormat="1" applyFont="1"/>
    <xf numFmtId="165" fontId="0" fillId="0" borderId="0" xfId="0" applyNumberFormat="1"/>
    <xf numFmtId="164" fontId="3" fillId="0" borderId="0" xfId="0" applyNumberFormat="1" applyFont="1" applyAlignment="1">
      <alignment horizontal="right"/>
    </xf>
    <xf numFmtId="0" fontId="0" fillId="0" borderId="0" xfId="0" applyFill="1"/>
    <xf numFmtId="164" fontId="0" fillId="3" borderId="1" xfId="0" applyNumberFormat="1" applyFill="1" applyBorder="1"/>
    <xf numFmtId="0" fontId="0" fillId="0" borderId="1" xfId="0" applyBorder="1"/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0" borderId="1" xfId="0" applyNumberFormat="1" applyFont="1" applyBorder="1" applyAlignment="1">
      <alignment horizontal="right"/>
    </xf>
    <xf numFmtId="164" fontId="0" fillId="3" borderId="10" xfId="0" applyNumberFormat="1" applyFill="1" applyBorder="1"/>
    <xf numFmtId="16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164" fontId="3" fillId="0" borderId="0" xfId="0" applyNumberFormat="1" applyFont="1" applyFill="1"/>
    <xf numFmtId="0" fontId="8" fillId="4" borderId="0" xfId="0" applyFont="1" applyFill="1"/>
    <xf numFmtId="9" fontId="8" fillId="4" borderId="0" xfId="0" applyNumberFormat="1" applyFont="1" applyFill="1"/>
    <xf numFmtId="164" fontId="3" fillId="5" borderId="0" xfId="0" applyNumberFormat="1" applyFont="1" applyFill="1" applyAlignment="1">
      <alignment horizontal="right"/>
    </xf>
    <xf numFmtId="164" fontId="0" fillId="5" borderId="1" xfId="0" applyNumberFormat="1" applyFill="1" applyBorder="1"/>
    <xf numFmtId="0" fontId="3" fillId="5" borderId="0" xfId="0" applyFont="1" applyFill="1" applyAlignment="1">
      <alignment horizontal="right"/>
    </xf>
    <xf numFmtId="164" fontId="3" fillId="5" borderId="0" xfId="0" applyNumberFormat="1" applyFont="1" applyFill="1"/>
    <xf numFmtId="164" fontId="0" fillId="5" borderId="0" xfId="0" applyNumberFormat="1" applyFill="1"/>
    <xf numFmtId="164" fontId="0" fillId="5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right"/>
    </xf>
    <xf numFmtId="167" fontId="0" fillId="0" borderId="0" xfId="0" applyNumberFormat="1"/>
    <xf numFmtId="166" fontId="0" fillId="0" borderId="0" xfId="0" applyNumberFormat="1"/>
    <xf numFmtId="0" fontId="9" fillId="2" borderId="0" xfId="0" applyFont="1" applyFill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164" fontId="0" fillId="0" borderId="0" xfId="0" applyNumberFormat="1" applyFill="1"/>
    <xf numFmtId="3" fontId="0" fillId="0" borderId="0" xfId="0" applyNumberFormat="1"/>
    <xf numFmtId="3" fontId="0" fillId="3" borderId="0" xfId="0" applyNumberFormat="1" applyFill="1"/>
    <xf numFmtId="164" fontId="0" fillId="7" borderId="0" xfId="0" applyNumberFormat="1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NumberFormat="1" applyFill="1"/>
    <xf numFmtId="0" fontId="0" fillId="8" borderId="0" xfId="0" applyFill="1"/>
    <xf numFmtId="0" fontId="3" fillId="0" borderId="0" xfId="0" applyFont="1" applyFill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10" fillId="3" borderId="0" xfId="0" applyNumberFormat="1" applyFont="1" applyFill="1"/>
    <xf numFmtId="164" fontId="0" fillId="0" borderId="1" xfId="0" applyNumberFormat="1" applyFill="1" applyBorder="1"/>
    <xf numFmtId="3" fontId="10" fillId="0" borderId="0" xfId="0" applyNumberFormat="1" applyFont="1" applyFill="1"/>
    <xf numFmtId="0" fontId="0" fillId="0" borderId="0" xfId="0" applyNumberFormat="1"/>
    <xf numFmtId="4" fontId="0" fillId="9" borderId="0" xfId="0" applyNumberFormat="1" applyFill="1" applyBorder="1"/>
    <xf numFmtId="3" fontId="0" fillId="0" borderId="0" xfId="0" applyNumberFormat="1" applyFill="1" applyAlignment="1">
      <alignment horizontal="center"/>
    </xf>
    <xf numFmtId="164" fontId="2" fillId="6" borderId="1" xfId="0" applyNumberFormat="1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0" fillId="9" borderId="0" xfId="0" applyFill="1"/>
    <xf numFmtId="1" fontId="0" fillId="0" borderId="0" xfId="0" applyNumberFormat="1" applyFill="1"/>
    <xf numFmtId="0" fontId="0" fillId="1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8" fontId="0" fillId="0" borderId="0" xfId="3" applyNumberFormat="1" applyFont="1"/>
    <xf numFmtId="9" fontId="0" fillId="0" borderId="0" xfId="1" applyFont="1"/>
    <xf numFmtId="1" fontId="0" fillId="0" borderId="0" xfId="1" applyNumberFormat="1" applyFont="1"/>
    <xf numFmtId="43" fontId="0" fillId="0" borderId="0" xfId="0" applyNumberFormat="1"/>
    <xf numFmtId="0" fontId="1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Fill="1" applyBorder="1"/>
    <xf numFmtId="1" fontId="0" fillId="0" borderId="0" xfId="0" applyNumberFormat="1"/>
    <xf numFmtId="0" fontId="6" fillId="11" borderId="0" xfId="5"/>
    <xf numFmtId="168" fontId="6" fillId="10" borderId="0" xfId="4" applyNumberFormat="1"/>
    <xf numFmtId="0" fontId="0" fillId="11" borderId="0" xfId="5" applyFont="1"/>
    <xf numFmtId="168" fontId="6" fillId="4" borderId="0" xfId="4" applyNumberFormat="1" applyFill="1"/>
    <xf numFmtId="0" fontId="9" fillId="13" borderId="0" xfId="7"/>
    <xf numFmtId="168" fontId="6" fillId="14" borderId="0" xfId="4" applyNumberFormat="1" applyFill="1"/>
    <xf numFmtId="164" fontId="0" fillId="0" borderId="0" xfId="1" applyNumberFormat="1" applyFont="1"/>
    <xf numFmtId="164" fontId="0" fillId="0" borderId="0" xfId="3" applyNumberFormat="1" applyFont="1"/>
    <xf numFmtId="0" fontId="2" fillId="0" borderId="8" xfId="0" applyFont="1" applyBorder="1"/>
    <xf numFmtId="0" fontId="0" fillId="0" borderId="0" xfId="0" applyBorder="1"/>
    <xf numFmtId="0" fontId="0" fillId="3" borderId="0" xfId="0" applyFill="1" applyBorder="1"/>
    <xf numFmtId="4" fontId="0" fillId="3" borderId="0" xfId="0" applyNumberFormat="1" applyFill="1" applyBorder="1"/>
    <xf numFmtId="170" fontId="0" fillId="0" borderId="0" xfId="0" applyNumberFormat="1" applyBorder="1"/>
    <xf numFmtId="1" fontId="0" fillId="3" borderId="0" xfId="0" applyNumberFormat="1" applyFill="1" applyBorder="1"/>
    <xf numFmtId="170" fontId="0" fillId="3" borderId="0" xfId="0" applyNumberFormat="1" applyFill="1" applyBorder="1"/>
    <xf numFmtId="168" fontId="0" fillId="15" borderId="0" xfId="3" applyNumberFormat="1" applyFont="1" applyFill="1"/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2" fillId="0" borderId="14" xfId="0" applyNumberFormat="1" applyFont="1" applyBorder="1" applyAlignment="1">
      <alignment horizontal="center"/>
    </xf>
    <xf numFmtId="0" fontId="3" fillId="0" borderId="0" xfId="0" applyFont="1"/>
    <xf numFmtId="165" fontId="3" fillId="0" borderId="15" xfId="1" applyNumberFormat="1" applyFont="1" applyBorder="1" applyAlignment="1">
      <alignment horizontal="center"/>
    </xf>
    <xf numFmtId="0" fontId="0" fillId="15" borderId="0" xfId="0" applyFill="1"/>
    <xf numFmtId="170" fontId="0" fillId="15" borderId="13" xfId="0" applyNumberFormat="1" applyFill="1" applyBorder="1" applyAlignment="1">
      <alignment horizontal="center"/>
    </xf>
    <xf numFmtId="170" fontId="2" fillId="15" borderId="14" xfId="0" applyNumberFormat="1" applyFont="1" applyFill="1" applyBorder="1" applyAlignment="1">
      <alignment horizontal="center"/>
    </xf>
    <xf numFmtId="165" fontId="3" fillId="15" borderId="15" xfId="1" applyNumberFormat="1" applyFont="1" applyFill="1" applyBorder="1" applyAlignment="1">
      <alignment horizontal="center"/>
    </xf>
    <xf numFmtId="9" fontId="0" fillId="3" borderId="0" xfId="1" applyFont="1" applyFill="1"/>
    <xf numFmtId="3" fontId="0" fillId="12" borderId="0" xfId="0" applyNumberFormat="1" applyFill="1" applyAlignment="1">
      <alignment horizontal="center"/>
    </xf>
    <xf numFmtId="0" fontId="8" fillId="0" borderId="0" xfId="0" applyFont="1" applyFill="1"/>
    <xf numFmtId="9" fontId="8" fillId="0" borderId="0" xfId="0" applyNumberFormat="1" applyFont="1" applyFill="1"/>
    <xf numFmtId="164" fontId="8" fillId="0" borderId="0" xfId="0" applyNumberFormat="1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164" fontId="0" fillId="15" borderId="0" xfId="0" applyNumberFormat="1" applyFill="1"/>
    <xf numFmtId="9" fontId="10" fillId="3" borderId="0" xfId="1" applyFont="1" applyFill="1"/>
    <xf numFmtId="3" fontId="13" fillId="0" borderId="0" xfId="0" applyNumberFormat="1" applyFont="1" applyFill="1" applyAlignment="1">
      <alignment horizontal="center"/>
    </xf>
    <xf numFmtId="3" fontId="13" fillId="0" borderId="0" xfId="0" applyNumberFormat="1" applyFont="1" applyFill="1"/>
    <xf numFmtId="4" fontId="0" fillId="0" borderId="0" xfId="0" applyNumberFormat="1"/>
    <xf numFmtId="170" fontId="0" fillId="0" borderId="0" xfId="0" applyNumberFormat="1" applyBorder="1" applyAlignment="1">
      <alignment horizontal="center"/>
    </xf>
    <xf numFmtId="170" fontId="0" fillId="0" borderId="16" xfId="0" applyNumberFormat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3" xfId="0" applyBorder="1"/>
    <xf numFmtId="0" fontId="0" fillId="0" borderId="21" xfId="0" applyBorder="1"/>
    <xf numFmtId="170" fontId="0" fillId="0" borderId="15" xfId="0" applyNumberFormat="1" applyBorder="1" applyAlignment="1">
      <alignment horizontal="center"/>
    </xf>
    <xf numFmtId="170" fontId="0" fillId="0" borderId="22" xfId="0" applyNumberFormat="1" applyBorder="1" applyAlignment="1">
      <alignment horizontal="center"/>
    </xf>
    <xf numFmtId="168" fontId="2" fillId="0" borderId="14" xfId="3" applyNumberFormat="1" applyFont="1" applyBorder="1" applyAlignment="1">
      <alignment horizontal="center"/>
    </xf>
    <xf numFmtId="168" fontId="0" fillId="0" borderId="12" xfId="3" applyNumberFormat="1" applyFont="1" applyBorder="1" applyAlignment="1">
      <alignment horizontal="center"/>
    </xf>
    <xf numFmtId="168" fontId="0" fillId="0" borderId="0" xfId="3" applyNumberFormat="1" applyFont="1" applyBorder="1" applyAlignment="1">
      <alignment horizontal="center"/>
    </xf>
    <xf numFmtId="168" fontId="0" fillId="0" borderId="15" xfId="3" applyNumberFormat="1" applyFont="1" applyBorder="1" applyAlignment="1">
      <alignment horizontal="center"/>
    </xf>
    <xf numFmtId="168" fontId="0" fillId="0" borderId="22" xfId="3" applyNumberFormat="1" applyFont="1" applyBorder="1" applyAlignment="1">
      <alignment horizontal="center"/>
    </xf>
    <xf numFmtId="164" fontId="0" fillId="0" borderId="0" xfId="0" applyNumberFormat="1" applyFill="1" applyBorder="1"/>
    <xf numFmtId="164" fontId="0" fillId="0" borderId="3" xfId="0" applyNumberFormat="1" applyFill="1" applyBorder="1"/>
    <xf numFmtId="0" fontId="14" fillId="0" borderId="0" xfId="0" applyFont="1" applyFill="1"/>
    <xf numFmtId="164" fontId="14" fillId="0" borderId="0" xfId="0" applyNumberFormat="1" applyFont="1" applyFill="1"/>
    <xf numFmtId="9" fontId="3" fillId="0" borderId="0" xfId="1" applyFont="1" applyAlignment="1">
      <alignment horizontal="right"/>
    </xf>
    <xf numFmtId="0" fontId="0" fillId="3" borderId="0" xfId="0" applyFill="1"/>
    <xf numFmtId="9" fontId="0" fillId="0" borderId="0" xfId="0" applyNumberFormat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17" borderId="13" xfId="0" applyFill="1" applyBorder="1"/>
    <xf numFmtId="0" fontId="0" fillId="0" borderId="13" xfId="0" applyFill="1" applyBorder="1"/>
    <xf numFmtId="0" fontId="2" fillId="0" borderId="13" xfId="0" applyFont="1" applyBorder="1"/>
    <xf numFmtId="0" fontId="2" fillId="0" borderId="0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3" borderId="13" xfId="0" applyFill="1" applyBorder="1"/>
    <xf numFmtId="0" fontId="0" fillId="0" borderId="0" xfId="0" applyFill="1" applyBorder="1"/>
    <xf numFmtId="0" fontId="15" fillId="16" borderId="0" xfId="0" applyFont="1" applyFill="1"/>
    <xf numFmtId="0" fontId="16" fillId="0" borderId="0" xfId="0" applyFont="1"/>
    <xf numFmtId="0" fontId="17" fillId="0" borderId="0" xfId="0" applyFont="1"/>
    <xf numFmtId="0" fontId="2" fillId="18" borderId="0" xfId="0" applyFont="1" applyFill="1"/>
    <xf numFmtId="0" fontId="2" fillId="19" borderId="0" xfId="0" applyFont="1" applyFill="1"/>
    <xf numFmtId="0" fontId="18" fillId="0" borderId="0" xfId="0" applyFont="1"/>
    <xf numFmtId="10" fontId="18" fillId="0" borderId="0" xfId="0" applyNumberFormat="1" applyFont="1"/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</cellXfs>
  <cellStyles count="10">
    <cellStyle name="20 % - Accent1" xfId="4" builtinId="30"/>
    <cellStyle name="40 % - Accent1" xfId="5" builtinId="31"/>
    <cellStyle name="Accent1" xfId="7" builtinId="29"/>
    <cellStyle name="Lien hypertexte" xfId="2" builtinId="8"/>
    <cellStyle name="Milliers" xfId="3" builtinId="3"/>
    <cellStyle name="Milliers 2" xfId="6"/>
    <cellStyle name="Normal" xfId="0" builtinId="0"/>
    <cellStyle name="Normal 2 2" xfId="8"/>
    <cellStyle name="Normal 5" xfId="9"/>
    <cellStyle name="Pourcentage" xfId="1" builtinId="5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Capex et opex par macro-filière 2013-2050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'Synthèse format 3ME'!$A$29</c:f>
              <c:strCache>
                <c:ptCount val="1"/>
                <c:pt idx="0">
                  <c:v>Gaz de synthèse (méthanation) capex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3ME'!$B$29:$AM$29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229.2357668633519</c:v>
                </c:pt>
                <c:pt idx="30">
                  <c:v>457.86105415133483</c:v>
                </c:pt>
                <c:pt idx="31">
                  <c:v>685.87562248831978</c:v>
                </c:pt>
                <c:pt idx="32">
                  <c:v>913.26976665560892</c:v>
                </c:pt>
                <c:pt idx="33">
                  <c:v>1140.0480515012011</c:v>
                </c:pt>
                <c:pt idx="34">
                  <c:v>1366.2099593319431</c:v>
                </c:pt>
                <c:pt idx="35">
                  <c:v>1591.754738358911</c:v>
                </c:pt>
                <c:pt idx="36">
                  <c:v>1816.9890283861666</c:v>
                </c:pt>
                <c:pt idx="37">
                  <c:v>2041.6791823827152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5CE-8781-B5557E7F3184}"/>
            </c:ext>
          </c:extLst>
        </c:ser>
        <c:ser>
          <c:idx val="2"/>
          <c:order val="1"/>
          <c:tx>
            <c:strRef>
              <c:f>'Synthèse format 3ME'!$A$30</c:f>
              <c:strCache>
                <c:ptCount val="1"/>
                <c:pt idx="0">
                  <c:v>Eolien (terrestre, en mer posé, en mer flottant) capex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3ME'!$B$30:$AM$30</c:f>
              <c:numCache>
                <c:formatCode>General</c:formatCode>
                <c:ptCount val="38"/>
                <c:pt idx="0">
                  <c:v>1034.5345077084226</c:v>
                </c:pt>
                <c:pt idx="1">
                  <c:v>1463.9153269467263</c:v>
                </c:pt>
                <c:pt idx="2">
                  <c:v>1893.3082890287524</c:v>
                </c:pt>
                <c:pt idx="3">
                  <c:v>2321.2231104803059</c:v>
                </c:pt>
                <c:pt idx="4">
                  <c:v>2748.1854273378276</c:v>
                </c:pt>
                <c:pt idx="5">
                  <c:v>3341.4054176947102</c:v>
                </c:pt>
                <c:pt idx="6">
                  <c:v>3929.9643540236502</c:v>
                </c:pt>
                <c:pt idx="7">
                  <c:v>4513.4388613268111</c:v>
                </c:pt>
                <c:pt idx="8">
                  <c:v>5088.7572880099424</c:v>
                </c:pt>
                <c:pt idx="9">
                  <c:v>5654.2309656818015</c:v>
                </c:pt>
                <c:pt idx="10">
                  <c:v>6213.3067439502556</c:v>
                </c:pt>
                <c:pt idx="11">
                  <c:v>6708.8750255463347</c:v>
                </c:pt>
                <c:pt idx="12">
                  <c:v>7201.7289404562571</c:v>
                </c:pt>
                <c:pt idx="13">
                  <c:v>7690.1132298076927</c:v>
                </c:pt>
                <c:pt idx="14">
                  <c:v>8174.031284959713</c:v>
                </c:pt>
                <c:pt idx="15">
                  <c:v>8653.4865402214709</c:v>
                </c:pt>
                <c:pt idx="16">
                  <c:v>9128.4824735343191</c:v>
                </c:pt>
                <c:pt idx="17">
                  <c:v>9599.0226071669113</c:v>
                </c:pt>
                <c:pt idx="18">
                  <c:v>10072.42566306849</c:v>
                </c:pt>
                <c:pt idx="19">
                  <c:v>10545.321892747754</c:v>
                </c:pt>
                <c:pt idx="20">
                  <c:v>10974.022086704865</c:v>
                </c:pt>
                <c:pt idx="21">
                  <c:v>11393.606070570475</c:v>
                </c:pt>
                <c:pt idx="22">
                  <c:v>11835.49936833028</c:v>
                </c:pt>
                <c:pt idx="23">
                  <c:v>12275.572810229092</c:v>
                </c:pt>
                <c:pt idx="24">
                  <c:v>12713.186149665875</c:v>
                </c:pt>
                <c:pt idx="25">
                  <c:v>13092.341570982191</c:v>
                </c:pt>
                <c:pt idx="26">
                  <c:v>13476.067728667855</c:v>
                </c:pt>
                <c:pt idx="27">
                  <c:v>13865.897304572467</c:v>
                </c:pt>
                <c:pt idx="28">
                  <c:v>14271.466605797104</c:v>
                </c:pt>
                <c:pt idx="29">
                  <c:v>14656.35832818776</c:v>
                </c:pt>
                <c:pt idx="30">
                  <c:v>15054.330862927382</c:v>
                </c:pt>
                <c:pt idx="31">
                  <c:v>15470.112821906949</c:v>
                </c:pt>
                <c:pt idx="32">
                  <c:v>15888.626867840447</c:v>
                </c:pt>
                <c:pt idx="33">
                  <c:v>16310.151626041215</c:v>
                </c:pt>
                <c:pt idx="34">
                  <c:v>16734.682700351404</c:v>
                </c:pt>
                <c:pt idx="35">
                  <c:v>17162.215711969096</c:v>
                </c:pt>
                <c:pt idx="36">
                  <c:v>17598.063003052986</c:v>
                </c:pt>
                <c:pt idx="37">
                  <c:v>18037.156338444081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5CE-8781-B5557E7F3184}"/>
            </c:ext>
          </c:extLst>
        </c:ser>
        <c:ser>
          <c:idx val="3"/>
          <c:order val="2"/>
          <c:tx>
            <c:strRef>
              <c:f>'Synthèse format 3ME'!$A$31</c:f>
              <c:strCache>
                <c:ptCount val="1"/>
                <c:pt idx="0">
                  <c:v>Solaire (PV, CSP) capex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3ME'!$B$31:$AM$31</c:f>
              <c:numCache>
                <c:formatCode>General</c:formatCode>
                <c:ptCount val="38"/>
                <c:pt idx="0">
                  <c:v>719.78595118658552</c:v>
                </c:pt>
                <c:pt idx="1">
                  <c:v>1040.7781617792075</c:v>
                </c:pt>
                <c:pt idx="2">
                  <c:v>1355.0041767219566</c:v>
                </c:pt>
                <c:pt idx="3">
                  <c:v>1662.7117565852666</c:v>
                </c:pt>
                <c:pt idx="4">
                  <c:v>1964.0667601074515</c:v>
                </c:pt>
                <c:pt idx="5">
                  <c:v>2259.1153451248583</c:v>
                </c:pt>
                <c:pt idx="6">
                  <c:v>2547.6644046373617</c:v>
                </c:pt>
                <c:pt idx="7">
                  <c:v>2829.5936931568181</c:v>
                </c:pt>
                <c:pt idx="8">
                  <c:v>3104.0508036545793</c:v>
                </c:pt>
                <c:pt idx="9">
                  <c:v>3370.6037301036167</c:v>
                </c:pt>
                <c:pt idx="10">
                  <c:v>3630.2291829899841</c:v>
                </c:pt>
                <c:pt idx="11">
                  <c:v>3883.2461424204289</c:v>
                </c:pt>
                <c:pt idx="12">
                  <c:v>4129.9479041060213</c:v>
                </c:pt>
                <c:pt idx="13">
                  <c:v>4369.855061872322</c:v>
                </c:pt>
                <c:pt idx="14">
                  <c:v>4602.9685311263747</c:v>
                </c:pt>
                <c:pt idx="15">
                  <c:v>4829.2892388684522</c:v>
                </c:pt>
                <c:pt idx="16">
                  <c:v>5048.8181238761763</c:v>
                </c:pt>
                <c:pt idx="17">
                  <c:v>5261.5561368921462</c:v>
                </c:pt>
                <c:pt idx="18">
                  <c:v>5471.2464379437633</c:v>
                </c:pt>
                <c:pt idx="19">
                  <c:v>5676.9723759769649</c:v>
                </c:pt>
                <c:pt idx="20">
                  <c:v>5878.7368040310121</c:v>
                </c:pt>
                <c:pt idx="21">
                  <c:v>6076.4229366744748</c:v>
                </c:pt>
                <c:pt idx="22">
                  <c:v>6275.8063769608307</c:v>
                </c:pt>
                <c:pt idx="23">
                  <c:v>6470.334338280908</c:v>
                </c:pt>
                <c:pt idx="24">
                  <c:v>6659.8340031195885</c:v>
                </c:pt>
                <c:pt idx="25">
                  <c:v>6842.9879654483284</c:v>
                </c:pt>
                <c:pt idx="26">
                  <c:v>6883.4906346610733</c:v>
                </c:pt>
                <c:pt idx="27">
                  <c:v>6923.5803351348322</c:v>
                </c:pt>
                <c:pt idx="28">
                  <c:v>6965.8695607560967</c:v>
                </c:pt>
                <c:pt idx="29">
                  <c:v>7000.4845014429438</c:v>
                </c:pt>
                <c:pt idx="30">
                  <c:v>7036.5785006599617</c:v>
                </c:pt>
                <c:pt idx="31">
                  <c:v>7071.7325997689477</c:v>
                </c:pt>
                <c:pt idx="32">
                  <c:v>7105.8674473798956</c:v>
                </c:pt>
                <c:pt idx="33">
                  <c:v>7139.0585705788935</c:v>
                </c:pt>
                <c:pt idx="34">
                  <c:v>7171.304783447823</c:v>
                </c:pt>
                <c:pt idx="35">
                  <c:v>7202.6049047505494</c:v>
                </c:pt>
                <c:pt idx="36">
                  <c:v>7234.3978054202089</c:v>
                </c:pt>
                <c:pt idx="37">
                  <c:v>7265.310448487232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0-45CE-8781-B5557E7F3184}"/>
            </c:ext>
          </c:extLst>
        </c:ser>
        <c:ser>
          <c:idx val="4"/>
          <c:order val="3"/>
          <c:tx>
            <c:strRef>
              <c:f>'Synthèse format 3ME'!$A$32</c:f>
              <c:strCache>
                <c:ptCount val="1"/>
                <c:pt idx="0">
                  <c:v>Hydraulique et énergies marines capex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3ME'!$B$32:$AM$32</c:f>
              <c:numCache>
                <c:formatCode>General</c:formatCode>
                <c:ptCount val="38"/>
                <c:pt idx="0">
                  <c:v>4623.0411823691775</c:v>
                </c:pt>
                <c:pt idx="1">
                  <c:v>4612.977081852122</c:v>
                </c:pt>
                <c:pt idx="2">
                  <c:v>4602.6169577414421</c:v>
                </c:pt>
                <c:pt idx="3">
                  <c:v>4593.2511332536824</c:v>
                </c:pt>
                <c:pt idx="4">
                  <c:v>4584.8919607733324</c:v>
                </c:pt>
                <c:pt idx="5">
                  <c:v>4576.9965383655253</c:v>
                </c:pt>
                <c:pt idx="6">
                  <c:v>4568.3401196255945</c:v>
                </c:pt>
                <c:pt idx="7">
                  <c:v>4558.494116485308</c:v>
                </c:pt>
                <c:pt idx="8">
                  <c:v>4544.8919773601638</c:v>
                </c:pt>
                <c:pt idx="9">
                  <c:v>4527.1170002391391</c:v>
                </c:pt>
                <c:pt idx="10">
                  <c:v>4508.5973545980314</c:v>
                </c:pt>
                <c:pt idx="11">
                  <c:v>4490.1047601053961</c:v>
                </c:pt>
                <c:pt idx="12">
                  <c:v>4472.1276148373126</c:v>
                </c:pt>
                <c:pt idx="13">
                  <c:v>4453.4060740184495</c:v>
                </c:pt>
                <c:pt idx="14">
                  <c:v>4433.9401452191878</c:v>
                </c:pt>
                <c:pt idx="15">
                  <c:v>4413.7298356079036</c:v>
                </c:pt>
                <c:pt idx="16">
                  <c:v>4392.7751519348403</c:v>
                </c:pt>
                <c:pt idx="17">
                  <c:v>4371.0761005333607</c:v>
                </c:pt>
                <c:pt idx="18">
                  <c:v>4350.9602551072758</c:v>
                </c:pt>
                <c:pt idx="19">
                  <c:v>4330.839280995111</c:v>
                </c:pt>
                <c:pt idx="20">
                  <c:v>4310.7132524021044</c:v>
                </c:pt>
                <c:pt idx="21">
                  <c:v>4290.4224752110513</c:v>
                </c:pt>
                <c:pt idx="22">
                  <c:v>4277.3549328721983</c:v>
                </c:pt>
                <c:pt idx="23">
                  <c:v>4262.5778494698861</c:v>
                </c:pt>
                <c:pt idx="24">
                  <c:v>4246.0901768804351</c:v>
                </c:pt>
                <c:pt idx="25">
                  <c:v>4226.6055925254759</c:v>
                </c:pt>
                <c:pt idx="26">
                  <c:v>4207.1217741721139</c:v>
                </c:pt>
                <c:pt idx="27">
                  <c:v>4188.0674870286703</c:v>
                </c:pt>
                <c:pt idx="28">
                  <c:v>4172.0155537231431</c:v>
                </c:pt>
                <c:pt idx="29">
                  <c:v>4149.079029790174</c:v>
                </c:pt>
                <c:pt idx="30">
                  <c:v>4128.5223313337438</c:v>
                </c:pt>
                <c:pt idx="31">
                  <c:v>4109.7362543233021</c:v>
                </c:pt>
                <c:pt idx="32">
                  <c:v>4095.5427477350922</c:v>
                </c:pt>
                <c:pt idx="33">
                  <c:v>4082.0373548299444</c:v>
                </c:pt>
                <c:pt idx="34">
                  <c:v>4069.2202648473162</c:v>
                </c:pt>
                <c:pt idx="35">
                  <c:v>4057.0916528546568</c:v>
                </c:pt>
                <c:pt idx="36">
                  <c:v>4046.7668303335568</c:v>
                </c:pt>
                <c:pt idx="37">
                  <c:v>4037.1183647510197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5CE-8781-B5557E7F3184}"/>
            </c:ext>
          </c:extLst>
        </c:ser>
        <c:ser>
          <c:idx val="5"/>
          <c:order val="4"/>
          <c:tx>
            <c:strRef>
              <c:f>'Synthèse format 3ME'!$A$33</c:f>
              <c:strCache>
                <c:ptCount val="1"/>
                <c:pt idx="0">
                  <c:v>Autres (géothermie et cogé biogaz et biomasse) capex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3ME'!$B$33:$AM$33</c:f>
              <c:numCache>
                <c:formatCode>General</c:formatCode>
                <c:ptCount val="38"/>
                <c:pt idx="0">
                  <c:v>377.3362960506218</c:v>
                </c:pt>
                <c:pt idx="1">
                  <c:v>429.6393354564139</c:v>
                </c:pt>
                <c:pt idx="2">
                  <c:v>481.94670427295955</c:v>
                </c:pt>
                <c:pt idx="3">
                  <c:v>534.01908094600083</c:v>
                </c:pt>
                <c:pt idx="4">
                  <c:v>585.92246147095636</c:v>
                </c:pt>
                <c:pt idx="5">
                  <c:v>637.64716003780541</c:v>
                </c:pt>
                <c:pt idx="6">
                  <c:v>689.05419124706373</c:v>
                </c:pt>
                <c:pt idx="7">
                  <c:v>740.07416230031095</c:v>
                </c:pt>
                <c:pt idx="8">
                  <c:v>790.23937400747207</c:v>
                </c:pt>
                <c:pt idx="9">
                  <c:v>839.35818478866338</c:v>
                </c:pt>
                <c:pt idx="10">
                  <c:v>887.99151951916201</c:v>
                </c:pt>
                <c:pt idx="11">
                  <c:v>936.30470665352527</c:v>
                </c:pt>
                <c:pt idx="12">
                  <c:v>984.43840559790829</c:v>
                </c:pt>
                <c:pt idx="13">
                  <c:v>1032.1390036307712</c:v>
                </c:pt>
                <c:pt idx="14">
                  <c:v>1079.4068618102494</c:v>
                </c:pt>
                <c:pt idx="15">
                  <c:v>1126.2423457671232</c:v>
                </c:pt>
                <c:pt idx="16">
                  <c:v>1172.6458257774352</c:v>
                </c:pt>
                <c:pt idx="17">
                  <c:v>1218.6176768364983</c:v>
                </c:pt>
                <c:pt idx="18">
                  <c:v>1264.726307860037</c:v>
                </c:pt>
                <c:pt idx="19">
                  <c:v>1310.5289276173598</c:v>
                </c:pt>
                <c:pt idx="20">
                  <c:v>1348.3656379740694</c:v>
                </c:pt>
                <c:pt idx="21">
                  <c:v>1386.061906149509</c:v>
                </c:pt>
                <c:pt idx="22">
                  <c:v>1426.2677072288136</c:v>
                </c:pt>
                <c:pt idx="23">
                  <c:v>1465.9420452211073</c:v>
                </c:pt>
                <c:pt idx="24">
                  <c:v>1505.0167568209752</c:v>
                </c:pt>
                <c:pt idx="25">
                  <c:v>1542.9066240193526</c:v>
                </c:pt>
                <c:pt idx="26">
                  <c:v>1580.734000623311</c:v>
                </c:pt>
                <c:pt idx="27">
                  <c:v>1618.6846809638023</c:v>
                </c:pt>
                <c:pt idx="28">
                  <c:v>1657.9202982458951</c:v>
                </c:pt>
                <c:pt idx="29">
                  <c:v>1694.0421095756826</c:v>
                </c:pt>
                <c:pt idx="30">
                  <c:v>1731.1329609208558</c:v>
                </c:pt>
                <c:pt idx="31">
                  <c:v>1768.1149574143485</c:v>
                </c:pt>
                <c:pt idx="32">
                  <c:v>1804.9533371912423</c:v>
                </c:pt>
                <c:pt idx="33">
                  <c:v>1841.6815587997728</c:v>
                </c:pt>
                <c:pt idx="34">
                  <c:v>1878.2991626085939</c:v>
                </c:pt>
                <c:pt idx="35">
                  <c:v>1914.8056908009755</c:v>
                </c:pt>
                <c:pt idx="36">
                  <c:v>1951.8254416239436</c:v>
                </c:pt>
                <c:pt idx="37">
                  <c:v>1988.7594379420857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5CE-8781-B5557E7F3184}"/>
            </c:ext>
          </c:extLst>
        </c:ser>
        <c:ser>
          <c:idx val="9"/>
          <c:order val="5"/>
          <c:tx>
            <c:strRef>
              <c:f>'Synthèse format 3ME'!$A$38</c:f>
              <c:strCache>
                <c:ptCount val="1"/>
                <c:pt idx="0">
                  <c:v>Gaz de synthèse (méthanation) opex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3ME'!$B$38:$AM$38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218.24463956088252</c:v>
                </c:pt>
                <c:pt idx="30">
                  <c:v>437.6554312968542</c:v>
                </c:pt>
                <c:pt idx="31">
                  <c:v>658.23135516774039</c:v>
                </c:pt>
                <c:pt idx="32">
                  <c:v>879.9713737252705</c:v>
                </c:pt>
                <c:pt idx="33">
                  <c:v>1102.8744292180209</c:v>
                </c:pt>
                <c:pt idx="34">
                  <c:v>1326.9394413776279</c:v>
                </c:pt>
                <c:pt idx="35">
                  <c:v>1552.1653059231962</c:v>
                </c:pt>
                <c:pt idx="36">
                  <c:v>1778.6702834019552</c:v>
                </c:pt>
                <c:pt idx="37">
                  <c:v>2006.3628245950299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5CE-8781-B5557E7F3184}"/>
            </c:ext>
          </c:extLst>
        </c:ser>
        <c:ser>
          <c:idx val="10"/>
          <c:order val="6"/>
          <c:tx>
            <c:strRef>
              <c:f>'Synthèse format 3ME'!$A$39</c:f>
              <c:strCache>
                <c:ptCount val="1"/>
                <c:pt idx="0">
                  <c:v>Eolien (terrestre, en mer posé, en mer flottant)opex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3ME'!$B$39:$AM$39</c:f>
              <c:numCache>
                <c:formatCode>General</c:formatCode>
                <c:ptCount val="38"/>
                <c:pt idx="0">
                  <c:v>632.63781913364824</c:v>
                </c:pt>
                <c:pt idx="1">
                  <c:v>901.15598806043511</c:v>
                </c:pt>
                <c:pt idx="2">
                  <c:v>1167.3241924361828</c:v>
                </c:pt>
                <c:pt idx="3">
                  <c:v>1433.2905385732679</c:v>
                </c:pt>
                <c:pt idx="4">
                  <c:v>1699.0692413002635</c:v>
                </c:pt>
                <c:pt idx="5">
                  <c:v>2095.4955014034035</c:v>
                </c:pt>
                <c:pt idx="6">
                  <c:v>2488.4947957734985</c:v>
                </c:pt>
                <c:pt idx="7">
                  <c:v>2878.0661219739923</c:v>
                </c:pt>
                <c:pt idx="8">
                  <c:v>3264.2084708368466</c:v>
                </c:pt>
                <c:pt idx="9">
                  <c:v>3646.920826405948</c:v>
                </c:pt>
                <c:pt idx="10">
                  <c:v>4026.2021658799331</c:v>
                </c:pt>
                <c:pt idx="11">
                  <c:v>4356.8420137272069</c:v>
                </c:pt>
                <c:pt idx="12">
                  <c:v>4689.9638592441215</c:v>
                </c:pt>
                <c:pt idx="13">
                  <c:v>5021.7029255583639</c:v>
                </c:pt>
                <c:pt idx="14">
                  <c:v>5352.0682506475659</c:v>
                </c:pt>
                <c:pt idx="15">
                  <c:v>5681.0689869514308</c:v>
                </c:pt>
                <c:pt idx="16">
                  <c:v>6008.7144031895104</c:v>
                </c:pt>
                <c:pt idx="17">
                  <c:v>6335.0138862137201</c:v>
                </c:pt>
                <c:pt idx="18">
                  <c:v>6663.6933460488417</c:v>
                </c:pt>
                <c:pt idx="19">
                  <c:v>6993.0674752849372</c:v>
                </c:pt>
                <c:pt idx="20">
                  <c:v>7306.4295230805337</c:v>
                </c:pt>
                <c:pt idx="21">
                  <c:v>7617.379759480762</c:v>
                </c:pt>
                <c:pt idx="22">
                  <c:v>7929.8155975196987</c:v>
                </c:pt>
                <c:pt idx="23">
                  <c:v>8243.7510372240031</c:v>
                </c:pt>
                <c:pt idx="24">
                  <c:v>8559.2002611251355</c:v>
                </c:pt>
                <c:pt idx="25">
                  <c:v>8842.7639287847487</c:v>
                </c:pt>
                <c:pt idx="26">
                  <c:v>9129.7229681807985</c:v>
                </c:pt>
                <c:pt idx="27">
                  <c:v>9420.0921274972789</c:v>
                </c:pt>
                <c:pt idx="28">
                  <c:v>9713.8863497153761</c:v>
                </c:pt>
                <c:pt idx="29">
                  <c:v>9990.5534737721973</c:v>
                </c:pt>
                <c:pt idx="30">
                  <c:v>10277.035599761823</c:v>
                </c:pt>
                <c:pt idx="31">
                  <c:v>10574.85949492134</c:v>
                </c:pt>
                <c:pt idx="32">
                  <c:v>10874.360852897677</c:v>
                </c:pt>
                <c:pt idx="33">
                  <c:v>11175.535541195324</c:v>
                </c:pt>
                <c:pt idx="34">
                  <c:v>11478.379443649883</c:v>
                </c:pt>
                <c:pt idx="35">
                  <c:v>11782.888460347483</c:v>
                </c:pt>
                <c:pt idx="36">
                  <c:v>12091.121880052517</c:v>
                </c:pt>
                <c:pt idx="37">
                  <c:v>12401.107271582739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0-45CE-8781-B5557E7F3184}"/>
            </c:ext>
          </c:extLst>
        </c:ser>
        <c:ser>
          <c:idx val="11"/>
          <c:order val="7"/>
          <c:tx>
            <c:strRef>
              <c:f>'Synthèse format 3ME'!$A$40</c:f>
              <c:strCache>
                <c:ptCount val="1"/>
                <c:pt idx="0">
                  <c:v>Solaire (PV, CSP)opex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3ME'!$B$40:$AM$40</c:f>
              <c:numCache>
                <c:formatCode>General</c:formatCode>
                <c:ptCount val="38"/>
                <c:pt idx="0">
                  <c:v>220.10255930259791</c:v>
                </c:pt>
                <c:pt idx="1">
                  <c:v>320.64245452568457</c:v>
                </c:pt>
                <c:pt idx="2">
                  <c:v>419.19970947447882</c:v>
                </c:pt>
                <c:pt idx="3">
                  <c:v>516.65074867637964</c:v>
                </c:pt>
                <c:pt idx="4">
                  <c:v>613.00005746604677</c:v>
                </c:pt>
                <c:pt idx="5">
                  <c:v>707.27749443790935</c:v>
                </c:pt>
                <c:pt idx="6">
                  <c:v>800.17846615161784</c:v>
                </c:pt>
                <c:pt idx="7">
                  <c:v>891.70272561294723</c:v>
                </c:pt>
                <c:pt idx="8">
                  <c:v>981.85002416907719</c:v>
                </c:pt>
                <c:pt idx="9">
                  <c:v>1070.6201114946457</c:v>
                </c:pt>
                <c:pt idx="10">
                  <c:v>1158.0127355776649</c:v>
                </c:pt>
                <c:pt idx="11">
                  <c:v>1244.751006864281</c:v>
                </c:pt>
                <c:pt idx="12">
                  <c:v>1331.4644743899673</c:v>
                </c:pt>
                <c:pt idx="13">
                  <c:v>1417.0975636027085</c:v>
                </c:pt>
                <c:pt idx="14">
                  <c:v>1501.6527140638141</c:v>
                </c:pt>
                <c:pt idx="15">
                  <c:v>1585.1323962305798</c:v>
                </c:pt>
                <c:pt idx="16">
                  <c:v>1667.5391119469487</c:v>
                </c:pt>
                <c:pt idx="17">
                  <c:v>1748.87539494355</c:v>
                </c:pt>
                <c:pt idx="18">
                  <c:v>1830.2111512587994</c:v>
                </c:pt>
                <c:pt idx="19">
                  <c:v>1911.0879206181967</c:v>
                </c:pt>
                <c:pt idx="20">
                  <c:v>1991.5093388479836</c:v>
                </c:pt>
                <c:pt idx="21">
                  <c:v>2071.4790887122399</c:v>
                </c:pt>
                <c:pt idx="22">
                  <c:v>2151.0009006727814</c:v>
                </c:pt>
                <c:pt idx="23">
                  <c:v>2230.0785536638723</c:v>
                </c:pt>
                <c:pt idx="24">
                  <c:v>2308.7158758820879</c:v>
                </c:pt>
                <c:pt idx="25">
                  <c:v>2386.9167455916677</c:v>
                </c:pt>
                <c:pt idx="26">
                  <c:v>2436.6125116193562</c:v>
                </c:pt>
                <c:pt idx="27">
                  <c:v>2486.498721609486</c:v>
                </c:pt>
                <c:pt idx="28">
                  <c:v>2536.5794090217773</c:v>
                </c:pt>
                <c:pt idx="29">
                  <c:v>2581.2830668215747</c:v>
                </c:pt>
                <c:pt idx="30">
                  <c:v>2627.9148126420901</c:v>
                </c:pt>
                <c:pt idx="31">
                  <c:v>2674.4703487705074</c:v>
                </c:pt>
                <c:pt idx="32">
                  <c:v>2720.9485559875011</c:v>
                </c:pt>
                <c:pt idx="33">
                  <c:v>2767.3483195011386</c:v>
                </c:pt>
                <c:pt idx="34">
                  <c:v>2813.6685289250104</c:v>
                </c:pt>
                <c:pt idx="35">
                  <c:v>2859.9080782564906</c:v>
                </c:pt>
                <c:pt idx="36">
                  <c:v>2906.6247374071245</c:v>
                </c:pt>
                <c:pt idx="37">
                  <c:v>2953.2841575010666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0-45CE-8781-B5557E7F3184}"/>
            </c:ext>
          </c:extLst>
        </c:ser>
        <c:ser>
          <c:idx val="12"/>
          <c:order val="8"/>
          <c:tx>
            <c:strRef>
              <c:f>'Synthèse format 3ME'!$A$41</c:f>
              <c:strCache>
                <c:ptCount val="1"/>
                <c:pt idx="0">
                  <c:v>Hydraulique et énergies marines opex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3ME'!$B$41:$AM$41</c:f>
              <c:numCache>
                <c:formatCode>General</c:formatCode>
                <c:ptCount val="38"/>
                <c:pt idx="0">
                  <c:v>2341.8265040394026</c:v>
                </c:pt>
                <c:pt idx="1">
                  <c:v>2353.2808870746667</c:v>
                </c:pt>
                <c:pt idx="2">
                  <c:v>2351.479766200021</c:v>
                </c:pt>
                <c:pt idx="3">
                  <c:v>2349.4924961507741</c:v>
                </c:pt>
                <c:pt idx="4">
                  <c:v>2347.3194115129054</c:v>
                </c:pt>
                <c:pt idx="5">
                  <c:v>2340.5649901897614</c:v>
                </c:pt>
                <c:pt idx="6">
                  <c:v>2333.5988407684722</c:v>
                </c:pt>
                <c:pt idx="7">
                  <c:v>2326.4209734790311</c:v>
                </c:pt>
                <c:pt idx="8">
                  <c:v>2319.0313986289966</c:v>
                </c:pt>
                <c:pt idx="9">
                  <c:v>2311.4301265756067</c:v>
                </c:pt>
                <c:pt idx="10">
                  <c:v>2303.6171676993226</c:v>
                </c:pt>
                <c:pt idx="11">
                  <c:v>2297.3410500032733</c:v>
                </c:pt>
                <c:pt idx="12">
                  <c:v>2293.6291174443641</c:v>
                </c:pt>
                <c:pt idx="13">
                  <c:v>2289.7062972346903</c:v>
                </c:pt>
                <c:pt idx="14">
                  <c:v>2285.5726060200263</c:v>
                </c:pt>
                <c:pt idx="15">
                  <c:v>2281.2280605235046</c:v>
                </c:pt>
                <c:pt idx="16">
                  <c:v>2276.6726775442348</c:v>
                </c:pt>
                <c:pt idx="17">
                  <c:v>2271.9064739606347</c:v>
                </c:pt>
                <c:pt idx="18">
                  <c:v>2267.9370350367153</c:v>
                </c:pt>
                <c:pt idx="19">
                  <c:v>2263.9661982563307</c:v>
                </c:pt>
                <c:pt idx="20">
                  <c:v>2259.9940026352756</c:v>
                </c:pt>
                <c:pt idx="21">
                  <c:v>2256.0204916266157</c:v>
                </c:pt>
                <c:pt idx="22">
                  <c:v>2252.0457125617986</c:v>
                </c:pt>
                <c:pt idx="23">
                  <c:v>2248.0697160185291</c:v>
                </c:pt>
                <c:pt idx="24">
                  <c:v>2244.0925551328032</c:v>
                </c:pt>
                <c:pt idx="25">
                  <c:v>2240.1142848734307</c:v>
                </c:pt>
                <c:pt idx="26">
                  <c:v>2236.1349612978629</c:v>
                </c:pt>
                <c:pt idx="27">
                  <c:v>2232.154640808124</c:v>
                </c:pt>
                <c:pt idx="28">
                  <c:v>2228.1733794252041</c:v>
                </c:pt>
                <c:pt idx="29">
                  <c:v>2218.7886702594533</c:v>
                </c:pt>
                <c:pt idx="30">
                  <c:v>2211.3858053248232</c:v>
                </c:pt>
                <c:pt idx="31">
                  <c:v>2204.4330013922977</c:v>
                </c:pt>
                <c:pt idx="32">
                  <c:v>2198.7595558800799</c:v>
                </c:pt>
                <c:pt idx="33">
                  <c:v>2193.261617806505</c:v>
                </c:pt>
                <c:pt idx="34">
                  <c:v>2187.9393383345227</c:v>
                </c:pt>
                <c:pt idx="35">
                  <c:v>2182.7928644318772</c:v>
                </c:pt>
                <c:pt idx="36">
                  <c:v>2178.2551204162464</c:v>
                </c:pt>
                <c:pt idx="37">
                  <c:v>2173.8880071895596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0-45CE-8781-B5557E7F3184}"/>
            </c:ext>
          </c:extLst>
        </c:ser>
        <c:ser>
          <c:idx val="13"/>
          <c:order val="9"/>
          <c:tx>
            <c:strRef>
              <c:f>'Synthèse format 3ME'!$A$42</c:f>
              <c:strCache>
                <c:ptCount val="1"/>
                <c:pt idx="0">
                  <c:v>Autres (géothermie et cogé biogaz et biomasse) opex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3ME'!$B$42:$AM$42</c:f>
              <c:numCache>
                <c:formatCode>General</c:formatCode>
                <c:ptCount val="38"/>
                <c:pt idx="0">
                  <c:v>228.86199704887292</c:v>
                </c:pt>
                <c:pt idx="1">
                  <c:v>268.39474798430297</c:v>
                </c:pt>
                <c:pt idx="2">
                  <c:v>306.98702362405982</c:v>
                </c:pt>
                <c:pt idx="3">
                  <c:v>345.49422868307397</c:v>
                </c:pt>
                <c:pt idx="4">
                  <c:v>383.91814789773389</c:v>
                </c:pt>
                <c:pt idx="5">
                  <c:v>421.6507756569888</c:v>
                </c:pt>
                <c:pt idx="6">
                  <c:v>459.19051901616018</c:v>
                </c:pt>
                <c:pt idx="7">
                  <c:v>496.53728112289105</c:v>
                </c:pt>
                <c:pt idx="8">
                  <c:v>533.69096447444906</c:v>
                </c:pt>
                <c:pt idx="9">
                  <c:v>570.6514709122589</c:v>
                </c:pt>
                <c:pt idx="10">
                  <c:v>607.41870161637792</c:v>
                </c:pt>
                <c:pt idx="11">
                  <c:v>644.36740026811322</c:v>
                </c:pt>
                <c:pt idx="12">
                  <c:v>681.79841009590973</c:v>
                </c:pt>
                <c:pt idx="13">
                  <c:v>719.15326082081185</c:v>
                </c:pt>
                <c:pt idx="14">
                  <c:v>756.43291466335893</c:v>
                </c:pt>
                <c:pt idx="15">
                  <c:v>793.63834603019632</c:v>
                </c:pt>
                <c:pt idx="16">
                  <c:v>830.77054170760357</c:v>
                </c:pt>
                <c:pt idx="17">
                  <c:v>867.83050105872167</c:v>
                </c:pt>
                <c:pt idx="18">
                  <c:v>905.09671806437677</c:v>
                </c:pt>
                <c:pt idx="19">
                  <c:v>942.3475393255917</c:v>
                </c:pt>
                <c:pt idx="20">
                  <c:v>976.52479230631434</c:v>
                </c:pt>
                <c:pt idx="21">
                  <c:v>1010.7750977284393</c:v>
                </c:pt>
                <c:pt idx="22">
                  <c:v>1045.0995854277774</c:v>
                </c:pt>
                <c:pt idx="23">
                  <c:v>1079.4997459051629</c:v>
                </c:pt>
                <c:pt idx="24">
                  <c:v>1113.9770890916473</c:v>
                </c:pt>
                <c:pt idx="25">
                  <c:v>1148.5331446661505</c:v>
                </c:pt>
                <c:pt idx="26">
                  <c:v>1183.1694623793642</c:v>
                </c:pt>
                <c:pt idx="27">
                  <c:v>1217.8876123840519</c:v>
                </c:pt>
                <c:pt idx="28">
                  <c:v>1252.6891855718929</c:v>
                </c:pt>
                <c:pt idx="29">
                  <c:v>1285.1011573747533</c:v>
                </c:pt>
                <c:pt idx="30">
                  <c:v>1318.3815408833236</c:v>
                </c:pt>
                <c:pt idx="31">
                  <c:v>1351.6372078965414</c:v>
                </c:pt>
                <c:pt idx="32">
                  <c:v>1384.8677246337957</c:v>
                </c:pt>
                <c:pt idx="33">
                  <c:v>1418.0726590304207</c:v>
                </c:pt>
                <c:pt idx="34">
                  <c:v>1451.251580729217</c:v>
                </c:pt>
                <c:pt idx="35">
                  <c:v>1484.4040610720285</c:v>
                </c:pt>
                <c:pt idx="36">
                  <c:v>1517.7721354957753</c:v>
                </c:pt>
                <c:pt idx="37">
                  <c:v>1551.122732531785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30-45CE-8781-B5557E7F3184}"/>
            </c:ext>
          </c:extLst>
        </c:ser>
        <c:ser>
          <c:idx val="17"/>
          <c:order val="10"/>
          <c:tx>
            <c:strRef>
              <c:f>'Synthèse format 3ME'!$A$47</c:f>
              <c:strCache>
                <c:ptCount val="1"/>
                <c:pt idx="0">
                  <c:v>CAPEX + OPEX systèmes non-EnR M€</c:v>
                </c:pt>
              </c:strCache>
            </c:strRef>
          </c:tx>
          <c:invertIfNegative val="0"/>
          <c:cat>
            <c:numRef>
              <c:f>'Synthèse format 3ME'!$B$37:$AM$37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3ME'!$B$47:$AM$47</c:f>
              <c:numCache>
                <c:formatCode>General</c:formatCode>
                <c:ptCount val="38"/>
                <c:pt idx="0">
                  <c:v>11144.356689055627</c:v>
                </c:pt>
                <c:pt idx="1">
                  <c:v>10980.170976838514</c:v>
                </c:pt>
                <c:pt idx="2">
                  <c:v>10731.069839321857</c:v>
                </c:pt>
                <c:pt idx="3">
                  <c:v>10489.596680562872</c:v>
                </c:pt>
                <c:pt idx="4">
                  <c:v>10254.960840758342</c:v>
                </c:pt>
                <c:pt idx="5">
                  <c:v>9998.1039912371234</c:v>
                </c:pt>
                <c:pt idx="6">
                  <c:v>9737.9744468377939</c:v>
                </c:pt>
                <c:pt idx="7">
                  <c:v>9472.2580059560169</c:v>
                </c:pt>
                <c:pt idx="8">
                  <c:v>9187.771469777259</c:v>
                </c:pt>
                <c:pt idx="9">
                  <c:v>8883.888071384541</c:v>
                </c:pt>
                <c:pt idx="10">
                  <c:v>8579.0536660966882</c:v>
                </c:pt>
                <c:pt idx="11">
                  <c:v>8285.1585201252419</c:v>
                </c:pt>
                <c:pt idx="12">
                  <c:v>8007.8283700374841</c:v>
                </c:pt>
                <c:pt idx="13">
                  <c:v>7727.339602517799</c:v>
                </c:pt>
                <c:pt idx="14">
                  <c:v>7443.6750876333826</c:v>
                </c:pt>
                <c:pt idx="15">
                  <c:v>7156.8174785082529</c:v>
                </c:pt>
                <c:pt idx="16">
                  <c:v>6866.7492078779642</c:v>
                </c:pt>
                <c:pt idx="17">
                  <c:v>6573.4524845784836</c:v>
                </c:pt>
                <c:pt idx="18">
                  <c:v>6285.3542210769665</c:v>
                </c:pt>
                <c:pt idx="19">
                  <c:v>5993.195259558428</c:v>
                </c:pt>
                <c:pt idx="20">
                  <c:v>5696.9424689115067</c:v>
                </c:pt>
                <c:pt idx="21">
                  <c:v>5396.0845972273282</c:v>
                </c:pt>
                <c:pt idx="22">
                  <c:v>5111.4419189379623</c:v>
                </c:pt>
                <c:pt idx="23">
                  <c:v>4815.579533885857</c:v>
                </c:pt>
                <c:pt idx="24">
                  <c:v>4509.3602745538483</c:v>
                </c:pt>
                <c:pt idx="25">
                  <c:v>4190.7414611107761</c:v>
                </c:pt>
                <c:pt idx="26">
                  <c:v>3867.5707372080433</c:v>
                </c:pt>
                <c:pt idx="27">
                  <c:v>3540.6221785171342</c:v>
                </c:pt>
                <c:pt idx="28">
                  <c:v>3214.0348999189837</c:v>
                </c:pt>
                <c:pt idx="29">
                  <c:v>2862.6722357460158</c:v>
                </c:pt>
                <c:pt idx="30">
                  <c:v>2515.7649481385288</c:v>
                </c:pt>
                <c:pt idx="31">
                  <c:v>2165.7043039481514</c:v>
                </c:pt>
                <c:pt idx="32">
                  <c:v>1812.4402277571669</c:v>
                </c:pt>
                <c:pt idx="33">
                  <c:v>1456.0831199380591</c:v>
                </c:pt>
                <c:pt idx="34">
                  <c:v>1096.6468027185761</c:v>
                </c:pt>
                <c:pt idx="35">
                  <c:v>734.14504375660135</c:v>
                </c:pt>
                <c:pt idx="36">
                  <c:v>368.89440037879967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30-45CE-8781-B5557E7F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31392"/>
        <c:axId val="145132928"/>
      </c:barChart>
      <c:catAx>
        <c:axId val="1451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132928"/>
        <c:crosses val="autoZero"/>
        <c:auto val="1"/>
        <c:lblAlgn val="ctr"/>
        <c:lblOffset val="100"/>
        <c:noMultiLvlLbl val="0"/>
      </c:catAx>
      <c:valAx>
        <c:axId val="14513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Coûts annuels système élec (M€)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313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'Synthèse format 3ME'!$A$102</c:f>
              <c:strCache>
                <c:ptCount val="1"/>
                <c:pt idx="0">
                  <c:v>Gaz de synthèse (méthanation)</c:v>
                </c:pt>
              </c:strCache>
            </c:strRef>
          </c:tx>
          <c:cat>
            <c:numRef>
              <c:f>'Synthèse format 3ME'!$B$101:$AM$101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3ME'!$B$102:$AM$102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1.9864956257566664</c:v>
                </c:pt>
                <c:pt idx="30">
                  <c:v>3.9729912515133328</c:v>
                </c:pt>
                <c:pt idx="31">
                  <c:v>5.9594868772699989</c:v>
                </c:pt>
                <c:pt idx="32">
                  <c:v>7.9459825030266655</c:v>
                </c:pt>
                <c:pt idx="33">
                  <c:v>9.9324781287833321</c:v>
                </c:pt>
                <c:pt idx="34">
                  <c:v>11.918973754539998</c:v>
                </c:pt>
                <c:pt idx="35">
                  <c:v>13.905469380296665</c:v>
                </c:pt>
                <c:pt idx="36">
                  <c:v>15.891965006053331</c:v>
                </c:pt>
                <c:pt idx="37">
                  <c:v>17.878460631809997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3-4D9B-8878-4AB3CF861830}"/>
            </c:ext>
          </c:extLst>
        </c:ser>
        <c:ser>
          <c:idx val="2"/>
          <c:order val="1"/>
          <c:tx>
            <c:strRef>
              <c:f>'Synthèse format 3ME'!$A$103</c:f>
              <c:strCache>
                <c:ptCount val="1"/>
                <c:pt idx="0">
                  <c:v>Eolien (terrestre, en mer posé, en mer flottant)</c:v>
                </c:pt>
              </c:strCache>
            </c:strRef>
          </c:tx>
          <c:cat>
            <c:numRef>
              <c:f>'Synthèse format 3ME'!$B$101:$AM$101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3ME'!$B$103:$AM$103</c:f>
              <c:numCache>
                <c:formatCode>General</c:formatCode>
                <c:ptCount val="38"/>
                <c:pt idx="0">
                  <c:v>14.786999999999999</c:v>
                </c:pt>
                <c:pt idx="1">
                  <c:v>20.953004346763439</c:v>
                </c:pt>
                <c:pt idx="2">
                  <c:v>27.119008693526883</c:v>
                </c:pt>
                <c:pt idx="3">
                  <c:v>33.28501304029033</c:v>
                </c:pt>
                <c:pt idx="4">
                  <c:v>39.451017387053774</c:v>
                </c:pt>
                <c:pt idx="5">
                  <c:v>47.371309892200024</c:v>
                </c:pt>
                <c:pt idx="6">
                  <c:v>55.291602397346274</c:v>
                </c:pt>
                <c:pt idx="7">
                  <c:v>63.211894902492524</c:v>
                </c:pt>
                <c:pt idx="8">
                  <c:v>71.132187407638781</c:v>
                </c:pt>
                <c:pt idx="9">
                  <c:v>79.05247991278506</c:v>
                </c:pt>
                <c:pt idx="10">
                  <c:v>86.972772417931324</c:v>
                </c:pt>
                <c:pt idx="11">
                  <c:v>94.191349659724494</c:v>
                </c:pt>
                <c:pt idx="12">
                  <c:v>101.40992690151768</c:v>
                </c:pt>
                <c:pt idx="13">
                  <c:v>108.62850414331086</c:v>
                </c:pt>
                <c:pt idx="14">
                  <c:v>115.84708138510408</c:v>
                </c:pt>
                <c:pt idx="15">
                  <c:v>123.06565862689726</c:v>
                </c:pt>
                <c:pt idx="16">
                  <c:v>130.28423586869047</c:v>
                </c:pt>
                <c:pt idx="17">
                  <c:v>137.50281311048371</c:v>
                </c:pt>
                <c:pt idx="18">
                  <c:v>144.72139035227696</c:v>
                </c:pt>
                <c:pt idx="19">
                  <c:v>151.93996759407025</c:v>
                </c:pt>
                <c:pt idx="20">
                  <c:v>159.15854483586352</c:v>
                </c:pt>
                <c:pt idx="21">
                  <c:v>166.37712207765682</c:v>
                </c:pt>
                <c:pt idx="22">
                  <c:v>173.59569931945018</c:v>
                </c:pt>
                <c:pt idx="23">
                  <c:v>180.8142765612435</c:v>
                </c:pt>
                <c:pt idx="24">
                  <c:v>188.03285380303689</c:v>
                </c:pt>
                <c:pt idx="25">
                  <c:v>195.25143104483027</c:v>
                </c:pt>
                <c:pt idx="26">
                  <c:v>202.47000828662368</c:v>
                </c:pt>
                <c:pt idx="27">
                  <c:v>209.68858552841709</c:v>
                </c:pt>
                <c:pt idx="28">
                  <c:v>216.90716277021056</c:v>
                </c:pt>
                <c:pt idx="29">
                  <c:v>224.12574001200403</c:v>
                </c:pt>
                <c:pt idx="30">
                  <c:v>231.3443172537975</c:v>
                </c:pt>
                <c:pt idx="31">
                  <c:v>238.56289449559102</c:v>
                </c:pt>
                <c:pt idx="32">
                  <c:v>245.78147173738452</c:v>
                </c:pt>
                <c:pt idx="33">
                  <c:v>253.0000489791781</c:v>
                </c:pt>
                <c:pt idx="34">
                  <c:v>260.21862622097171</c:v>
                </c:pt>
                <c:pt idx="35">
                  <c:v>267.4372034627653</c:v>
                </c:pt>
                <c:pt idx="36">
                  <c:v>274.65578070455888</c:v>
                </c:pt>
                <c:pt idx="37">
                  <c:v>281.87435794635252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3-4D9B-8878-4AB3CF861830}"/>
            </c:ext>
          </c:extLst>
        </c:ser>
        <c:ser>
          <c:idx val="3"/>
          <c:order val="2"/>
          <c:tx>
            <c:strRef>
              <c:f>'Synthèse format 3ME'!$A$104</c:f>
              <c:strCache>
                <c:ptCount val="1"/>
                <c:pt idx="0">
                  <c:v>Solaire (PV, CSP)</c:v>
                </c:pt>
              </c:strCache>
            </c:strRef>
          </c:tx>
          <c:cat>
            <c:numRef>
              <c:f>'Synthèse format 3ME'!$B$101:$AM$101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3ME'!$B$104:$AM$104</c:f>
              <c:numCache>
                <c:formatCode>General</c:formatCode>
                <c:ptCount val="38"/>
                <c:pt idx="0">
                  <c:v>4.2779999999999996</c:v>
                </c:pt>
                <c:pt idx="1">
                  <c:v>6.2255962329049108</c:v>
                </c:pt>
                <c:pt idx="2">
                  <c:v>8.1731924658098229</c:v>
                </c:pt>
                <c:pt idx="3">
                  <c:v>10.120788698714733</c:v>
                </c:pt>
                <c:pt idx="4">
                  <c:v>12.068384931619645</c:v>
                </c:pt>
                <c:pt idx="5">
                  <c:v>14.015981164524558</c:v>
                </c:pt>
                <c:pt idx="6">
                  <c:v>15.963577397429471</c:v>
                </c:pt>
                <c:pt idx="7">
                  <c:v>17.911173630334389</c:v>
                </c:pt>
                <c:pt idx="8">
                  <c:v>19.85876986323931</c:v>
                </c:pt>
                <c:pt idx="9">
                  <c:v>21.806366096144231</c:v>
                </c:pt>
                <c:pt idx="10">
                  <c:v>23.753962329049155</c:v>
                </c:pt>
                <c:pt idx="11">
                  <c:v>25.70155856195408</c:v>
                </c:pt>
                <c:pt idx="12">
                  <c:v>27.649154794859005</c:v>
                </c:pt>
                <c:pt idx="13">
                  <c:v>29.596751027763933</c:v>
                </c:pt>
                <c:pt idx="14">
                  <c:v>31.544347260668864</c:v>
                </c:pt>
                <c:pt idx="15">
                  <c:v>33.4919434935738</c:v>
                </c:pt>
                <c:pt idx="16">
                  <c:v>35.439539726478735</c:v>
                </c:pt>
                <c:pt idx="17">
                  <c:v>37.387135959383684</c:v>
                </c:pt>
                <c:pt idx="18">
                  <c:v>39.334732192288634</c:v>
                </c:pt>
                <c:pt idx="19">
                  <c:v>41.282328425193583</c:v>
                </c:pt>
                <c:pt idx="20">
                  <c:v>43.22992465809854</c:v>
                </c:pt>
                <c:pt idx="21">
                  <c:v>45.177520891003503</c:v>
                </c:pt>
                <c:pt idx="22">
                  <c:v>47.125117123908467</c:v>
                </c:pt>
                <c:pt idx="23">
                  <c:v>49.072713356813438</c:v>
                </c:pt>
                <c:pt idx="24">
                  <c:v>51.020309589718416</c:v>
                </c:pt>
                <c:pt idx="25">
                  <c:v>52.967905822623393</c:v>
                </c:pt>
                <c:pt idx="26">
                  <c:v>54.915502055528371</c:v>
                </c:pt>
                <c:pt idx="27">
                  <c:v>56.863098288433363</c:v>
                </c:pt>
                <c:pt idx="28">
                  <c:v>58.810694521338355</c:v>
                </c:pt>
                <c:pt idx="29">
                  <c:v>60.758290754243347</c:v>
                </c:pt>
                <c:pt idx="30">
                  <c:v>62.705886987148361</c:v>
                </c:pt>
                <c:pt idx="31">
                  <c:v>64.653483220053374</c:v>
                </c:pt>
                <c:pt idx="32">
                  <c:v>66.601079452958388</c:v>
                </c:pt>
                <c:pt idx="33">
                  <c:v>68.548675685863415</c:v>
                </c:pt>
                <c:pt idx="34">
                  <c:v>70.496271918768457</c:v>
                </c:pt>
                <c:pt idx="35">
                  <c:v>72.443868151673499</c:v>
                </c:pt>
                <c:pt idx="36">
                  <c:v>74.391464384578555</c:v>
                </c:pt>
                <c:pt idx="37">
                  <c:v>76.339060617483611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3-4D9B-8878-4AB3CF861830}"/>
            </c:ext>
          </c:extLst>
        </c:ser>
        <c:ser>
          <c:idx val="4"/>
          <c:order val="3"/>
          <c:tx>
            <c:strRef>
              <c:f>'Synthèse format 3ME'!$A$105</c:f>
              <c:strCache>
                <c:ptCount val="1"/>
                <c:pt idx="0">
                  <c:v>Hydraulique et énergies marines</c:v>
                </c:pt>
              </c:strCache>
            </c:strRef>
          </c:tx>
          <c:cat>
            <c:numRef>
              <c:f>'Synthèse format 3ME'!$B$101:$AM$101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3ME'!$B$105:$AM$105</c:f>
              <c:numCache>
                <c:formatCode>General</c:formatCode>
                <c:ptCount val="38"/>
                <c:pt idx="0">
                  <c:v>64.113902400000001</c:v>
                </c:pt>
                <c:pt idx="1">
                  <c:v>63.933172231476625</c:v>
                </c:pt>
                <c:pt idx="2">
                  <c:v>63.752442062953243</c:v>
                </c:pt>
                <c:pt idx="3">
                  <c:v>63.571711894429846</c:v>
                </c:pt>
                <c:pt idx="4">
                  <c:v>63.39098172590645</c:v>
                </c:pt>
                <c:pt idx="5">
                  <c:v>63.210251557383046</c:v>
                </c:pt>
                <c:pt idx="6">
                  <c:v>63.029521388859614</c:v>
                </c:pt>
                <c:pt idx="7">
                  <c:v>62.848791220336189</c:v>
                </c:pt>
                <c:pt idx="8">
                  <c:v>62.668061051812757</c:v>
                </c:pt>
                <c:pt idx="9">
                  <c:v>62.48733088328931</c:v>
                </c:pt>
                <c:pt idx="10">
                  <c:v>62.306600714765864</c:v>
                </c:pt>
                <c:pt idx="11">
                  <c:v>62.125870546242396</c:v>
                </c:pt>
                <c:pt idx="12">
                  <c:v>61.945140377718928</c:v>
                </c:pt>
                <c:pt idx="13">
                  <c:v>61.764410209195439</c:v>
                </c:pt>
                <c:pt idx="14">
                  <c:v>61.58368004067195</c:v>
                </c:pt>
                <c:pt idx="15">
                  <c:v>61.402949872148461</c:v>
                </c:pt>
                <c:pt idx="16">
                  <c:v>61.222219703624965</c:v>
                </c:pt>
                <c:pt idx="17">
                  <c:v>61.041489535101462</c:v>
                </c:pt>
                <c:pt idx="18">
                  <c:v>60.860759366577952</c:v>
                </c:pt>
                <c:pt idx="19">
                  <c:v>60.68002919805442</c:v>
                </c:pt>
                <c:pt idx="20">
                  <c:v>60.499299029530896</c:v>
                </c:pt>
                <c:pt idx="21">
                  <c:v>60.318568861007357</c:v>
                </c:pt>
                <c:pt idx="22">
                  <c:v>60.13783869248379</c:v>
                </c:pt>
                <c:pt idx="23">
                  <c:v>59.957108523960237</c:v>
                </c:pt>
                <c:pt idx="24">
                  <c:v>59.77637835543667</c:v>
                </c:pt>
                <c:pt idx="25">
                  <c:v>59.595648186913103</c:v>
                </c:pt>
                <c:pt idx="26">
                  <c:v>59.414918018389521</c:v>
                </c:pt>
                <c:pt idx="27">
                  <c:v>59.234187849865947</c:v>
                </c:pt>
                <c:pt idx="28">
                  <c:v>59.053457681342358</c:v>
                </c:pt>
                <c:pt idx="29">
                  <c:v>58.87272751281877</c:v>
                </c:pt>
                <c:pt idx="30">
                  <c:v>58.691997344295174</c:v>
                </c:pt>
                <c:pt idx="31">
                  <c:v>58.511267175771572</c:v>
                </c:pt>
                <c:pt idx="32">
                  <c:v>58.330537007247976</c:v>
                </c:pt>
                <c:pt idx="33">
                  <c:v>58.149806838724366</c:v>
                </c:pt>
                <c:pt idx="34">
                  <c:v>57.969076670200756</c:v>
                </c:pt>
                <c:pt idx="35">
                  <c:v>57.78834650167714</c:v>
                </c:pt>
                <c:pt idx="36">
                  <c:v>57.607616333153516</c:v>
                </c:pt>
                <c:pt idx="37">
                  <c:v>57.426886164629899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3-4D9B-8878-4AB3CF861830}"/>
            </c:ext>
          </c:extLst>
        </c:ser>
        <c:ser>
          <c:idx val="5"/>
          <c:order val="4"/>
          <c:tx>
            <c:strRef>
              <c:f>'Synthèse format 3ME'!$A$106</c:f>
              <c:strCache>
                <c:ptCount val="1"/>
                <c:pt idx="0">
                  <c:v>Autres (géothermie et cogé biogaz et biomasse)</c:v>
                </c:pt>
              </c:strCache>
            </c:strRef>
          </c:tx>
          <c:cat>
            <c:numRef>
              <c:f>'Synthèse format 3ME'!$B$101:$AM$101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3ME'!$B$106:$AM$106</c:f>
              <c:numCache>
                <c:formatCode>General</c:formatCode>
                <c:ptCount val="38"/>
                <c:pt idx="0">
                  <c:v>4.9778479942500011</c:v>
                </c:pt>
                <c:pt idx="1">
                  <c:v>5.7360800480370076</c:v>
                </c:pt>
                <c:pt idx="2">
                  <c:v>6.4943121018240157</c:v>
                </c:pt>
                <c:pt idx="3">
                  <c:v>7.2525441556110231</c:v>
                </c:pt>
                <c:pt idx="4">
                  <c:v>8.0107762093980313</c:v>
                </c:pt>
                <c:pt idx="5">
                  <c:v>8.7690082631850377</c:v>
                </c:pt>
                <c:pt idx="6">
                  <c:v>9.5272403169720494</c:v>
                </c:pt>
                <c:pt idx="7">
                  <c:v>10.285472370759061</c:v>
                </c:pt>
                <c:pt idx="8">
                  <c:v>11.043704424546073</c:v>
                </c:pt>
                <c:pt idx="9">
                  <c:v>11.801936478333086</c:v>
                </c:pt>
                <c:pt idx="10">
                  <c:v>12.5601685321201</c:v>
                </c:pt>
                <c:pt idx="11">
                  <c:v>13.318400585907115</c:v>
                </c:pt>
                <c:pt idx="12">
                  <c:v>14.076632639694134</c:v>
                </c:pt>
                <c:pt idx="13">
                  <c:v>14.834864693481149</c:v>
                </c:pt>
                <c:pt idx="14">
                  <c:v>15.593096747268172</c:v>
                </c:pt>
                <c:pt idx="15">
                  <c:v>16.351328801055196</c:v>
                </c:pt>
                <c:pt idx="16">
                  <c:v>17.109560854842218</c:v>
                </c:pt>
                <c:pt idx="17">
                  <c:v>17.867792908629241</c:v>
                </c:pt>
                <c:pt idx="18">
                  <c:v>18.62602496241627</c:v>
                </c:pt>
                <c:pt idx="19">
                  <c:v>19.3842570162033</c:v>
                </c:pt>
                <c:pt idx="20">
                  <c:v>20.142489069990326</c:v>
                </c:pt>
                <c:pt idx="21">
                  <c:v>20.900721123777362</c:v>
                </c:pt>
                <c:pt idx="22">
                  <c:v>21.658953177564396</c:v>
                </c:pt>
                <c:pt idx="23">
                  <c:v>22.417185231351432</c:v>
                </c:pt>
                <c:pt idx="24">
                  <c:v>23.175417285138472</c:v>
                </c:pt>
                <c:pt idx="25">
                  <c:v>23.933649338925505</c:v>
                </c:pt>
                <c:pt idx="26">
                  <c:v>24.691881392712553</c:v>
                </c:pt>
                <c:pt idx="27">
                  <c:v>25.450113446499593</c:v>
                </c:pt>
                <c:pt idx="28">
                  <c:v>26.208345500286647</c:v>
                </c:pt>
                <c:pt idx="29">
                  <c:v>26.966577554073691</c:v>
                </c:pt>
                <c:pt idx="30">
                  <c:v>27.724809607860745</c:v>
                </c:pt>
                <c:pt idx="31">
                  <c:v>28.483041661647803</c:v>
                </c:pt>
                <c:pt idx="32">
                  <c:v>29.241273715434858</c:v>
                </c:pt>
                <c:pt idx="33">
                  <c:v>29.999505769221926</c:v>
                </c:pt>
                <c:pt idx="34">
                  <c:v>30.757737823008988</c:v>
                </c:pt>
                <c:pt idx="35">
                  <c:v>31.515969876796063</c:v>
                </c:pt>
                <c:pt idx="36">
                  <c:v>32.274201930583132</c:v>
                </c:pt>
                <c:pt idx="37">
                  <c:v>33.032433984370208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3-4D9B-8878-4AB3CF861830}"/>
            </c:ext>
          </c:extLst>
        </c:ser>
        <c:ser>
          <c:idx val="6"/>
          <c:order val="5"/>
          <c:tx>
            <c:strRef>
              <c:f>'Synthèse format 3ME'!$A$107</c:f>
              <c:strCache>
                <c:ptCount val="1"/>
                <c:pt idx="0">
                  <c:v>Non-EnR</c:v>
                </c:pt>
              </c:strCache>
            </c:strRef>
          </c:tx>
          <c:cat>
            <c:numRef>
              <c:f>'Synthèse format 3ME'!$B$101:$AM$101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3ME'!$B$107:$AM$107</c:f>
              <c:numCache>
                <c:formatCode>General</c:formatCode>
                <c:ptCount val="38"/>
                <c:pt idx="0">
                  <c:v>417.01199999999994</c:v>
                </c:pt>
                <c:pt idx="1">
                  <c:v>405.74140540540583</c:v>
                </c:pt>
                <c:pt idx="2">
                  <c:v>394.47081081081177</c:v>
                </c:pt>
                <c:pt idx="3">
                  <c:v>383.2002162162176</c:v>
                </c:pt>
                <c:pt idx="4">
                  <c:v>371.92962162162343</c:v>
                </c:pt>
                <c:pt idx="5">
                  <c:v>360.6590270270292</c:v>
                </c:pt>
                <c:pt idx="6">
                  <c:v>349.38843243243497</c:v>
                </c:pt>
                <c:pt idx="7">
                  <c:v>338.11783783784068</c:v>
                </c:pt>
                <c:pt idx="8">
                  <c:v>326.84724324324628</c:v>
                </c:pt>
                <c:pt idx="9">
                  <c:v>315.57664864865194</c:v>
                </c:pt>
                <c:pt idx="10">
                  <c:v>304.3060540540576</c:v>
                </c:pt>
                <c:pt idx="11">
                  <c:v>293.03545945946314</c:v>
                </c:pt>
                <c:pt idx="12">
                  <c:v>281.76486486486863</c:v>
                </c:pt>
                <c:pt idx="13">
                  <c:v>270.49427027027411</c:v>
                </c:pt>
                <c:pt idx="14">
                  <c:v>259.22367567567949</c:v>
                </c:pt>
                <c:pt idx="15">
                  <c:v>247.95308108108495</c:v>
                </c:pt>
                <c:pt idx="16">
                  <c:v>236.68248648649035</c:v>
                </c:pt>
                <c:pt idx="17">
                  <c:v>225.41189189189572</c:v>
                </c:pt>
                <c:pt idx="18">
                  <c:v>214.14129729730107</c:v>
                </c:pt>
                <c:pt idx="19">
                  <c:v>202.87070270270641</c:v>
                </c:pt>
                <c:pt idx="20">
                  <c:v>191.60010810811175</c:v>
                </c:pt>
                <c:pt idx="21">
                  <c:v>180.32951351351704</c:v>
                </c:pt>
                <c:pt idx="22">
                  <c:v>169.0589189189223</c:v>
                </c:pt>
                <c:pt idx="23">
                  <c:v>157.78832432432759</c:v>
                </c:pt>
                <c:pt idx="24">
                  <c:v>146.51772972973282</c:v>
                </c:pt>
                <c:pt idx="25">
                  <c:v>135.24713513513805</c:v>
                </c:pt>
                <c:pt idx="26">
                  <c:v>123.97654054054324</c:v>
                </c:pt>
                <c:pt idx="27">
                  <c:v>112.70594594594844</c:v>
                </c:pt>
                <c:pt idx="28">
                  <c:v>101.43535135135362</c:v>
                </c:pt>
                <c:pt idx="29">
                  <c:v>90.164756756758806</c:v>
                </c:pt>
                <c:pt idx="30">
                  <c:v>78.894162162163994</c:v>
                </c:pt>
                <c:pt idx="31">
                  <c:v>67.62356756756914</c:v>
                </c:pt>
                <c:pt idx="32">
                  <c:v>56.352972972974293</c:v>
                </c:pt>
                <c:pt idx="33">
                  <c:v>45.082378378379438</c:v>
                </c:pt>
                <c:pt idx="34">
                  <c:v>33.811783783784584</c:v>
                </c:pt>
                <c:pt idx="35">
                  <c:v>22.541189189189726</c:v>
                </c:pt>
                <c:pt idx="36">
                  <c:v>11.270594594594863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3-4D9B-8878-4AB3CF86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7984"/>
        <c:axId val="145819520"/>
      </c:areaChart>
      <c:catAx>
        <c:axId val="1458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19520"/>
        <c:crosses val="autoZero"/>
        <c:auto val="1"/>
        <c:lblAlgn val="ctr"/>
        <c:lblOffset val="100"/>
        <c:noMultiLvlLbl val="0"/>
      </c:catAx>
      <c:valAx>
        <c:axId val="1458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179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'Synthèse format 3ME'!$A$56</c:f>
              <c:strCache>
                <c:ptCount val="1"/>
                <c:pt idx="0">
                  <c:v>Gaz de synthèse (méthanation)</c:v>
                </c:pt>
              </c:strCache>
            </c:strRef>
          </c:tx>
          <c:marker>
            <c:symbol val="none"/>
          </c:marker>
          <c:cat>
            <c:numRef>
              <c:f>'Synthèse format 3ME'!$B$55:$AM$55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3ME'!$B$56:$AM$56</c:f>
              <c:numCache>
                <c:formatCode>General</c:formatCode>
                <c:ptCount val="38"/>
                <c:pt idx="29">
                  <c:v>225.26120904685445</c:v>
                </c:pt>
                <c:pt idx="30">
                  <c:v>225.40107157474415</c:v>
                </c:pt>
                <c:pt idx="31">
                  <c:v>225.5407227730631</c:v>
                </c:pt>
                <c:pt idx="32">
                  <c:v>225.67896917691735</c:v>
                </c:pt>
                <c:pt idx="33">
                  <c:v>225.81700675679883</c:v>
                </c:pt>
                <c:pt idx="34">
                  <c:v>225.95480585597701</c:v>
                </c:pt>
                <c:pt idx="35">
                  <c:v>226.09233520278579</c:v>
                </c:pt>
                <c:pt idx="36">
                  <c:v>226.25643275822196</c:v>
                </c:pt>
                <c:pt idx="37">
                  <c:v>226.42005317702376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3ED-AFE7-88BBC08447B6}"/>
            </c:ext>
          </c:extLst>
        </c:ser>
        <c:ser>
          <c:idx val="2"/>
          <c:order val="1"/>
          <c:tx>
            <c:strRef>
              <c:f>'Synthèse format 3ME'!$A$57</c:f>
              <c:strCache>
                <c:ptCount val="1"/>
                <c:pt idx="0">
                  <c:v>Eolien (terrestre, en mer posé, en mer flottant)</c:v>
                </c:pt>
              </c:strCache>
            </c:strRef>
          </c:tx>
          <c:marker>
            <c:symbol val="none"/>
          </c:marker>
          <c:cat>
            <c:numRef>
              <c:f>'Synthèse format 3ME'!$B$55:$AM$55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3ME'!$B$57:$AM$57</c:f>
              <c:numCache>
                <c:formatCode>General</c:formatCode>
                <c:ptCount val="38"/>
                <c:pt idx="0">
                  <c:v>112.74581232447899</c:v>
                </c:pt>
                <c:pt idx="1">
                  <c:v>112.87504530931329</c:v>
                </c:pt>
                <c:pt idx="2">
                  <c:v>112.85930529590068</c:v>
                </c:pt>
                <c:pt idx="3">
                  <c:v>112.79892378317136</c:v>
                </c:pt>
                <c:pt idx="4">
                  <c:v>112.72851660594942</c:v>
                </c:pt>
                <c:pt idx="5">
                  <c:v>114.77201984641199</c:v>
                </c:pt>
                <c:pt idx="6">
                  <c:v>116.08379702349164</c:v>
                </c:pt>
                <c:pt idx="7">
                  <c:v>116.93218491080778</c:v>
                </c:pt>
                <c:pt idx="8">
                  <c:v>117.42877680645846</c:v>
                </c:pt>
                <c:pt idx="9">
                  <c:v>117.65793814880037</c:v>
                </c:pt>
                <c:pt idx="10">
                  <c:v>117.73235031103931</c:v>
                </c:pt>
                <c:pt idx="11">
                  <c:v>117.48124513821632</c:v>
                </c:pt>
                <c:pt idx="12">
                  <c:v>117.26359699725225</c:v>
                </c:pt>
                <c:pt idx="13">
                  <c:v>117.02099974234827</c:v>
                </c:pt>
                <c:pt idx="14">
                  <c:v>116.75822449633591</c:v>
                </c:pt>
                <c:pt idx="15">
                  <c:v>116.47892423532635</c:v>
                </c:pt>
                <c:pt idx="16">
                  <c:v>116.18594357018104</c:v>
                </c:pt>
                <c:pt idx="17">
                  <c:v>115.88153095149849</c:v>
                </c:pt>
                <c:pt idx="18">
                  <c:v>115.64371354074694</c:v>
                </c:pt>
                <c:pt idx="19">
                  <c:v>115.42972955535342</c:v>
                </c:pt>
                <c:pt idx="20">
                  <c:v>114.85686570355114</c:v>
                </c:pt>
                <c:pt idx="21">
                  <c:v>114.26442285242693</c:v>
                </c:pt>
                <c:pt idx="22">
                  <c:v>113.85832162511076</c:v>
                </c:pt>
                <c:pt idx="23">
                  <c:v>113.48287445932405</c:v>
                </c:pt>
                <c:pt idx="24">
                  <c:v>113.13122138258716</c:v>
                </c:pt>
                <c:pt idx="25">
                  <c:v>112.34286674565054</c:v>
                </c:pt>
                <c:pt idx="26">
                  <c:v>111.65007048770947</c:v>
                </c:pt>
                <c:pt idx="27">
                  <c:v>111.05034340991355</c:v>
                </c:pt>
                <c:pt idx="28">
                  <c:v>110.57888844787639</c:v>
                </c:pt>
                <c:pt idx="29">
                  <c:v>109.96912626207005</c:v>
                </c:pt>
                <c:pt idx="30">
                  <c:v>109.49638514309949</c:v>
                </c:pt>
                <c:pt idx="31">
                  <c:v>109.17444798738235</c:v>
                </c:pt>
                <c:pt idx="32">
                  <c:v>108.88936229226486</c:v>
                </c:pt>
                <c:pt idx="33">
                  <c:v>108.63905868057206</c:v>
                </c:pt>
                <c:pt idx="34">
                  <c:v>108.42060982999503</c:v>
                </c:pt>
                <c:pt idx="35">
                  <c:v>108.23140459717881</c:v>
                </c:pt>
                <c:pt idx="36">
                  <c:v>108.09597674203515</c:v>
                </c:pt>
                <c:pt idx="37">
                  <c:v>107.98521664684361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43ED-AFE7-88BBC08447B6}"/>
            </c:ext>
          </c:extLst>
        </c:ser>
        <c:ser>
          <c:idx val="3"/>
          <c:order val="2"/>
          <c:tx>
            <c:strRef>
              <c:f>'Synthèse format 3ME'!$A$58</c:f>
              <c:strCache>
                <c:ptCount val="1"/>
                <c:pt idx="0">
                  <c:v>Solaire (PV, CSP)</c:v>
                </c:pt>
              </c:strCache>
            </c:strRef>
          </c:tx>
          <c:marker>
            <c:symbol val="none"/>
          </c:marker>
          <c:cat>
            <c:numRef>
              <c:f>'Synthèse format 3ME'!$B$55:$AM$55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3ME'!$B$58:$AM$58</c:f>
              <c:numCache>
                <c:formatCode>General</c:formatCode>
                <c:ptCount val="38"/>
                <c:pt idx="0">
                  <c:v>219.70278412556885</c:v>
                </c:pt>
                <c:pt idx="1">
                  <c:v>218.6811616707823</c:v>
                </c:pt>
                <c:pt idx="2">
                  <c:v>217.07599492099348</c:v>
                </c:pt>
                <c:pt idx="3">
                  <c:v>215.33524413353373</c:v>
                </c:pt>
                <c:pt idx="4">
                  <c:v>213.53866587578602</c:v>
                </c:pt>
                <c:pt idx="5">
                  <c:v>211.64360915887346</c:v>
                </c:pt>
                <c:pt idx="6">
                  <c:v>209.71758318583809</c:v>
                </c:pt>
                <c:pt idx="7">
                  <c:v>207.76396318705616</c:v>
                </c:pt>
                <c:pt idx="8">
                  <c:v>205.74793181863154</c:v>
                </c:pt>
                <c:pt idx="9">
                  <c:v>203.66638907266412</c:v>
                </c:pt>
                <c:pt idx="10">
                  <c:v>201.5765560389064</c:v>
                </c:pt>
                <c:pt idx="11">
                  <c:v>199.52086317736641</c:v>
                </c:pt>
                <c:pt idx="12">
                  <c:v>197.5254729852164</c:v>
                </c:pt>
                <c:pt idx="13">
                  <c:v>195.52661777120207</c:v>
                </c:pt>
                <c:pt idx="14">
                  <c:v>193.52504569976466</c:v>
                </c:pt>
                <c:pt idx="15">
                  <c:v>191.52133217738728</c:v>
                </c:pt>
                <c:pt idx="16">
                  <c:v>189.51592734160096</c:v>
                </c:pt>
                <c:pt idx="17">
                  <c:v>187.50918870735723</c:v>
                </c:pt>
                <c:pt idx="18">
                  <c:v>185.62367613205652</c:v>
                </c:pt>
                <c:pt idx="19">
                  <c:v>183.80892226913141</c:v>
                </c:pt>
                <c:pt idx="20">
                  <c:v>182.05551374711018</c:v>
                </c:pt>
                <c:pt idx="21">
                  <c:v>180.3530132838533</c:v>
                </c:pt>
                <c:pt idx="22">
                  <c:v>178.817747136343</c:v>
                </c:pt>
                <c:pt idx="23">
                  <c:v>177.29634855694772</c:v>
                </c:pt>
                <c:pt idx="24">
                  <c:v>175.78391725025935</c:v>
                </c:pt>
                <c:pt idx="25">
                  <c:v>174.25466549402003</c:v>
                </c:pt>
                <c:pt idx="26">
                  <c:v>169.71716177439865</c:v>
                </c:pt>
                <c:pt idx="27">
                  <c:v>165.48656932150391</c:v>
                </c:pt>
                <c:pt idx="28">
                  <c:v>161.57688745420424</c:v>
                </c:pt>
                <c:pt idx="29">
                  <c:v>157.70304676642553</c:v>
                </c:pt>
                <c:pt idx="30">
                  <c:v>154.12417840900329</c:v>
                </c:pt>
                <c:pt idx="31">
                  <c:v>150.74521066974015</c:v>
                </c:pt>
                <c:pt idx="32">
                  <c:v>147.54739839176725</c:v>
                </c:pt>
                <c:pt idx="33">
                  <c:v>144.51638621696961</c:v>
                </c:pt>
                <c:pt idx="34">
                  <c:v>141.63831704289743</c:v>
                </c:pt>
                <c:pt idx="35">
                  <c:v>138.90082404130416</c:v>
                </c:pt>
                <c:pt idx="36">
                  <c:v>136.31970585229641</c:v>
                </c:pt>
                <c:pt idx="37">
                  <c:v>133.85800825073261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2-43ED-AFE7-88BBC08447B6}"/>
            </c:ext>
          </c:extLst>
        </c:ser>
        <c:ser>
          <c:idx val="4"/>
          <c:order val="3"/>
          <c:tx>
            <c:strRef>
              <c:f>'Synthèse format 3ME'!$A$59</c:f>
              <c:strCache>
                <c:ptCount val="1"/>
                <c:pt idx="0">
                  <c:v>Hydraulique et énergies marines</c:v>
                </c:pt>
              </c:strCache>
            </c:strRef>
          </c:tx>
          <c:marker>
            <c:symbol val="none"/>
          </c:marker>
          <c:cat>
            <c:numRef>
              <c:f>'Synthèse format 3ME'!$B$55:$AM$55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3ME'!$B$59:$AM$59</c:f>
              <c:numCache>
                <c:formatCode>General</c:formatCode>
                <c:ptCount val="38"/>
                <c:pt idx="0">
                  <c:v>108.6327212303424</c:v>
                </c:pt>
                <c:pt idx="1">
                  <c:v>108.96155666583749</c:v>
                </c:pt>
                <c:pt idx="2">
                  <c:v>109.07969167792102</c:v>
                </c:pt>
                <c:pt idx="3">
                  <c:v>109.21121081234844</c:v>
                </c:pt>
                <c:pt idx="4">
                  <c:v>109.35642868350153</c:v>
                </c:pt>
                <c:pt idx="5">
                  <c:v>109.43733584536425</c:v>
                </c:pt>
                <c:pt idx="6">
                  <c:v>109.503274153276</c:v>
                </c:pt>
                <c:pt idx="7">
                  <c:v>109.54729528253146</c:v>
                </c:pt>
                <c:pt idx="8">
                  <c:v>109.52825507580647</c:v>
                </c:pt>
                <c:pt idx="9">
                  <c:v>109.43893794387601</c:v>
                </c:pt>
                <c:pt idx="10">
                  <c:v>109.33375347313638</c:v>
                </c:pt>
                <c:pt idx="11">
                  <c:v>109.25312998320953</c:v>
                </c:pt>
                <c:pt idx="12">
                  <c:v>109.22175155349643</c:v>
                </c:pt>
                <c:pt idx="13">
                  <c:v>109.17472292561825</c:v>
                </c:pt>
                <c:pt idx="14">
                  <c:v>109.11190670647515</c:v>
                </c:pt>
                <c:pt idx="15">
                  <c:v>109.03316388009804</c:v>
                </c:pt>
                <c:pt idx="16">
                  <c:v>108.93835378340876</c:v>
                </c:pt>
                <c:pt idx="17">
                  <c:v>108.82733408191156</c:v>
                </c:pt>
                <c:pt idx="18">
                  <c:v>108.75476019411612</c:v>
                </c:pt>
                <c:pt idx="19">
                  <c:v>108.68164643966404</c:v>
                </c:pt>
                <c:pt idx="20">
                  <c:v>108.60798985175164</c:v>
                </c:pt>
                <c:pt idx="21">
                  <c:v>108.53113875965288</c:v>
                </c:pt>
                <c:pt idx="22">
                  <c:v>108.57391598029048</c:v>
                </c:pt>
                <c:pt idx="23">
                  <c:v>108.58841805032361</c:v>
                </c:pt>
                <c:pt idx="24">
                  <c:v>108.5743718601004</c:v>
                </c:pt>
                <c:pt idx="25">
                  <c:v>108.50993443543022</c:v>
                </c:pt>
                <c:pt idx="26">
                  <c:v>108.44510015945362</c:v>
                </c:pt>
                <c:pt idx="27">
                  <c:v>108.38710482718848</c:v>
                </c:pt>
                <c:pt idx="28">
                  <c:v>108.37957986616684</c:v>
                </c:pt>
                <c:pt idx="29">
                  <c:v>108.16328661965096</c:v>
                </c:pt>
                <c:pt idx="30">
                  <c:v>108.01997586600794</c:v>
                </c:pt>
                <c:pt idx="31">
                  <c:v>107.91373286699523</c:v>
                </c:pt>
                <c:pt idx="32">
                  <c:v>107.90749796856937</c:v>
                </c:pt>
                <c:pt idx="33">
                  <c:v>107.91607597323036</c:v>
                </c:pt>
                <c:pt idx="34">
                  <c:v>107.93961129966311</c:v>
                </c:pt>
                <c:pt idx="35">
                  <c:v>107.97824985536555</c:v>
                </c:pt>
                <c:pt idx="36">
                  <c:v>108.05900932872424</c:v>
                </c:pt>
                <c:pt idx="37">
                  <c:v>108.15502609936098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2-43ED-AFE7-88BBC08447B6}"/>
            </c:ext>
          </c:extLst>
        </c:ser>
        <c:ser>
          <c:idx val="5"/>
          <c:order val="4"/>
          <c:tx>
            <c:strRef>
              <c:f>'Synthèse format 3ME'!$A$60</c:f>
              <c:strCache>
                <c:ptCount val="1"/>
                <c:pt idx="0">
                  <c:v>Autres (géothermie et cogé biogaz et biomasse)</c:v>
                </c:pt>
              </c:strCache>
            </c:strRef>
          </c:tx>
          <c:marker>
            <c:symbol val="none"/>
          </c:marker>
          <c:cat>
            <c:numRef>
              <c:f>'Synthèse format 3ME'!$B$55:$AM$55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'Synthèse format 3ME'!$B$60:$AM$60</c:f>
              <c:numCache>
                <c:formatCode>General</c:formatCode>
                <c:ptCount val="38"/>
                <c:pt idx="0">
                  <c:v>121.77918928013169</c:v>
                </c:pt>
                <c:pt idx="1">
                  <c:v>121.69183093593628</c:v>
                </c:pt>
                <c:pt idx="2">
                  <c:v>121.48072275051835</c:v>
                </c:pt>
                <c:pt idx="3">
                  <c:v>121.26962494239048</c:v>
                </c:pt>
                <c:pt idx="4">
                  <c:v>121.06699575890022</c:v>
                </c:pt>
                <c:pt idx="5">
                  <c:v>120.80019814122527</c:v>
                </c:pt>
                <c:pt idx="6">
                  <c:v>120.52227844171347</c:v>
                </c:pt>
                <c:pt idx="7">
                  <c:v>120.22894028074093</c:v>
                </c:pt>
                <c:pt idx="8">
                  <c:v>119.88100075725617</c:v>
                </c:pt>
                <c:pt idx="9">
                  <c:v>119.47273723168463</c:v>
                </c:pt>
                <c:pt idx="10">
                  <c:v>119.05972577607773</c:v>
                </c:pt>
                <c:pt idx="11">
                  <c:v>118.68332813132449</c:v>
                </c:pt>
                <c:pt idx="12">
                  <c:v>118.36899195587895</c:v>
                </c:pt>
                <c:pt idx="13">
                  <c:v>118.05245956986377</c:v>
                </c:pt>
                <c:pt idx="14">
                  <c:v>117.73413621609433</c:v>
                </c:pt>
                <c:pt idx="15">
                  <c:v>117.41435299578981</c:v>
                </c:pt>
                <c:pt idx="16">
                  <c:v>117.09338331252651</c:v>
                </c:pt>
                <c:pt idx="17">
                  <c:v>116.77145512961317</c:v>
                </c:pt>
                <c:pt idx="18">
                  <c:v>116.49415429769361</c:v>
                </c:pt>
                <c:pt idx="19">
                  <c:v>116.22196636475529</c:v>
                </c:pt>
                <c:pt idx="20">
                  <c:v>115.42220140728122</c:v>
                </c:pt>
                <c:pt idx="21">
                  <c:v>114.67723958821814</c:v>
                </c:pt>
                <c:pt idx="22">
                  <c:v>114.10372756226174</c:v>
                </c:pt>
                <c:pt idx="23">
                  <c:v>113.54867994606013</c:v>
                </c:pt>
                <c:pt idx="24">
                  <c:v>113.00740839700372</c:v>
                </c:pt>
                <c:pt idx="25">
                  <c:v>112.45421584363928</c:v>
                </c:pt>
                <c:pt idx="26">
                  <c:v>111.93571761681963</c:v>
                </c:pt>
                <c:pt idx="27">
                  <c:v>111.45617481473333</c:v>
                </c:pt>
                <c:pt idx="28">
                  <c:v>111.05659011500569</c:v>
                </c:pt>
                <c:pt idx="29">
                  <c:v>110.47539351171365</c:v>
                </c:pt>
                <c:pt idx="30">
                  <c:v>109.99226126117593</c:v>
                </c:pt>
                <c:pt idx="31">
                  <c:v>109.53016192479232</c:v>
                </c:pt>
                <c:pt idx="32">
                  <c:v>109.08625571058168</c:v>
                </c:pt>
                <c:pt idx="33">
                  <c:v>108.66026403590114</c:v>
                </c:pt>
                <c:pt idx="34">
                  <c:v>108.25083309108216</c:v>
                </c:pt>
                <c:pt idx="35">
                  <c:v>107.8567394613391</c:v>
                </c:pt>
                <c:pt idx="36">
                  <c:v>107.50374508352809</c:v>
                </c:pt>
                <c:pt idx="37">
                  <c:v>107.16383092292924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2-43ED-AFE7-88BBC084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77600"/>
        <c:axId val="145187584"/>
      </c:lineChart>
      <c:catAx>
        <c:axId val="1451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187584"/>
        <c:crosses val="autoZero"/>
        <c:auto val="1"/>
        <c:lblAlgn val="ctr"/>
        <c:lblOffset val="100"/>
        <c:noMultiLvlLbl val="0"/>
      </c:catAx>
      <c:valAx>
        <c:axId val="1451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Prix unitaire moyen du MWh élec par 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Synthèse!$A$59</c:f>
              <c:strCache>
                <c:ptCount val="1"/>
                <c:pt idx="0">
                  <c:v>Eolien terrestre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Synthèse!$B$59:$AM$59</c:f>
              <c:numCache>
                <c:formatCode>0.0</c:formatCode>
                <c:ptCount val="38"/>
                <c:pt idx="0">
                  <c:v>80</c:v>
                </c:pt>
                <c:pt idx="1">
                  <c:v>79.806138867823847</c:v>
                </c:pt>
                <c:pt idx="2">
                  <c:v>79.659702921306661</c:v>
                </c:pt>
                <c:pt idx="3">
                  <c:v>79.445485004059023</c:v>
                </c:pt>
                <c:pt idx="4">
                  <c:v>79.195267104519033</c:v>
                </c:pt>
                <c:pt idx="5">
                  <c:v>78.923647460725604</c:v>
                </c:pt>
                <c:pt idx="6">
                  <c:v>78.638271237016312</c:v>
                </c:pt>
                <c:pt idx="7">
                  <c:v>78.343529695726318</c:v>
                </c:pt>
                <c:pt idx="8">
                  <c:v>78.042124851560018</c:v>
                </c:pt>
                <c:pt idx="9">
                  <c:v>77.73581048996283</c:v>
                </c:pt>
                <c:pt idx="10">
                  <c:v>77.425774574698167</c:v>
                </c:pt>
                <c:pt idx="11">
                  <c:v>77.112850404501387</c:v>
                </c:pt>
                <c:pt idx="12">
                  <c:v>76.797639776486804</c:v>
                </c:pt>
                <c:pt idx="13">
                  <c:v>76.480588158044512</c:v>
                </c:pt>
                <c:pt idx="14">
                  <c:v>76.162032353720477</c:v>
                </c:pt>
                <c:pt idx="15">
                  <c:v>75.842231733492781</c:v>
                </c:pt>
                <c:pt idx="16">
                  <c:v>75.521389276890417</c:v>
                </c:pt>
                <c:pt idx="17">
                  <c:v>75.199666108000514</c:v>
                </c:pt>
                <c:pt idx="18">
                  <c:v>74.895761686356053</c:v>
                </c:pt>
                <c:pt idx="19">
                  <c:v>74.607177840709426</c:v>
                </c:pt>
                <c:pt idx="20">
                  <c:v>73.92499999999977</c:v>
                </c:pt>
                <c:pt idx="21">
                  <c:v>73.216174153348021</c:v>
                </c:pt>
                <c:pt idx="22">
                  <c:v>72.570731963285098</c:v>
                </c:pt>
                <c:pt idx="23">
                  <c:v>71.981186625701284</c:v>
                </c:pt>
                <c:pt idx="24">
                  <c:v>71.441185780265855</c:v>
                </c:pt>
                <c:pt idx="25">
                  <c:v>70.945304481156938</c:v>
                </c:pt>
                <c:pt idx="26">
                  <c:v>70.488881909219359</c:v>
                </c:pt>
                <c:pt idx="27">
                  <c:v>70.067891410269567</c:v>
                </c:pt>
                <c:pt idx="28">
                  <c:v>69.678836185296873</c:v>
                </c:pt>
                <c:pt idx="29">
                  <c:v>69.318664913647766</c:v>
                </c:pt>
                <c:pt idx="30">
                  <c:v>68.984703002439204</c:v>
                </c:pt>
                <c:pt idx="31">
                  <c:v>68.674596187061056</c:v>
                </c:pt>
                <c:pt idx="32">
                  <c:v>68.38626396932915</c:v>
                </c:pt>
                <c:pt idx="33">
                  <c:v>68.117860947889611</c:v>
                </c:pt>
                <c:pt idx="34">
                  <c:v>67.86774452305643</c:v>
                </c:pt>
                <c:pt idx="35">
                  <c:v>67.634447782947333</c:v>
                </c:pt>
                <c:pt idx="36">
                  <c:v>67.416656626365253</c:v>
                </c:pt>
                <c:pt idx="37">
                  <c:v>67.213190369668482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C62-B96A-1707DB08B6A4}"/>
            </c:ext>
          </c:extLst>
        </c:ser>
        <c:ser>
          <c:idx val="2"/>
          <c:order val="1"/>
          <c:tx>
            <c:strRef>
              <c:f>Synthèse!$A$60</c:f>
              <c:strCache>
                <c:ptCount val="1"/>
                <c:pt idx="0">
                  <c:v>Eolien en mer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Synthèse!$B$60:$AM$60</c:f>
              <c:numCache>
                <c:formatCode>0.0</c:formatCode>
                <c:ptCount val="38"/>
                <c:pt idx="5">
                  <c:v>133.82352941176507</c:v>
                </c:pt>
                <c:pt idx="6">
                  <c:v>132.20588235294153</c:v>
                </c:pt>
                <c:pt idx="7">
                  <c:v>130.58823529411802</c:v>
                </c:pt>
                <c:pt idx="8">
                  <c:v>128.97058823529451</c:v>
                </c:pt>
                <c:pt idx="9">
                  <c:v>127.35294117647098</c:v>
                </c:pt>
                <c:pt idx="10">
                  <c:v>125.73529411764746</c:v>
                </c:pt>
                <c:pt idx="11">
                  <c:v>124.70588235294157</c:v>
                </c:pt>
                <c:pt idx="12">
                  <c:v>123.57843137254939</c:v>
                </c:pt>
                <c:pt idx="13">
                  <c:v>122.37556561086009</c:v>
                </c:pt>
                <c:pt idx="14">
                  <c:v>121.11344537815161</c:v>
                </c:pt>
                <c:pt idx="15">
                  <c:v>119.80392156862777</c:v>
                </c:pt>
                <c:pt idx="16">
                  <c:v>118.45588235294146</c:v>
                </c:pt>
                <c:pt idx="17">
                  <c:v>117.07612456747431</c:v>
                </c:pt>
                <c:pt idx="18">
                  <c:v>115.80800653594794</c:v>
                </c:pt>
                <c:pt idx="19">
                  <c:v>114.63390092879278</c:v>
                </c:pt>
                <c:pt idx="20">
                  <c:v>113.53970588235315</c:v>
                </c:pt>
                <c:pt idx="21">
                  <c:v>112.5140056022411</c:v>
                </c:pt>
                <c:pt idx="22">
                  <c:v>111.54745989304831</c:v>
                </c:pt>
                <c:pt idx="23">
                  <c:v>110.63235294117665</c:v>
                </c:pt>
                <c:pt idx="24">
                  <c:v>109.76225490196096</c:v>
                </c:pt>
                <c:pt idx="25">
                  <c:v>105.9435294117649</c:v>
                </c:pt>
                <c:pt idx="26">
                  <c:v>102.54901960784336</c:v>
                </c:pt>
                <c:pt idx="27">
                  <c:v>99.531590413943604</c:v>
                </c:pt>
                <c:pt idx="28">
                  <c:v>96.850840336134723</c:v>
                </c:pt>
                <c:pt idx="29">
                  <c:v>94.471940500338363</c:v>
                </c:pt>
                <c:pt idx="30">
                  <c:v>92.364705882353249</c:v>
                </c:pt>
                <c:pt idx="31">
                  <c:v>91.146110056926318</c:v>
                </c:pt>
                <c:pt idx="32">
                  <c:v>90.057904411765023</c:v>
                </c:pt>
                <c:pt idx="33">
                  <c:v>89.088235294117965</c:v>
                </c:pt>
                <c:pt idx="34">
                  <c:v>88.226643598616221</c:v>
                </c:pt>
                <c:pt idx="35">
                  <c:v>87.463865546218813</c:v>
                </c:pt>
                <c:pt idx="36">
                  <c:v>86.79166666666697</c:v>
                </c:pt>
                <c:pt idx="37">
                  <c:v>86.202702702702979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6-4C62-B96A-1707DB08B6A4}"/>
            </c:ext>
          </c:extLst>
        </c:ser>
        <c:ser>
          <c:idx val="3"/>
          <c:order val="2"/>
          <c:tx>
            <c:strRef>
              <c:f>Synthèse!$A$61</c:f>
              <c:strCache>
                <c:ptCount val="1"/>
                <c:pt idx="0">
                  <c:v>Solaire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Synthèse!$B$61:$AM$61</c:f>
              <c:numCache>
                <c:formatCode>0.0</c:formatCode>
                <c:ptCount val="38"/>
                <c:pt idx="0">
                  <c:v>179.46998377501356</c:v>
                </c:pt>
                <c:pt idx="1">
                  <c:v>178.20582708399004</c:v>
                </c:pt>
                <c:pt idx="2">
                  <c:v>176.58122427264297</c:v>
                </c:pt>
                <c:pt idx="3">
                  <c:v>174.80426292989603</c:v>
                </c:pt>
                <c:pt idx="4">
                  <c:v>172.94870592546707</c:v>
                </c:pt>
                <c:pt idx="5">
                  <c:v>171.0473171335689</c:v>
                </c:pt>
                <c:pt idx="6">
                  <c:v>169.11687133113276</c:v>
                </c:pt>
                <c:pt idx="7">
                  <c:v>167.16684718082442</c:v>
                </c:pt>
                <c:pt idx="8">
                  <c:v>165.2030049664115</c:v>
                </c:pt>
                <c:pt idx="9">
                  <c:v>163.22904709426609</c:v>
                </c:pt>
                <c:pt idx="10">
                  <c:v>161.24746172404187</c:v>
                </c:pt>
                <c:pt idx="11">
                  <c:v>159.25998283072187</c:v>
                </c:pt>
                <c:pt idx="12">
                  <c:v>157.26785582706452</c:v>
                </c:pt>
                <c:pt idx="13">
                  <c:v>155.27199831130631</c:v>
                </c:pt>
                <c:pt idx="14">
                  <c:v>153.27310126601103</c:v>
                </c:pt>
                <c:pt idx="15">
                  <c:v>151.27169494792031</c:v>
                </c:pt>
                <c:pt idx="16">
                  <c:v>149.26819305176173</c:v>
                </c:pt>
                <c:pt idx="17">
                  <c:v>147.26292307038909</c:v>
                </c:pt>
                <c:pt idx="18">
                  <c:v>145.33318489278818</c:v>
                </c:pt>
                <c:pt idx="19">
                  <c:v>143.46828831842262</c:v>
                </c:pt>
                <c:pt idx="20">
                  <c:v>141.65946960806352</c:v>
                </c:pt>
                <c:pt idx="21">
                  <c:v>139.89947623648143</c:v>
                </c:pt>
                <c:pt idx="22">
                  <c:v>138.18225461367962</c:v>
                </c:pt>
                <c:pt idx="23">
                  <c:v>136.50271216838368</c:v>
                </c:pt>
                <c:pt idx="24">
                  <c:v>134.85653392339572</c:v>
                </c:pt>
                <c:pt idx="25">
                  <c:v>133.24003953739444</c:v>
                </c:pt>
                <c:pt idx="26">
                  <c:v>128.82469111341865</c:v>
                </c:pt>
                <c:pt idx="27">
                  <c:v>124.68684920915672</c:v>
                </c:pt>
                <c:pt idx="28">
                  <c:v>120.79894380574731</c:v>
                </c:pt>
                <c:pt idx="29">
                  <c:v>117.13693989258611</c:v>
                </c:pt>
                <c:pt idx="30">
                  <c:v>113.67978849424732</c:v>
                </c:pt>
                <c:pt idx="31">
                  <c:v>110.40897691970649</c:v>
                </c:pt>
                <c:pt idx="32">
                  <c:v>107.30815792315995</c:v>
                </c:pt>
                <c:pt idx="33">
                  <c:v>104.36284208225736</c:v>
                </c:pt>
                <c:pt idx="34">
                  <c:v>101.56014116822172</c:v>
                </c:pt>
                <c:pt idx="35">
                  <c:v>98.888552911720623</c:v>
                </c:pt>
                <c:pt idx="36">
                  <c:v>96.337779578194841</c:v>
                </c:pt>
                <c:pt idx="37">
                  <c:v>93.898574314711098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6-4C62-B96A-1707DB08B6A4}"/>
            </c:ext>
          </c:extLst>
        </c:ser>
        <c:ser>
          <c:idx val="4"/>
          <c:order val="3"/>
          <c:tx>
            <c:strRef>
              <c:f>Synthèse!$A$62</c:f>
              <c:strCache>
                <c:ptCount val="1"/>
                <c:pt idx="0">
                  <c:v>Méthanisation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Synthèse!$B$62:$AM$62</c:f>
              <c:numCache>
                <c:formatCode>0.0</c:formatCode>
                <c:ptCount val="38"/>
                <c:pt idx="0">
                  <c:v>150</c:v>
                </c:pt>
                <c:pt idx="1">
                  <c:v>149.55873104422895</c:v>
                </c:pt>
                <c:pt idx="2">
                  <c:v>149.10585695284377</c:v>
                </c:pt>
                <c:pt idx="3">
                  <c:v>148.36725743603444</c:v>
                </c:pt>
                <c:pt idx="4">
                  <c:v>147.41152298262244</c:v>
                </c:pt>
                <c:pt idx="5">
                  <c:v>146.28691647696488</c:v>
                </c:pt>
                <c:pt idx="6">
                  <c:v>145.02838416167086</c:v>
                </c:pt>
                <c:pt idx="7">
                  <c:v>143.66185215628354</c:v>
                </c:pt>
                <c:pt idx="8">
                  <c:v>142.20696032270803</c:v>
                </c:pt>
                <c:pt idx="9">
                  <c:v>140.67885864537024</c:v>
                </c:pt>
                <c:pt idx="10">
                  <c:v>139.08942090753237</c:v>
                </c:pt>
                <c:pt idx="11">
                  <c:v>137.4480848715429</c:v>
                </c:pt>
                <c:pt idx="12">
                  <c:v>135.76244651684439</c:v>
                </c:pt>
                <c:pt idx="13">
                  <c:v>134.0386884210815</c:v>
                </c:pt>
                <c:pt idx="14">
                  <c:v>132.28189389108249</c:v>
                </c:pt>
                <c:pt idx="15">
                  <c:v>130.4962808799929</c:v>
                </c:pt>
                <c:pt idx="16">
                  <c:v>128.68537861159658</c:v>
                </c:pt>
                <c:pt idx="17">
                  <c:v>126.85216264110602</c:v>
                </c:pt>
                <c:pt idx="18">
                  <c:v>125.02288316073596</c:v>
                </c:pt>
                <c:pt idx="19">
                  <c:v>123.19711068856137</c:v>
                </c:pt>
                <c:pt idx="20">
                  <c:v>119.24999999999963</c:v>
                </c:pt>
                <c:pt idx="21">
                  <c:v>115.50215267740337</c:v>
                </c:pt>
                <c:pt idx="22">
                  <c:v>111.93872686250279</c:v>
                </c:pt>
                <c:pt idx="23">
                  <c:v>108.54215693688954</c:v>
                </c:pt>
                <c:pt idx="24">
                  <c:v>105.29703940309209</c:v>
                </c:pt>
                <c:pt idx="25">
                  <c:v>102.18981015118845</c:v>
                </c:pt>
                <c:pt idx="26">
                  <c:v>99.208477857823311</c:v>
                </c:pt>
                <c:pt idx="27">
                  <c:v>96.342402448337097</c:v>
                </c:pt>
                <c:pt idx="28">
                  <c:v>93.582109979059041</c:v>
                </c:pt>
                <c:pt idx="29">
                  <c:v>90.919137140792415</c:v>
                </c:pt>
                <c:pt idx="30">
                  <c:v>88.345899997402469</c:v>
                </c:pt>
                <c:pt idx="31">
                  <c:v>85.855582664354372</c:v>
                </c:pt>
                <c:pt idx="32">
                  <c:v>83.442042480535662</c:v>
                </c:pt>
                <c:pt idx="33">
                  <c:v>81.09972889116348</c:v>
                </c:pt>
                <c:pt idx="34">
                  <c:v>78.823613783321179</c:v>
                </c:pt>
                <c:pt idx="35">
                  <c:v>76.609131431046421</c:v>
                </c:pt>
                <c:pt idx="36">
                  <c:v>74.452126538253808</c:v>
                </c:pt>
                <c:pt idx="37">
                  <c:v>72.348809133590407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6-4C62-B96A-1707DB08B6A4}"/>
            </c:ext>
          </c:extLst>
        </c:ser>
        <c:ser>
          <c:idx val="5"/>
          <c:order val="4"/>
          <c:tx>
            <c:strRef>
              <c:f>Synthèse!$A$63</c:f>
              <c:strCache>
                <c:ptCount val="1"/>
                <c:pt idx="0">
                  <c:v>UIOM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Synthèse!$B$63:$AM$63</c:f>
              <c:numCache>
                <c:formatCode>0.0</c:formatCode>
                <c:ptCount val="38"/>
                <c:pt idx="0">
                  <c:v>60</c:v>
                </c:pt>
                <c:pt idx="1">
                  <c:v>59.999999999999993</c:v>
                </c:pt>
                <c:pt idx="2">
                  <c:v>59.999999999999986</c:v>
                </c:pt>
                <c:pt idx="3">
                  <c:v>59.999999999999993</c:v>
                </c:pt>
                <c:pt idx="4">
                  <c:v>59.999999999999986</c:v>
                </c:pt>
                <c:pt idx="5">
                  <c:v>59.999999999999979</c:v>
                </c:pt>
                <c:pt idx="6">
                  <c:v>59.999999999999972</c:v>
                </c:pt>
                <c:pt idx="7">
                  <c:v>59.999999999999979</c:v>
                </c:pt>
                <c:pt idx="8">
                  <c:v>59.999999999999972</c:v>
                </c:pt>
                <c:pt idx="9">
                  <c:v>59.999999999999964</c:v>
                </c:pt>
                <c:pt idx="10">
                  <c:v>59.999999999999964</c:v>
                </c:pt>
                <c:pt idx="11">
                  <c:v>59.999999999999964</c:v>
                </c:pt>
                <c:pt idx="12">
                  <c:v>59.999999999999957</c:v>
                </c:pt>
                <c:pt idx="13">
                  <c:v>59.999999999999957</c:v>
                </c:pt>
                <c:pt idx="14">
                  <c:v>59.999999999999957</c:v>
                </c:pt>
                <c:pt idx="15">
                  <c:v>59.999999999999957</c:v>
                </c:pt>
                <c:pt idx="16">
                  <c:v>59.99999999999995</c:v>
                </c:pt>
                <c:pt idx="17">
                  <c:v>59.99999999999995</c:v>
                </c:pt>
                <c:pt idx="18">
                  <c:v>59.999999999999943</c:v>
                </c:pt>
                <c:pt idx="19">
                  <c:v>59.999999999999943</c:v>
                </c:pt>
                <c:pt idx="20">
                  <c:v>59.999999999999943</c:v>
                </c:pt>
                <c:pt idx="21">
                  <c:v>59.99999999999995</c:v>
                </c:pt>
                <c:pt idx="22">
                  <c:v>59.999999999999943</c:v>
                </c:pt>
                <c:pt idx="23">
                  <c:v>59.999999999999943</c:v>
                </c:pt>
                <c:pt idx="24">
                  <c:v>59.999999999999936</c:v>
                </c:pt>
                <c:pt idx="25">
                  <c:v>59.999999999999936</c:v>
                </c:pt>
                <c:pt idx="26">
                  <c:v>59.999999999999936</c:v>
                </c:pt>
                <c:pt idx="27">
                  <c:v>59.999999999999943</c:v>
                </c:pt>
                <c:pt idx="28">
                  <c:v>59.999999999999943</c:v>
                </c:pt>
                <c:pt idx="29">
                  <c:v>59.999999999999936</c:v>
                </c:pt>
                <c:pt idx="30">
                  <c:v>59.999999999999943</c:v>
                </c:pt>
                <c:pt idx="31">
                  <c:v>59.999999999999936</c:v>
                </c:pt>
                <c:pt idx="32">
                  <c:v>59.999999999999943</c:v>
                </c:pt>
                <c:pt idx="33">
                  <c:v>59.999999999999943</c:v>
                </c:pt>
                <c:pt idx="34">
                  <c:v>59.999999999999929</c:v>
                </c:pt>
                <c:pt idx="35">
                  <c:v>59.999999999999943</c:v>
                </c:pt>
                <c:pt idx="36">
                  <c:v>59.999999999999943</c:v>
                </c:pt>
                <c:pt idx="37">
                  <c:v>59.999999999999943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6-4C62-B96A-1707DB08B6A4}"/>
            </c:ext>
          </c:extLst>
        </c:ser>
        <c:ser>
          <c:idx val="6"/>
          <c:order val="5"/>
          <c:tx>
            <c:strRef>
              <c:f>Synthèse!$A$64</c:f>
              <c:strCache>
                <c:ptCount val="1"/>
                <c:pt idx="0">
                  <c:v>Bois énergie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Synthèse!$B$64:$AM$64</c:f>
              <c:numCache>
                <c:formatCode>0.0</c:formatCode>
                <c:ptCount val="3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69.999999999999986</c:v>
                </c:pt>
                <c:pt idx="4">
                  <c:v>70</c:v>
                </c:pt>
                <c:pt idx="5">
                  <c:v>70.000000000000014</c:v>
                </c:pt>
                <c:pt idx="6">
                  <c:v>70</c:v>
                </c:pt>
                <c:pt idx="7">
                  <c:v>70</c:v>
                </c:pt>
                <c:pt idx="8">
                  <c:v>70.000000000000014</c:v>
                </c:pt>
                <c:pt idx="9">
                  <c:v>70.000000000000014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70.000000000000014</c:v>
                </c:pt>
                <c:pt idx="19">
                  <c:v>70.000000000000014</c:v>
                </c:pt>
                <c:pt idx="20">
                  <c:v>70.000000000000014</c:v>
                </c:pt>
                <c:pt idx="21">
                  <c:v>70.000000000000014</c:v>
                </c:pt>
                <c:pt idx="22">
                  <c:v>70</c:v>
                </c:pt>
                <c:pt idx="23">
                  <c:v>70.000000000000014</c:v>
                </c:pt>
                <c:pt idx="24">
                  <c:v>70.000000000000014</c:v>
                </c:pt>
                <c:pt idx="25">
                  <c:v>70.000000000000014</c:v>
                </c:pt>
                <c:pt idx="26">
                  <c:v>70.000000000000028</c:v>
                </c:pt>
                <c:pt idx="27">
                  <c:v>70.000000000000014</c:v>
                </c:pt>
                <c:pt idx="28">
                  <c:v>70.000000000000014</c:v>
                </c:pt>
                <c:pt idx="29">
                  <c:v>70.000000000000014</c:v>
                </c:pt>
                <c:pt idx="30">
                  <c:v>70.000000000000028</c:v>
                </c:pt>
                <c:pt idx="31">
                  <c:v>70.000000000000014</c:v>
                </c:pt>
                <c:pt idx="32">
                  <c:v>70.000000000000014</c:v>
                </c:pt>
                <c:pt idx="33">
                  <c:v>70.000000000000014</c:v>
                </c:pt>
                <c:pt idx="34">
                  <c:v>70</c:v>
                </c:pt>
                <c:pt idx="35">
                  <c:v>70.000000000000014</c:v>
                </c:pt>
                <c:pt idx="36">
                  <c:v>70</c:v>
                </c:pt>
                <c:pt idx="37">
                  <c:v>70.000000000000014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66-4C62-B96A-1707DB08B6A4}"/>
            </c:ext>
          </c:extLst>
        </c:ser>
        <c:ser>
          <c:idx val="7"/>
          <c:order val="6"/>
          <c:tx>
            <c:strRef>
              <c:f>Synthèse!$A$65</c:f>
              <c:strCache>
                <c:ptCount val="1"/>
                <c:pt idx="0">
                  <c:v>Hydroélectricité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Synthèse!$B$65:$AM$65</c:f>
              <c:numCache>
                <c:formatCode>0.0</c:formatCode>
                <c:ptCount val="38"/>
                <c:pt idx="0">
                  <c:v>75.410840013942135</c:v>
                </c:pt>
                <c:pt idx="1">
                  <c:v>75.397697815359393</c:v>
                </c:pt>
                <c:pt idx="2">
                  <c:v>75.371299959124883</c:v>
                </c:pt>
                <c:pt idx="3">
                  <c:v>75.331531686137922</c:v>
                </c:pt>
                <c:pt idx="4">
                  <c:v>75.27827691698468</c:v>
                </c:pt>
                <c:pt idx="5">
                  <c:v>75.211418231062169</c:v>
                </c:pt>
                <c:pt idx="6">
                  <c:v>75.130836845161795</c:v>
                </c:pt>
                <c:pt idx="7">
                  <c:v>75.036412591570837</c:v>
                </c:pt>
                <c:pt idx="8">
                  <c:v>74.928023895753938</c:v>
                </c:pt>
                <c:pt idx="9">
                  <c:v>74.805547753676052</c:v>
                </c:pt>
                <c:pt idx="10">
                  <c:v>74.668859708826545</c:v>
                </c:pt>
                <c:pt idx="11">
                  <c:v>74.517833828999812</c:v>
                </c:pt>
                <c:pt idx="12">
                  <c:v>74.352342682881371</c:v>
                </c:pt>
                <c:pt idx="13">
                  <c:v>74.172257316480326</c:v>
                </c:pt>
                <c:pt idx="14">
                  <c:v>73.977447229439875</c:v>
                </c:pt>
                <c:pt idx="15">
                  <c:v>73.767780351246415</c:v>
                </c:pt>
                <c:pt idx="16">
                  <c:v>73.543123017347327</c:v>
                </c:pt>
                <c:pt idx="17">
                  <c:v>73.303339945174898</c:v>
                </c:pt>
                <c:pt idx="18">
                  <c:v>73.062094727737588</c:v>
                </c:pt>
                <c:pt idx="19">
                  <c:v>72.81937483438351</c:v>
                </c:pt>
                <c:pt idx="20">
                  <c:v>72.575167919123672</c:v>
                </c:pt>
                <c:pt idx="21">
                  <c:v>72.329461788578769</c:v>
                </c:pt>
                <c:pt idx="22">
                  <c:v>72.082244362757862</c:v>
                </c:pt>
                <c:pt idx="23">
                  <c:v>71.833503629695926</c:v>
                </c:pt>
                <c:pt idx="24">
                  <c:v>71.583227595107914</c:v>
                </c:pt>
                <c:pt idx="25">
                  <c:v>71.331404228314895</c:v>
                </c:pt>
                <c:pt idx="26">
                  <c:v>71.078021405764304</c:v>
                </c:pt>
                <c:pt idx="27">
                  <c:v>70.823066853499114</c:v>
                </c:pt>
                <c:pt idx="28">
                  <c:v>70.566528089930131</c:v>
                </c:pt>
                <c:pt idx="29">
                  <c:v>70.308392370231317</c:v>
                </c:pt>
                <c:pt idx="30">
                  <c:v>70.048646633613487</c:v>
                </c:pt>
                <c:pt idx="31">
                  <c:v>69.824623699308503</c:v>
                </c:pt>
                <c:pt idx="32">
                  <c:v>69.692525220029182</c:v>
                </c:pt>
                <c:pt idx="33">
                  <c:v>69.574072481641778</c:v>
                </c:pt>
                <c:pt idx="34">
                  <c:v>69.469396066633053</c:v>
                </c:pt>
                <c:pt idx="35">
                  <c:v>69.378627939454134</c:v>
                </c:pt>
                <c:pt idx="36">
                  <c:v>69.301901463135238</c:v>
                </c:pt>
                <c:pt idx="37">
                  <c:v>69.239351423289818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66-4C62-B96A-1707DB08B6A4}"/>
            </c:ext>
          </c:extLst>
        </c:ser>
        <c:ser>
          <c:idx val="8"/>
          <c:order val="7"/>
          <c:tx>
            <c:strRef>
              <c:f>Synthèse!$A$66</c:f>
              <c:strCache>
                <c:ptCount val="1"/>
                <c:pt idx="0">
                  <c:v>Géothermie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Synthèse!$B$66:$AM$66</c:f>
              <c:numCache>
                <c:formatCode>0.0</c:formatCode>
                <c:ptCount val="38"/>
                <c:pt idx="0">
                  <c:v>58</c:v>
                </c:pt>
                <c:pt idx="1">
                  <c:v>57.999999999999964</c:v>
                </c:pt>
                <c:pt idx="2">
                  <c:v>58.023151619033833</c:v>
                </c:pt>
                <c:pt idx="3">
                  <c:v>58.032604083590456</c:v>
                </c:pt>
                <c:pt idx="4">
                  <c:v>58.037740361186572</c:v>
                </c:pt>
                <c:pt idx="5">
                  <c:v>58.040967244392185</c:v>
                </c:pt>
                <c:pt idx="6">
                  <c:v>58.043182566574707</c:v>
                </c:pt>
                <c:pt idx="7">
                  <c:v>58.044797531011874</c:v>
                </c:pt>
                <c:pt idx="8">
                  <c:v>58.046027062731248</c:v>
                </c:pt>
                <c:pt idx="9">
                  <c:v>58.046994434365004</c:v>
                </c:pt>
                <c:pt idx="10">
                  <c:v>58.047775414672955</c:v>
                </c:pt>
                <c:pt idx="11">
                  <c:v>58.04841914017819</c:v>
                </c:pt>
                <c:pt idx="12">
                  <c:v>58.048958871314909</c:v>
                </c:pt>
                <c:pt idx="13">
                  <c:v>58.049417925193907</c:v>
                </c:pt>
                <c:pt idx="14">
                  <c:v>58.049813132945566</c:v>
                </c:pt>
                <c:pt idx="15">
                  <c:v>58.050156948295211</c:v>
                </c:pt>
                <c:pt idx="16">
                  <c:v>58.050458783766622</c:v>
                </c:pt>
                <c:pt idx="17">
                  <c:v>58.050725885595938</c:v>
                </c:pt>
                <c:pt idx="18">
                  <c:v>58.050963923037052</c:v>
                </c:pt>
                <c:pt idx="19">
                  <c:v>58.051177395219653</c:v>
                </c:pt>
                <c:pt idx="20">
                  <c:v>57.999999999999886</c:v>
                </c:pt>
                <c:pt idx="21">
                  <c:v>57.999999999999886</c:v>
                </c:pt>
                <c:pt idx="22">
                  <c:v>57.999999999999879</c:v>
                </c:pt>
                <c:pt idx="23">
                  <c:v>57.999999999999879</c:v>
                </c:pt>
                <c:pt idx="24">
                  <c:v>57.999999999999879</c:v>
                </c:pt>
                <c:pt idx="25">
                  <c:v>57.999999999999851</c:v>
                </c:pt>
                <c:pt idx="26">
                  <c:v>57.999999999999851</c:v>
                </c:pt>
                <c:pt idx="27">
                  <c:v>57.999999999999851</c:v>
                </c:pt>
                <c:pt idx="28">
                  <c:v>57.999999999999858</c:v>
                </c:pt>
                <c:pt idx="29">
                  <c:v>57.999999999999851</c:v>
                </c:pt>
                <c:pt idx="30">
                  <c:v>57.999999999999851</c:v>
                </c:pt>
                <c:pt idx="31">
                  <c:v>57.999999999999858</c:v>
                </c:pt>
                <c:pt idx="32">
                  <c:v>57.999999999999851</c:v>
                </c:pt>
                <c:pt idx="33">
                  <c:v>57.999999999999851</c:v>
                </c:pt>
                <c:pt idx="34">
                  <c:v>57.999999999999851</c:v>
                </c:pt>
                <c:pt idx="35">
                  <c:v>57.999999999999865</c:v>
                </c:pt>
                <c:pt idx="36">
                  <c:v>57.999999999999872</c:v>
                </c:pt>
                <c:pt idx="37">
                  <c:v>57.999999999999872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66-4C62-B96A-1707DB08B6A4}"/>
            </c:ext>
          </c:extLst>
        </c:ser>
        <c:ser>
          <c:idx val="9"/>
          <c:order val="8"/>
          <c:tx>
            <c:strRef>
              <c:f>Synthèse!$A$67</c:f>
              <c:strCache>
                <c:ptCount val="1"/>
                <c:pt idx="0">
                  <c:v>Energies marines</c:v>
                </c:pt>
              </c:strCache>
            </c:strRef>
          </c:tx>
          <c:marker>
            <c:symbol val="none"/>
          </c:marker>
          <c:cat>
            <c:numRef>
              <c:f>Synthèse!$B$58:$AM$58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Synthèse!$B$67:$AM$67</c:f>
              <c:numCache>
                <c:formatCode>0.0</c:formatCode>
                <c:ptCount val="38"/>
                <c:pt idx="0">
                  <c:v>201.20834630956085</c:v>
                </c:pt>
                <c:pt idx="1">
                  <c:v>201.11772181219683</c:v>
                </c:pt>
                <c:pt idx="2">
                  <c:v>200.93760787331541</c:v>
                </c:pt>
                <c:pt idx="3">
                  <c:v>200.66912067240514</c:v>
                </c:pt>
                <c:pt idx="4">
                  <c:v>200.31335790337204</c:v>
                </c:pt>
                <c:pt idx="5">
                  <c:v>199.87139915564748</c:v>
                </c:pt>
                <c:pt idx="6">
                  <c:v>199.34430628590587</c:v>
                </c:pt>
                <c:pt idx="7">
                  <c:v>198.733123780662</c:v>
                </c:pt>
                <c:pt idx="8">
                  <c:v>198.0388791100068</c:v>
                </c:pt>
                <c:pt idx="9">
                  <c:v>197.26258307273409</c:v>
                </c:pt>
                <c:pt idx="10">
                  <c:v>196.40523013310141</c:v>
                </c:pt>
                <c:pt idx="11">
                  <c:v>195.46779874946043</c:v>
                </c:pt>
                <c:pt idx="12">
                  <c:v>194.45125169498547</c:v>
                </c:pt>
                <c:pt idx="13">
                  <c:v>193.35653637072025</c:v>
                </c:pt>
                <c:pt idx="14">
                  <c:v>192.18458511115753</c:v>
                </c:pt>
                <c:pt idx="15">
                  <c:v>190.93631548255775</c:v>
                </c:pt>
                <c:pt idx="16">
                  <c:v>189.61263057420774</c:v>
                </c:pt>
                <c:pt idx="17">
                  <c:v>188.21441928281357</c:v>
                </c:pt>
                <c:pt idx="18">
                  <c:v>186.82715185173174</c:v>
                </c:pt>
                <c:pt idx="19">
                  <c:v>185.45070029473652</c:v>
                </c:pt>
                <c:pt idx="20">
                  <c:v>184.08493861354972</c:v>
                </c:pt>
                <c:pt idx="21">
                  <c:v>182.72974275939293</c:v>
                </c:pt>
                <c:pt idx="22">
                  <c:v>181.38499059542843</c:v>
                </c:pt>
                <c:pt idx="23">
                  <c:v>180.05056186006499</c:v>
                </c:pt>
                <c:pt idx="24">
                  <c:v>178.72633813110559</c:v>
                </c:pt>
                <c:pt idx="25">
                  <c:v>177.41220279071487</c:v>
                </c:pt>
                <c:pt idx="26">
                  <c:v>176.10804099118366</c:v>
                </c:pt>
                <c:pt idx="27">
                  <c:v>174.81373962147035</c:v>
                </c:pt>
                <c:pt idx="28">
                  <c:v>173.52918727449836</c:v>
                </c:pt>
                <c:pt idx="29">
                  <c:v>172.25427421518972</c:v>
                </c:pt>
                <c:pt idx="30">
                  <c:v>170.98889234921555</c:v>
                </c:pt>
                <c:pt idx="31">
                  <c:v>169.65997272136457</c:v>
                </c:pt>
                <c:pt idx="32">
                  <c:v>168.77715242180398</c:v>
                </c:pt>
                <c:pt idx="33">
                  <c:v>167.98076349097778</c:v>
                </c:pt>
                <c:pt idx="34">
                  <c:v>167.2698509717172</c:v>
                </c:pt>
                <c:pt idx="35">
                  <c:v>166.64347392332181</c:v>
                </c:pt>
                <c:pt idx="36">
                  <c:v>166.10070516533995</c:v>
                </c:pt>
                <c:pt idx="37">
                  <c:v>165.64063102694874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66-4C62-B96A-1707DB08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4112"/>
        <c:axId val="145995648"/>
      </c:lineChart>
      <c:catAx>
        <c:axId val="1459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45995648"/>
        <c:crosses val="autoZero"/>
        <c:auto val="1"/>
        <c:lblAlgn val="ctr"/>
        <c:lblOffset val="100"/>
        <c:noMultiLvlLbl val="0"/>
      </c:catAx>
      <c:valAx>
        <c:axId val="145995648"/>
        <c:scaling>
          <c:orientation val="minMax"/>
          <c:max val="21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59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Projection des LCOE par filière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Synthèse!$A$48</c:f>
              <c:strCache>
                <c:ptCount val="1"/>
                <c:pt idx="0">
                  <c:v>Eolien terrestre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Synthèse!$B$48:$AM$48</c:f>
              <c:numCache>
                <c:formatCode>0.0</c:formatCode>
                <c:ptCount val="38"/>
                <c:pt idx="0">
                  <c:v>80</c:v>
                </c:pt>
                <c:pt idx="1">
                  <c:v>79.411764705882348</c:v>
                </c:pt>
                <c:pt idx="2">
                  <c:v>78.823529411764696</c:v>
                </c:pt>
                <c:pt idx="3">
                  <c:v>78.235294117647044</c:v>
                </c:pt>
                <c:pt idx="4">
                  <c:v>77.647058823529392</c:v>
                </c:pt>
                <c:pt idx="5">
                  <c:v>77.05882352941174</c:v>
                </c:pt>
                <c:pt idx="6">
                  <c:v>76.470588235294088</c:v>
                </c:pt>
                <c:pt idx="7">
                  <c:v>75.882352941176435</c:v>
                </c:pt>
                <c:pt idx="8">
                  <c:v>75.294117647058783</c:v>
                </c:pt>
                <c:pt idx="9">
                  <c:v>74.705882352941131</c:v>
                </c:pt>
                <c:pt idx="10">
                  <c:v>74.117647058823479</c:v>
                </c:pt>
                <c:pt idx="11">
                  <c:v>73.529411764705827</c:v>
                </c:pt>
                <c:pt idx="12">
                  <c:v>72.941176470588175</c:v>
                </c:pt>
                <c:pt idx="13">
                  <c:v>72.352941176470523</c:v>
                </c:pt>
                <c:pt idx="14">
                  <c:v>71.764705882352871</c:v>
                </c:pt>
                <c:pt idx="15">
                  <c:v>71.176470588235219</c:v>
                </c:pt>
                <c:pt idx="16">
                  <c:v>70.588235294117567</c:v>
                </c:pt>
                <c:pt idx="17">
                  <c:v>70</c:v>
                </c:pt>
                <c:pt idx="18">
                  <c:v>69.75</c:v>
                </c:pt>
                <c:pt idx="19">
                  <c:v>69.5</c:v>
                </c:pt>
                <c:pt idx="20">
                  <c:v>69.25</c:v>
                </c:pt>
                <c:pt idx="21">
                  <c:v>69</c:v>
                </c:pt>
                <c:pt idx="22">
                  <c:v>68.75</c:v>
                </c:pt>
                <c:pt idx="23">
                  <c:v>68.5</c:v>
                </c:pt>
                <c:pt idx="24">
                  <c:v>68.25</c:v>
                </c:pt>
                <c:pt idx="25">
                  <c:v>68</c:v>
                </c:pt>
                <c:pt idx="26">
                  <c:v>67.75</c:v>
                </c:pt>
                <c:pt idx="27">
                  <c:v>67.5</c:v>
                </c:pt>
                <c:pt idx="28">
                  <c:v>67.25</c:v>
                </c:pt>
                <c:pt idx="29">
                  <c:v>67</c:v>
                </c:pt>
                <c:pt idx="30">
                  <c:v>66.75</c:v>
                </c:pt>
                <c:pt idx="31">
                  <c:v>66.5</c:v>
                </c:pt>
                <c:pt idx="32">
                  <c:v>66.25</c:v>
                </c:pt>
                <c:pt idx="33">
                  <c:v>66</c:v>
                </c:pt>
                <c:pt idx="34">
                  <c:v>65.75</c:v>
                </c:pt>
                <c:pt idx="35">
                  <c:v>65.5</c:v>
                </c:pt>
                <c:pt idx="36">
                  <c:v>65.25</c:v>
                </c:pt>
                <c:pt idx="3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0-4294-857D-CE8239C16A41}"/>
            </c:ext>
          </c:extLst>
        </c:ser>
        <c:ser>
          <c:idx val="2"/>
          <c:order val="1"/>
          <c:tx>
            <c:strRef>
              <c:f>Synthèse!$A$49</c:f>
              <c:strCache>
                <c:ptCount val="1"/>
                <c:pt idx="0">
                  <c:v>Eolien en mer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Synthèse!$B$49:$AM$49</c:f>
              <c:numCache>
                <c:formatCode>0.0</c:formatCode>
                <c:ptCount val="38"/>
                <c:pt idx="0">
                  <c:v>150</c:v>
                </c:pt>
                <c:pt idx="1">
                  <c:v>146.76470588235293</c:v>
                </c:pt>
                <c:pt idx="2">
                  <c:v>143.52941176470586</c:v>
                </c:pt>
                <c:pt idx="3">
                  <c:v>140.29411764705878</c:v>
                </c:pt>
                <c:pt idx="4">
                  <c:v>137.05882352941171</c:v>
                </c:pt>
                <c:pt idx="5">
                  <c:v>133.82352941176464</c:v>
                </c:pt>
                <c:pt idx="6">
                  <c:v>130.58823529411757</c:v>
                </c:pt>
                <c:pt idx="7">
                  <c:v>127.35294117647051</c:v>
                </c:pt>
                <c:pt idx="8">
                  <c:v>124.11764705882345</c:v>
                </c:pt>
                <c:pt idx="9">
                  <c:v>120.88235294117639</c:v>
                </c:pt>
                <c:pt idx="10">
                  <c:v>117.64705882352933</c:v>
                </c:pt>
                <c:pt idx="11">
                  <c:v>114.41176470588228</c:v>
                </c:pt>
                <c:pt idx="12">
                  <c:v>111.17647058823522</c:v>
                </c:pt>
                <c:pt idx="13">
                  <c:v>107.94117647058816</c:v>
                </c:pt>
                <c:pt idx="14">
                  <c:v>104.7058823529411</c:v>
                </c:pt>
                <c:pt idx="15">
                  <c:v>101.47058823529404</c:v>
                </c:pt>
                <c:pt idx="16">
                  <c:v>98.235294117646987</c:v>
                </c:pt>
                <c:pt idx="17">
                  <c:v>95</c:v>
                </c:pt>
                <c:pt idx="18">
                  <c:v>94.25</c:v>
                </c:pt>
                <c:pt idx="19">
                  <c:v>93.5</c:v>
                </c:pt>
                <c:pt idx="20">
                  <c:v>92.75</c:v>
                </c:pt>
                <c:pt idx="21">
                  <c:v>92</c:v>
                </c:pt>
                <c:pt idx="22">
                  <c:v>91.25</c:v>
                </c:pt>
                <c:pt idx="23">
                  <c:v>90.5</c:v>
                </c:pt>
                <c:pt idx="24">
                  <c:v>89.75</c:v>
                </c:pt>
                <c:pt idx="25">
                  <c:v>89</c:v>
                </c:pt>
                <c:pt idx="26">
                  <c:v>88.25</c:v>
                </c:pt>
                <c:pt idx="27">
                  <c:v>87.5</c:v>
                </c:pt>
                <c:pt idx="28">
                  <c:v>86.75</c:v>
                </c:pt>
                <c:pt idx="29">
                  <c:v>86</c:v>
                </c:pt>
                <c:pt idx="30">
                  <c:v>85.25</c:v>
                </c:pt>
                <c:pt idx="31">
                  <c:v>84.5</c:v>
                </c:pt>
                <c:pt idx="32">
                  <c:v>83.75</c:v>
                </c:pt>
                <c:pt idx="33">
                  <c:v>83</c:v>
                </c:pt>
                <c:pt idx="34">
                  <c:v>82.25</c:v>
                </c:pt>
                <c:pt idx="35">
                  <c:v>81.5</c:v>
                </c:pt>
                <c:pt idx="36">
                  <c:v>80.75</c:v>
                </c:pt>
                <c:pt idx="3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0-4294-857D-CE8239C16A41}"/>
            </c:ext>
          </c:extLst>
        </c:ser>
        <c:ser>
          <c:idx val="3"/>
          <c:order val="2"/>
          <c:tx>
            <c:strRef>
              <c:f>Synthèse!$A$50</c:f>
              <c:strCache>
                <c:ptCount val="1"/>
                <c:pt idx="0">
                  <c:v>Solaire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Synthèse!$B$50:$AM$50</c:f>
              <c:numCache>
                <c:formatCode>0.0</c:formatCode>
                <c:ptCount val="38"/>
                <c:pt idx="0">
                  <c:v>179.46998377501353</c:v>
                </c:pt>
                <c:pt idx="1">
                  <c:v>175.75540934960929</c:v>
                </c:pt>
                <c:pt idx="2">
                  <c:v>172.04083492420506</c:v>
                </c:pt>
                <c:pt idx="3">
                  <c:v>168.32626049880082</c:v>
                </c:pt>
                <c:pt idx="4">
                  <c:v>164.61168607339658</c:v>
                </c:pt>
                <c:pt idx="5">
                  <c:v>160.89711164799235</c:v>
                </c:pt>
                <c:pt idx="6">
                  <c:v>157.18253722258811</c:v>
                </c:pt>
                <c:pt idx="7">
                  <c:v>153.46796279718387</c:v>
                </c:pt>
                <c:pt idx="8">
                  <c:v>149.75338837177964</c:v>
                </c:pt>
                <c:pt idx="9">
                  <c:v>146.0388139463754</c:v>
                </c:pt>
                <c:pt idx="10">
                  <c:v>142.32423952097116</c:v>
                </c:pt>
                <c:pt idx="11">
                  <c:v>138.60966509556692</c:v>
                </c:pt>
                <c:pt idx="12">
                  <c:v>134.89509067016269</c:v>
                </c:pt>
                <c:pt idx="13">
                  <c:v>131.18051624475845</c:v>
                </c:pt>
                <c:pt idx="14">
                  <c:v>127.46594181935421</c:v>
                </c:pt>
                <c:pt idx="15">
                  <c:v>123.75136739394998</c:v>
                </c:pt>
                <c:pt idx="16">
                  <c:v>120.03679296854574</c:v>
                </c:pt>
                <c:pt idx="17">
                  <c:v>116.32221854314145</c:v>
                </c:pt>
                <c:pt idx="18">
                  <c:v>114.03786862651216</c:v>
                </c:pt>
                <c:pt idx="19">
                  <c:v>111.75351870988288</c:v>
                </c:pt>
                <c:pt idx="20">
                  <c:v>109.4691687932536</c:v>
                </c:pt>
                <c:pt idx="21">
                  <c:v>107.18481887662432</c:v>
                </c:pt>
                <c:pt idx="22">
                  <c:v>104.90046895999504</c:v>
                </c:pt>
                <c:pt idx="23">
                  <c:v>102.61611904336576</c:v>
                </c:pt>
                <c:pt idx="24">
                  <c:v>100.33176912673648</c:v>
                </c:pt>
                <c:pt idx="25">
                  <c:v>98.047419210107194</c:v>
                </c:pt>
                <c:pt idx="26">
                  <c:v>95.763069293477912</c:v>
                </c:pt>
                <c:pt idx="27">
                  <c:v>93.47871937684863</c:v>
                </c:pt>
                <c:pt idx="28">
                  <c:v>91.194369460219349</c:v>
                </c:pt>
                <c:pt idx="29">
                  <c:v>88.910019543590067</c:v>
                </c:pt>
                <c:pt idx="30">
                  <c:v>86.625669626960786</c:v>
                </c:pt>
                <c:pt idx="31">
                  <c:v>84.341319710331504</c:v>
                </c:pt>
                <c:pt idx="32">
                  <c:v>82.056969793702223</c:v>
                </c:pt>
                <c:pt idx="33">
                  <c:v>79.772619877072941</c:v>
                </c:pt>
                <c:pt idx="34">
                  <c:v>77.48826996044366</c:v>
                </c:pt>
                <c:pt idx="35">
                  <c:v>75.203920043814378</c:v>
                </c:pt>
                <c:pt idx="36">
                  <c:v>72.919570127185096</c:v>
                </c:pt>
                <c:pt idx="37">
                  <c:v>70.635220210555701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0-4294-857D-CE8239C16A41}"/>
            </c:ext>
          </c:extLst>
        </c:ser>
        <c:ser>
          <c:idx val="4"/>
          <c:order val="3"/>
          <c:tx>
            <c:strRef>
              <c:f>Synthèse!$A$51</c:f>
              <c:strCache>
                <c:ptCount val="1"/>
                <c:pt idx="0">
                  <c:v>Méthanisation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Synthèse!$B$51:$AM$51</c:f>
              <c:numCache>
                <c:formatCode>0.0</c:formatCode>
                <c:ptCount val="38"/>
                <c:pt idx="0">
                  <c:v>150</c:v>
                </c:pt>
                <c:pt idx="1">
                  <c:v>147.05882352941177</c:v>
                </c:pt>
                <c:pt idx="2">
                  <c:v>144.11764705882354</c:v>
                </c:pt>
                <c:pt idx="3">
                  <c:v>141.1764705882353</c:v>
                </c:pt>
                <c:pt idx="4">
                  <c:v>138.23529411764707</c:v>
                </c:pt>
                <c:pt idx="5">
                  <c:v>135.29411764705884</c:v>
                </c:pt>
                <c:pt idx="6">
                  <c:v>132.35294117647061</c:v>
                </c:pt>
                <c:pt idx="7">
                  <c:v>129.41176470588238</c:v>
                </c:pt>
                <c:pt idx="8">
                  <c:v>126.47058823529414</c:v>
                </c:pt>
                <c:pt idx="9">
                  <c:v>123.52941176470591</c:v>
                </c:pt>
                <c:pt idx="10">
                  <c:v>120.58823529411768</c:v>
                </c:pt>
                <c:pt idx="11">
                  <c:v>117.64705882352945</c:v>
                </c:pt>
                <c:pt idx="12">
                  <c:v>114.70588235294122</c:v>
                </c:pt>
                <c:pt idx="13">
                  <c:v>111.76470588235298</c:v>
                </c:pt>
                <c:pt idx="14">
                  <c:v>108.82352941176475</c:v>
                </c:pt>
                <c:pt idx="15">
                  <c:v>105.88235294117652</c:v>
                </c:pt>
                <c:pt idx="16">
                  <c:v>102.94117647058829</c:v>
                </c:pt>
                <c:pt idx="17">
                  <c:v>100</c:v>
                </c:pt>
                <c:pt idx="18">
                  <c:v>97.5</c:v>
                </c:pt>
                <c:pt idx="19">
                  <c:v>95</c:v>
                </c:pt>
                <c:pt idx="20">
                  <c:v>92.5</c:v>
                </c:pt>
                <c:pt idx="21">
                  <c:v>90</c:v>
                </c:pt>
                <c:pt idx="22">
                  <c:v>87.5</c:v>
                </c:pt>
                <c:pt idx="23">
                  <c:v>85</c:v>
                </c:pt>
                <c:pt idx="24">
                  <c:v>82.5</c:v>
                </c:pt>
                <c:pt idx="25">
                  <c:v>80</c:v>
                </c:pt>
                <c:pt idx="26">
                  <c:v>77.5</c:v>
                </c:pt>
                <c:pt idx="27">
                  <c:v>75</c:v>
                </c:pt>
                <c:pt idx="28">
                  <c:v>72.5</c:v>
                </c:pt>
                <c:pt idx="29">
                  <c:v>70</c:v>
                </c:pt>
                <c:pt idx="30">
                  <c:v>67.5</c:v>
                </c:pt>
                <c:pt idx="31">
                  <c:v>65</c:v>
                </c:pt>
                <c:pt idx="32">
                  <c:v>62.5</c:v>
                </c:pt>
                <c:pt idx="33">
                  <c:v>60</c:v>
                </c:pt>
                <c:pt idx="34">
                  <c:v>57.5</c:v>
                </c:pt>
                <c:pt idx="35">
                  <c:v>55</c:v>
                </c:pt>
                <c:pt idx="36">
                  <c:v>52.5</c:v>
                </c:pt>
                <c:pt idx="3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0-4294-857D-CE8239C16A41}"/>
            </c:ext>
          </c:extLst>
        </c:ser>
        <c:ser>
          <c:idx val="5"/>
          <c:order val="4"/>
          <c:tx>
            <c:strRef>
              <c:f>Synthèse!$A$52</c:f>
              <c:strCache>
                <c:ptCount val="1"/>
                <c:pt idx="0">
                  <c:v>UIOM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Synthèse!$B$52:$AM$52</c:f>
              <c:numCache>
                <c:formatCode>0.0</c:formatCode>
                <c:ptCount val="3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0-4294-857D-CE8239C16A41}"/>
            </c:ext>
          </c:extLst>
        </c:ser>
        <c:ser>
          <c:idx val="6"/>
          <c:order val="5"/>
          <c:tx>
            <c:strRef>
              <c:f>Synthèse!$A$53</c:f>
              <c:strCache>
                <c:ptCount val="1"/>
                <c:pt idx="0">
                  <c:v>Bois énergie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Synthèse!$B$53:$AM$53</c:f>
              <c:numCache>
                <c:formatCode>0.0</c:formatCode>
                <c:ptCount val="3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0-4294-857D-CE8239C16A41}"/>
            </c:ext>
          </c:extLst>
        </c:ser>
        <c:ser>
          <c:idx val="7"/>
          <c:order val="6"/>
          <c:tx>
            <c:strRef>
              <c:f>Synthèse!$A$54</c:f>
              <c:strCache>
                <c:ptCount val="1"/>
                <c:pt idx="0">
                  <c:v>Hydroélectricité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Synthèse!$B$54:$AM$54</c:f>
              <c:numCache>
                <c:formatCode>0.0</c:formatCode>
                <c:ptCount val="38"/>
                <c:pt idx="0">
                  <c:v>75.410840013942135</c:v>
                </c:pt>
                <c:pt idx="1">
                  <c:v>74.980790601357299</c:v>
                </c:pt>
                <c:pt idx="2">
                  <c:v>74.550741188772463</c:v>
                </c:pt>
                <c:pt idx="3">
                  <c:v>74.120691776187627</c:v>
                </c:pt>
                <c:pt idx="4">
                  <c:v>73.690642363602791</c:v>
                </c:pt>
                <c:pt idx="5">
                  <c:v>73.260592951017955</c:v>
                </c:pt>
                <c:pt idx="6">
                  <c:v>72.830543538433119</c:v>
                </c:pt>
                <c:pt idx="7">
                  <c:v>72.400494125848283</c:v>
                </c:pt>
                <c:pt idx="8">
                  <c:v>71.970444713263447</c:v>
                </c:pt>
                <c:pt idx="9">
                  <c:v>71.540395300678611</c:v>
                </c:pt>
                <c:pt idx="10">
                  <c:v>71.110345888093775</c:v>
                </c:pt>
                <c:pt idx="11">
                  <c:v>70.680296475508939</c:v>
                </c:pt>
                <c:pt idx="12">
                  <c:v>70.250247062924103</c:v>
                </c:pt>
                <c:pt idx="13">
                  <c:v>69.820197650339267</c:v>
                </c:pt>
                <c:pt idx="14">
                  <c:v>69.390148237754431</c:v>
                </c:pt>
                <c:pt idx="15">
                  <c:v>68.960098825169595</c:v>
                </c:pt>
                <c:pt idx="16">
                  <c:v>68.530049412584759</c:v>
                </c:pt>
                <c:pt idx="17">
                  <c:v>68.099999999999994</c:v>
                </c:pt>
                <c:pt idx="18">
                  <c:v>68.099999999999994</c:v>
                </c:pt>
                <c:pt idx="19">
                  <c:v>68.099999999999994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68.099999999999994</c:v>
                </c:pt>
                <c:pt idx="23">
                  <c:v>68.099999999999994</c:v>
                </c:pt>
                <c:pt idx="24">
                  <c:v>68.099999999999994</c:v>
                </c:pt>
                <c:pt idx="25">
                  <c:v>68.099999999999994</c:v>
                </c:pt>
                <c:pt idx="26">
                  <c:v>68.099999999999994</c:v>
                </c:pt>
                <c:pt idx="27">
                  <c:v>68.099999999999994</c:v>
                </c:pt>
                <c:pt idx="28">
                  <c:v>68.099999999999994</c:v>
                </c:pt>
                <c:pt idx="29">
                  <c:v>68.099999999999994</c:v>
                </c:pt>
                <c:pt idx="30">
                  <c:v>68.099999999999994</c:v>
                </c:pt>
                <c:pt idx="31">
                  <c:v>68.099999999999994</c:v>
                </c:pt>
                <c:pt idx="32">
                  <c:v>68.099999999999994</c:v>
                </c:pt>
                <c:pt idx="33">
                  <c:v>68.099999999999994</c:v>
                </c:pt>
                <c:pt idx="34">
                  <c:v>68.099999999999994</c:v>
                </c:pt>
                <c:pt idx="35">
                  <c:v>68.099999999999994</c:v>
                </c:pt>
                <c:pt idx="36">
                  <c:v>68.099999999999994</c:v>
                </c:pt>
                <c:pt idx="37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D0-4294-857D-CE8239C16A41}"/>
            </c:ext>
          </c:extLst>
        </c:ser>
        <c:ser>
          <c:idx val="8"/>
          <c:order val="7"/>
          <c:tx>
            <c:strRef>
              <c:f>Synthèse!$A$55</c:f>
              <c:strCache>
                <c:ptCount val="1"/>
                <c:pt idx="0">
                  <c:v>Géothermie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Synthèse!$B$55:$AM$55</c:f>
              <c:numCache>
                <c:formatCode>0.0</c:formatCode>
                <c:ptCount val="38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D0-4294-857D-CE8239C16A41}"/>
            </c:ext>
          </c:extLst>
        </c:ser>
        <c:ser>
          <c:idx val="9"/>
          <c:order val="8"/>
          <c:tx>
            <c:strRef>
              <c:f>Synthèse!$A$56</c:f>
              <c:strCache>
                <c:ptCount val="1"/>
                <c:pt idx="0">
                  <c:v>Energies marines</c:v>
                </c:pt>
              </c:strCache>
            </c:strRef>
          </c:tx>
          <c:marker>
            <c:symbol val="none"/>
          </c:marker>
          <c:cat>
            <c:numRef>
              <c:f>Synthèse!$B$47:$AM$47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Synthèse!$B$56:$AM$56</c:f>
              <c:numCache>
                <c:formatCode>0.0</c:formatCode>
                <c:ptCount val="38"/>
                <c:pt idx="0">
                  <c:v>201.20834630956088</c:v>
                </c:pt>
                <c:pt idx="1">
                  <c:v>198.78432593841023</c:v>
                </c:pt>
                <c:pt idx="2">
                  <c:v>196.36030556725959</c:v>
                </c:pt>
                <c:pt idx="3">
                  <c:v>193.93628519610894</c:v>
                </c:pt>
                <c:pt idx="4">
                  <c:v>191.51226482495829</c:v>
                </c:pt>
                <c:pt idx="5">
                  <c:v>189.08824445380765</c:v>
                </c:pt>
                <c:pt idx="6">
                  <c:v>186.664224082657</c:v>
                </c:pt>
                <c:pt idx="7">
                  <c:v>184.24020371150635</c:v>
                </c:pt>
                <c:pt idx="8">
                  <c:v>181.81618334035571</c:v>
                </c:pt>
                <c:pt idx="9">
                  <c:v>179.39216296920506</c:v>
                </c:pt>
                <c:pt idx="10">
                  <c:v>176.96814259805441</c:v>
                </c:pt>
                <c:pt idx="11">
                  <c:v>174.54412222690377</c:v>
                </c:pt>
                <c:pt idx="12">
                  <c:v>172.12010185575312</c:v>
                </c:pt>
                <c:pt idx="13">
                  <c:v>169.69608148460247</c:v>
                </c:pt>
                <c:pt idx="14">
                  <c:v>167.27206111345183</c:v>
                </c:pt>
                <c:pt idx="15">
                  <c:v>164.84804074230118</c:v>
                </c:pt>
                <c:pt idx="16">
                  <c:v>162.42402037115053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D0-4294-857D-CE8239C1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10208"/>
        <c:axId val="146511744"/>
      </c:lineChart>
      <c:catAx>
        <c:axId val="1465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11744"/>
        <c:crosses val="autoZero"/>
        <c:auto val="1"/>
        <c:lblAlgn val="ctr"/>
        <c:lblOffset val="100"/>
        <c:noMultiLvlLbl val="0"/>
      </c:catAx>
      <c:valAx>
        <c:axId val="146511744"/>
        <c:scaling>
          <c:orientation val="minMax"/>
          <c:max val="2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LCOE en €/MWh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5102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Synthèse!$A$20</c:f>
              <c:strCache>
                <c:ptCount val="1"/>
                <c:pt idx="0">
                  <c:v>Eolien terrestre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Synthèse!$B$20:$AM$20</c:f>
              <c:numCache>
                <c:formatCode>_-* #\ ##0\ _€_-;\-* #\ ##0\ _€_-;_-* "-"??\ _€_-;_-@_-</c:formatCode>
                <c:ptCount val="38"/>
                <c:pt idx="0">
                  <c:v>1272</c:v>
                </c:pt>
                <c:pt idx="1">
                  <c:v>1798.0412630063656</c:v>
                </c:pt>
                <c:pt idx="2">
                  <c:v>2322.8948129534242</c:v>
                </c:pt>
                <c:pt idx="3">
                  <c:v>2843.3806498411768</c:v>
                </c:pt>
                <c:pt idx="4">
                  <c:v>3359.4987736696221</c:v>
                </c:pt>
                <c:pt idx="5">
                  <c:v>3871.2491844387623</c:v>
                </c:pt>
                <c:pt idx="6">
                  <c:v>4378.6318821485957</c:v>
                </c:pt>
                <c:pt idx="7">
                  <c:v>4881.646866799123</c:v>
                </c:pt>
                <c:pt idx="8">
                  <c:v>5380.2941383903435</c:v>
                </c:pt>
                <c:pt idx="9">
                  <c:v>5874.5736969222571</c:v>
                </c:pt>
                <c:pt idx="10">
                  <c:v>6364.4855423948666</c:v>
                </c:pt>
                <c:pt idx="11">
                  <c:v>6850.0296748081701</c:v>
                </c:pt>
                <c:pt idx="12">
                  <c:v>7331.2060941621685</c:v>
                </c:pt>
                <c:pt idx="13">
                  <c:v>7808.01480045686</c:v>
                </c:pt>
                <c:pt idx="14">
                  <c:v>8280.4557936922483</c:v>
                </c:pt>
                <c:pt idx="15">
                  <c:v>8748.529073868327</c:v>
                </c:pt>
                <c:pt idx="16">
                  <c:v>9212.2346409851034</c:v>
                </c:pt>
                <c:pt idx="17">
                  <c:v>9671.5724950425738</c:v>
                </c:pt>
                <c:pt idx="18">
                  <c:v>10129.054071049839</c:v>
                </c:pt>
                <c:pt idx="19">
                  <c:v>10584.679369006903</c:v>
                </c:pt>
                <c:pt idx="20">
                  <c:v>10978.028388913757</c:v>
                </c:pt>
                <c:pt idx="21">
                  <c:v>11358.197609620689</c:v>
                </c:pt>
                <c:pt idx="22">
                  <c:v>11739.220737286509</c:v>
                </c:pt>
                <c:pt idx="23">
                  <c:v>12121.097771911234</c:v>
                </c:pt>
                <c:pt idx="24">
                  <c:v>12503.828713494855</c:v>
                </c:pt>
                <c:pt idx="25">
                  <c:v>12887.413562037371</c:v>
                </c:pt>
                <c:pt idx="26">
                  <c:v>13271.852317538785</c:v>
                </c:pt>
                <c:pt idx="27">
                  <c:v>13657.144979999091</c:v>
                </c:pt>
                <c:pt idx="28">
                  <c:v>14043.291549418303</c:v>
                </c:pt>
                <c:pt idx="29">
                  <c:v>14430.292025796409</c:v>
                </c:pt>
                <c:pt idx="30">
                  <c:v>14818.146409133409</c:v>
                </c:pt>
                <c:pt idx="31">
                  <c:v>15206.854699429312</c:v>
                </c:pt>
                <c:pt idx="32">
                  <c:v>15596.41689668411</c:v>
                </c:pt>
                <c:pt idx="33">
                  <c:v>15986.833000897803</c:v>
                </c:pt>
                <c:pt idx="34">
                  <c:v>16378.103012070394</c:v>
                </c:pt>
                <c:pt idx="35">
                  <c:v>16770.226930201883</c:v>
                </c:pt>
                <c:pt idx="36">
                  <c:v>17163.204755292274</c:v>
                </c:pt>
                <c:pt idx="37">
                  <c:v>17557.03648734156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A-411C-A5ED-C76B460A2592}"/>
            </c:ext>
          </c:extLst>
        </c:ser>
        <c:ser>
          <c:idx val="2"/>
          <c:order val="1"/>
          <c:tx>
            <c:strRef>
              <c:f>Synthèse!$A$21</c:f>
              <c:strCache>
                <c:ptCount val="1"/>
                <c:pt idx="0">
                  <c:v>Eolien en mer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Synthèse!$B$21:$AM$21</c:f>
              <c:numCache>
                <c:formatCode>_-* #\ ##0\ _€_-;\-* #\ ##0\ _€_-;_-* "-"??\ _€_-;_-@_-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252.43551931188281</c:v>
                </c:pt>
                <c:pt idx="6">
                  <c:v>498.76820189314867</c:v>
                </c:pt>
                <c:pt idx="7">
                  <c:v>738.99804774379777</c:v>
                </c:pt>
                <c:pt idx="8">
                  <c:v>973.12505686382985</c:v>
                </c:pt>
                <c:pt idx="9">
                  <c:v>1201.149229253245</c:v>
                </c:pt>
                <c:pt idx="10">
                  <c:v>1423.0705649120434</c:v>
                </c:pt>
                <c:pt idx="11">
                  <c:v>1552.5616642689527</c:v>
                </c:pt>
                <c:pt idx="12">
                  <c:v>1678.391061587492</c:v>
                </c:pt>
                <c:pt idx="13">
                  <c:v>1800.558756867661</c:v>
                </c:pt>
                <c:pt idx="14">
                  <c:v>1919.06475010946</c:v>
                </c:pt>
                <c:pt idx="15">
                  <c:v>2033.9090413128888</c:v>
                </c:pt>
                <c:pt idx="16">
                  <c:v>2145.0916304779475</c:v>
                </c:pt>
                <c:pt idx="17">
                  <c:v>2252.6125176046367</c:v>
                </c:pt>
                <c:pt idx="18">
                  <c:v>2359.2845556224306</c:v>
                </c:pt>
                <c:pt idx="19">
                  <c:v>2465.1077445313304</c:v>
                </c:pt>
                <c:pt idx="20">
                  <c:v>2570.0820843313354</c:v>
                </c:pt>
                <c:pt idx="21">
                  <c:v>2674.2075750224458</c:v>
                </c:pt>
                <c:pt idx="22">
                  <c:v>2777.484216604661</c:v>
                </c:pt>
                <c:pt idx="23">
                  <c:v>2879.912009077982</c:v>
                </c:pt>
                <c:pt idx="24">
                  <c:v>2981.4909524424083</c:v>
                </c:pt>
                <c:pt idx="25">
                  <c:v>2997.6690178119379</c:v>
                </c:pt>
                <c:pt idx="26">
                  <c:v>3017.6863222883653</c:v>
                </c:pt>
                <c:pt idx="27">
                  <c:v>3041.5428658716901</c:v>
                </c:pt>
                <c:pt idx="28">
                  <c:v>3069.2386485619118</c:v>
                </c:pt>
                <c:pt idx="29">
                  <c:v>3100.7736703590308</c:v>
                </c:pt>
                <c:pt idx="30">
                  <c:v>3136.1479312630477</c:v>
                </c:pt>
                <c:pt idx="31">
                  <c:v>3197.930831110461</c:v>
                </c:pt>
                <c:pt idx="32">
                  <c:v>3261.6777347784559</c:v>
                </c:pt>
                <c:pt idx="33">
                  <c:v>3327.3886422670312</c:v>
                </c:pt>
                <c:pt idx="34">
                  <c:v>3395.0635535761862</c:v>
                </c:pt>
                <c:pt idx="35">
                  <c:v>3464.7024687059238</c:v>
                </c:pt>
                <c:pt idx="36">
                  <c:v>3536.3053876562399</c:v>
                </c:pt>
                <c:pt idx="37">
                  <c:v>3609.8723104271367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A-411C-A5ED-C76B460A2592}"/>
            </c:ext>
          </c:extLst>
        </c:ser>
        <c:ser>
          <c:idx val="3"/>
          <c:order val="2"/>
          <c:tx>
            <c:strRef>
              <c:f>Synthèse!$A$22</c:f>
              <c:strCache>
                <c:ptCount val="1"/>
                <c:pt idx="0">
                  <c:v>Solaire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Synthèse!$B$22:$AM$22</c:f>
              <c:numCache>
                <c:formatCode>_-* #\ ##0\ _€_-;\-* #\ ##0\ _€_-;_-* "-"??\ _€_-;_-@_-</c:formatCode>
                <c:ptCount val="38"/>
                <c:pt idx="0">
                  <c:v>825.56192536506228</c:v>
                </c:pt>
                <c:pt idx="1">
                  <c:v>1192.9435761030027</c:v>
                </c:pt>
                <c:pt idx="2">
                  <c:v>1551.8627223963872</c:v>
                </c:pt>
                <c:pt idx="3">
                  <c:v>1902.3193642452156</c:v>
                </c:pt>
                <c:pt idx="4">
                  <c:v>2244.3135016494884</c:v>
                </c:pt>
                <c:pt idx="5">
                  <c:v>2577.8451346092047</c:v>
                </c:pt>
                <c:pt idx="6">
                  <c:v>2902.9142631243649</c:v>
                </c:pt>
                <c:pt idx="7">
                  <c:v>3219.520887194969</c:v>
                </c:pt>
                <c:pt idx="8">
                  <c:v>3527.6650068210183</c:v>
                </c:pt>
                <c:pt idx="9">
                  <c:v>3827.3466220025102</c:v>
                </c:pt>
                <c:pt idx="10">
                  <c:v>4118.5657327394474</c:v>
                </c:pt>
                <c:pt idx="11">
                  <c:v>4401.3223390318271</c:v>
                </c:pt>
                <c:pt idx="12">
                  <c:v>4675.6164408796521</c:v>
                </c:pt>
                <c:pt idx="13">
                  <c:v>4941.4480382829188</c:v>
                </c:pt>
                <c:pt idx="14">
                  <c:v>5198.8171312416307</c:v>
                </c:pt>
                <c:pt idx="15">
                  <c:v>5447.7237197557861</c:v>
                </c:pt>
                <c:pt idx="16">
                  <c:v>5688.167803825384</c:v>
                </c:pt>
                <c:pt idx="17">
                  <c:v>5920.1493834504272</c:v>
                </c:pt>
                <c:pt idx="18">
                  <c:v>6146.9267810862275</c:v>
                </c:pt>
                <c:pt idx="19">
                  <c:v>6368.4999967327822</c:v>
                </c:pt>
                <c:pt idx="20">
                  <c:v>6584.869030390093</c:v>
                </c:pt>
                <c:pt idx="21">
                  <c:v>6796.0338820581601</c:v>
                </c:pt>
                <c:pt idx="22">
                  <c:v>7001.9945517369824</c:v>
                </c:pt>
                <c:pt idx="23">
                  <c:v>7202.751039426561</c:v>
                </c:pt>
                <c:pt idx="24">
                  <c:v>7398.3033451268957</c:v>
                </c:pt>
                <c:pt idx="25">
                  <c:v>7588.6514688379857</c:v>
                </c:pt>
                <c:pt idx="26">
                  <c:v>7606.9597738083339</c:v>
                </c:pt>
                <c:pt idx="27">
                  <c:v>7623.7425396294075</c:v>
                </c:pt>
                <c:pt idx="28">
                  <c:v>7638.9997663012082</c:v>
                </c:pt>
                <c:pt idx="29">
                  <c:v>7652.731453823736</c:v>
                </c:pt>
                <c:pt idx="30">
                  <c:v>7664.9376021969911</c:v>
                </c:pt>
                <c:pt idx="31">
                  <c:v>7675.6182114209714</c:v>
                </c:pt>
                <c:pt idx="32">
                  <c:v>7684.7732814956807</c:v>
                </c:pt>
                <c:pt idx="33">
                  <c:v>7692.4028124211172</c:v>
                </c:pt>
                <c:pt idx="34">
                  <c:v>7698.5068041972791</c:v>
                </c:pt>
                <c:pt idx="35">
                  <c:v>7703.0852568241698</c:v>
                </c:pt>
                <c:pt idx="36">
                  <c:v>7706.138170301786</c:v>
                </c:pt>
                <c:pt idx="37">
                  <c:v>7707.6655446301302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A-411C-A5ED-C76B460A2592}"/>
            </c:ext>
          </c:extLst>
        </c:ser>
        <c:ser>
          <c:idx val="4"/>
          <c:order val="3"/>
          <c:tx>
            <c:strRef>
              <c:f>Synthèse!$A$23</c:f>
              <c:strCache>
                <c:ptCount val="1"/>
                <c:pt idx="0">
                  <c:v>Méthanisation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Synthèse!$B$23:$AM$23</c:f>
              <c:numCache>
                <c:formatCode>_-* #\ ##0\ _€_-;\-* #\ ##0\ _€_-;_-* "-"??\ _€_-;_-@_-</c:formatCode>
                <c:ptCount val="38"/>
                <c:pt idx="0">
                  <c:v>225</c:v>
                </c:pt>
                <c:pt idx="1">
                  <c:v>250.7400897066567</c:v>
                </c:pt>
                <c:pt idx="2">
                  <c:v>276.30287761918026</c:v>
                </c:pt>
                <c:pt idx="3">
                  <c:v>301.12586373757068</c:v>
                </c:pt>
                <c:pt idx="4">
                  <c:v>325.20904806182796</c:v>
                </c:pt>
                <c:pt idx="5">
                  <c:v>348.55243059195209</c:v>
                </c:pt>
                <c:pt idx="6">
                  <c:v>371.15601132794313</c:v>
                </c:pt>
                <c:pt idx="7">
                  <c:v>393.01979026980121</c:v>
                </c:pt>
                <c:pt idx="8">
                  <c:v>414.14376741752602</c:v>
                </c:pt>
                <c:pt idx="9">
                  <c:v>434.52794277111775</c:v>
                </c:pt>
                <c:pt idx="10">
                  <c:v>454.17231633057645</c:v>
                </c:pt>
                <c:pt idx="11">
                  <c:v>473.07688809590206</c:v>
                </c:pt>
                <c:pt idx="12">
                  <c:v>491.24165806709453</c:v>
                </c:pt>
                <c:pt idx="13">
                  <c:v>508.66662624415392</c:v>
                </c:pt>
                <c:pt idx="14">
                  <c:v>525.35179262708016</c:v>
                </c:pt>
                <c:pt idx="15">
                  <c:v>541.29715721587343</c:v>
                </c:pt>
                <c:pt idx="16">
                  <c:v>556.50272001053361</c:v>
                </c:pt>
                <c:pt idx="17">
                  <c:v>570.96848101106059</c:v>
                </c:pt>
                <c:pt idx="18">
                  <c:v>584.8054104865746</c:v>
                </c:pt>
                <c:pt idx="19">
                  <c:v>598.0135084370753</c:v>
                </c:pt>
                <c:pt idx="20">
                  <c:v>599.90527486256292</c:v>
                </c:pt>
                <c:pt idx="21">
                  <c:v>601.4410549568546</c:v>
                </c:pt>
                <c:pt idx="22">
                  <c:v>602.64647379525309</c:v>
                </c:pt>
                <c:pt idx="23">
                  <c:v>603.52153137775838</c:v>
                </c:pt>
                <c:pt idx="24">
                  <c:v>604.06622770437036</c:v>
                </c:pt>
                <c:pt idx="25">
                  <c:v>604.28056277508927</c:v>
                </c:pt>
                <c:pt idx="26">
                  <c:v>604.16453658991509</c:v>
                </c:pt>
                <c:pt idx="27">
                  <c:v>603.71814914884771</c:v>
                </c:pt>
                <c:pt idx="28">
                  <c:v>602.94140045188703</c:v>
                </c:pt>
                <c:pt idx="29">
                  <c:v>601.83429049903316</c:v>
                </c:pt>
                <c:pt idx="30">
                  <c:v>600.39681929028609</c:v>
                </c:pt>
                <c:pt idx="31">
                  <c:v>598.62898682564594</c:v>
                </c:pt>
                <c:pt idx="32">
                  <c:v>596.53079310511259</c:v>
                </c:pt>
                <c:pt idx="33">
                  <c:v>594.10223812868594</c:v>
                </c:pt>
                <c:pt idx="34">
                  <c:v>591.34332189636598</c:v>
                </c:pt>
                <c:pt idx="35">
                  <c:v>588.25404440815305</c:v>
                </c:pt>
                <c:pt idx="36">
                  <c:v>584.83440566404681</c:v>
                </c:pt>
                <c:pt idx="37">
                  <c:v>581.08440566404749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A-411C-A5ED-C76B460A2592}"/>
            </c:ext>
          </c:extLst>
        </c:ser>
        <c:ser>
          <c:idx val="5"/>
          <c:order val="4"/>
          <c:tx>
            <c:strRef>
              <c:f>Synthèse!$A$24</c:f>
              <c:strCache>
                <c:ptCount val="1"/>
                <c:pt idx="0">
                  <c:v>UIOM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Synthèse!$B$24:$AM$24</c:f>
              <c:numCache>
                <c:formatCode>_-* #\ ##0\ _€_-;\-* #\ ##0\ _€_-;_-* "-"??\ _€_-;_-@_-</c:formatCode>
                <c:ptCount val="38"/>
                <c:pt idx="0">
                  <c:v>128.18202210000004</c:v>
                </c:pt>
                <c:pt idx="1">
                  <c:v>130.81435663783756</c:v>
                </c:pt>
                <c:pt idx="2">
                  <c:v>133.44669117567511</c:v>
                </c:pt>
                <c:pt idx="3">
                  <c:v>136.07902571351269</c:v>
                </c:pt>
                <c:pt idx="4">
                  <c:v>138.71136025135024</c:v>
                </c:pt>
                <c:pt idx="5">
                  <c:v>141.34369478918782</c:v>
                </c:pt>
                <c:pt idx="6">
                  <c:v>143.9760293270254</c:v>
                </c:pt>
                <c:pt idx="7">
                  <c:v>146.60836386486304</c:v>
                </c:pt>
                <c:pt idx="8">
                  <c:v>149.24069840270067</c:v>
                </c:pt>
                <c:pt idx="9">
                  <c:v>151.87303294053831</c:v>
                </c:pt>
                <c:pt idx="10">
                  <c:v>154.50536747837597</c:v>
                </c:pt>
                <c:pt idx="11">
                  <c:v>157.13770201621367</c:v>
                </c:pt>
                <c:pt idx="12">
                  <c:v>159.77003655405136</c:v>
                </c:pt>
                <c:pt idx="13">
                  <c:v>162.40237109188908</c:v>
                </c:pt>
                <c:pt idx="14">
                  <c:v>165.03470562972683</c:v>
                </c:pt>
                <c:pt idx="15">
                  <c:v>167.66704016756458</c:v>
                </c:pt>
                <c:pt idx="16">
                  <c:v>170.29937470540236</c:v>
                </c:pt>
                <c:pt idx="17">
                  <c:v>172.93170924324016</c:v>
                </c:pt>
                <c:pt idx="18">
                  <c:v>175.56404378107794</c:v>
                </c:pt>
                <c:pt idx="19">
                  <c:v>178.19637831891578</c:v>
                </c:pt>
                <c:pt idx="20">
                  <c:v>180.82871285675364</c:v>
                </c:pt>
                <c:pt idx="21">
                  <c:v>183.4610473945915</c:v>
                </c:pt>
                <c:pt idx="22">
                  <c:v>186.09338193242937</c:v>
                </c:pt>
                <c:pt idx="23">
                  <c:v>188.72571647026729</c:v>
                </c:pt>
                <c:pt idx="24">
                  <c:v>191.35805100810518</c:v>
                </c:pt>
                <c:pt idx="25">
                  <c:v>193.99038554594313</c:v>
                </c:pt>
                <c:pt idx="26">
                  <c:v>196.62272008378108</c:v>
                </c:pt>
                <c:pt idx="27">
                  <c:v>199.25505462161908</c:v>
                </c:pt>
                <c:pt idx="28">
                  <c:v>201.88738915945706</c:v>
                </c:pt>
                <c:pt idx="29">
                  <c:v>204.51972369729506</c:v>
                </c:pt>
                <c:pt idx="30">
                  <c:v>207.1520582351331</c:v>
                </c:pt>
                <c:pt idx="31">
                  <c:v>209.78439277297113</c:v>
                </c:pt>
                <c:pt idx="32">
                  <c:v>212.41672731080922</c:v>
                </c:pt>
                <c:pt idx="33">
                  <c:v>215.04906184864728</c:v>
                </c:pt>
                <c:pt idx="34">
                  <c:v>217.68139638648535</c:v>
                </c:pt>
                <c:pt idx="35">
                  <c:v>220.31373092432352</c:v>
                </c:pt>
                <c:pt idx="36">
                  <c:v>222.94606546216164</c:v>
                </c:pt>
                <c:pt idx="37">
                  <c:v>225.57839999999979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A-411C-A5ED-C76B460A2592}"/>
            </c:ext>
          </c:extLst>
        </c:ser>
        <c:ser>
          <c:idx val="6"/>
          <c:order val="5"/>
          <c:tx>
            <c:strRef>
              <c:f>Synthèse!$A$25</c:f>
              <c:strCache>
                <c:ptCount val="1"/>
                <c:pt idx="0">
                  <c:v>Bois énergie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Synthèse!$B$25:$AM$25</c:f>
              <c:numCache>
                <c:formatCode>_-* #\ ##0\ _€_-;\-* #\ ##0\ _€_-;_-* "-"??\ _€_-;_-@_-</c:formatCode>
                <c:ptCount val="38"/>
                <c:pt idx="0">
                  <c:v>119.28925890000002</c:v>
                </c:pt>
                <c:pt idx="1">
                  <c:v>158.71698096943271</c:v>
                </c:pt>
                <c:pt idx="2">
                  <c:v>198.14470303886537</c:v>
                </c:pt>
                <c:pt idx="3">
                  <c:v>237.57242510829803</c:v>
                </c:pt>
                <c:pt idx="4">
                  <c:v>277.00014717773075</c:v>
                </c:pt>
                <c:pt idx="5">
                  <c:v>316.42786924716353</c:v>
                </c:pt>
                <c:pt idx="6">
                  <c:v>355.85559131659625</c:v>
                </c:pt>
                <c:pt idx="7">
                  <c:v>395.28331338602902</c:v>
                </c:pt>
                <c:pt idx="8">
                  <c:v>434.71103545546197</c:v>
                </c:pt>
                <c:pt idx="9">
                  <c:v>474.1387575248948</c:v>
                </c:pt>
                <c:pt idx="10">
                  <c:v>513.56647959432769</c:v>
                </c:pt>
                <c:pt idx="11">
                  <c:v>552.99420166376069</c:v>
                </c:pt>
                <c:pt idx="12">
                  <c:v>592.42192373319369</c:v>
                </c:pt>
                <c:pt idx="13">
                  <c:v>631.8496458026267</c:v>
                </c:pt>
                <c:pt idx="14">
                  <c:v>671.27736787205981</c:v>
                </c:pt>
                <c:pt idx="15">
                  <c:v>710.70508994149316</c:v>
                </c:pt>
                <c:pt idx="16">
                  <c:v>750.1328120109265</c:v>
                </c:pt>
                <c:pt idx="17">
                  <c:v>789.56053408035996</c:v>
                </c:pt>
                <c:pt idx="18">
                  <c:v>828.98825614979341</c:v>
                </c:pt>
                <c:pt idx="19">
                  <c:v>868.41597821922699</c:v>
                </c:pt>
                <c:pt idx="20">
                  <c:v>907.84370028866056</c:v>
                </c:pt>
                <c:pt idx="21">
                  <c:v>947.27142235809424</c:v>
                </c:pt>
                <c:pt idx="22">
                  <c:v>986.69914442752793</c:v>
                </c:pt>
                <c:pt idx="23">
                  <c:v>1026.1268664969618</c:v>
                </c:pt>
                <c:pt idx="24">
                  <c:v>1065.5545885663958</c:v>
                </c:pt>
                <c:pt idx="25">
                  <c:v>1104.9823106358299</c:v>
                </c:pt>
                <c:pt idx="26">
                  <c:v>1144.410032705264</c:v>
                </c:pt>
                <c:pt idx="27">
                  <c:v>1183.8377547746982</c:v>
                </c:pt>
                <c:pt idx="28">
                  <c:v>1223.2654768441325</c:v>
                </c:pt>
                <c:pt idx="29">
                  <c:v>1262.6931989135669</c:v>
                </c:pt>
                <c:pt idx="30">
                  <c:v>1302.1209209830017</c:v>
                </c:pt>
                <c:pt idx="31">
                  <c:v>1341.5486430524365</c:v>
                </c:pt>
                <c:pt idx="32">
                  <c:v>1380.9763651218714</c:v>
                </c:pt>
                <c:pt idx="33">
                  <c:v>1420.4040871913066</c:v>
                </c:pt>
                <c:pt idx="34">
                  <c:v>1459.8318092607417</c:v>
                </c:pt>
                <c:pt idx="35">
                  <c:v>1499.2595313301774</c:v>
                </c:pt>
                <c:pt idx="36">
                  <c:v>1538.6872533996129</c:v>
                </c:pt>
                <c:pt idx="37">
                  <c:v>1578.1149754690489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A-411C-A5ED-C76B460A2592}"/>
            </c:ext>
          </c:extLst>
        </c:ser>
        <c:ser>
          <c:idx val="7"/>
          <c:order val="6"/>
          <c:tx>
            <c:strRef>
              <c:f>Synthèse!$A$26</c:f>
              <c:strCache>
                <c:ptCount val="1"/>
                <c:pt idx="0">
                  <c:v>Hydroélectricité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Synthèse!$B$26:$AM$26</c:f>
              <c:numCache>
                <c:formatCode>_-* #\ ##0\ _€_-;\-* #\ ##0\ _€_-;_-* "-"??\ _€_-;_-@_-</c:formatCode>
                <c:ptCount val="38"/>
                <c:pt idx="0">
                  <c:v>5167.2261685953299</c:v>
                </c:pt>
                <c:pt idx="1">
                  <c:v>5151.5404501930279</c:v>
                </c:pt>
                <c:pt idx="2">
                  <c:v>5134.9567939112085</c:v>
                </c:pt>
                <c:pt idx="3">
                  <c:v>5117.4752020051701</c:v>
                </c:pt>
                <c:pt idx="4">
                  <c:v>5099.0956773119615</c:v>
                </c:pt>
                <c:pt idx="5">
                  <c:v>5079.8182231349465</c:v>
                </c:pt>
                <c:pt idx="6">
                  <c:v>5059.6428431165332</c:v>
                </c:pt>
                <c:pt idx="7">
                  <c:v>5038.5695411037414</c:v>
                </c:pt>
                <c:pt idx="8">
                  <c:v>5016.5983210113982</c:v>
                </c:pt>
                <c:pt idx="9">
                  <c:v>4993.7291866876758</c:v>
                </c:pt>
                <c:pt idx="10">
                  <c:v>4969.9621417864118</c:v>
                </c:pt>
                <c:pt idx="11">
                  <c:v>4945.2971896503004</c:v>
                </c:pt>
                <c:pt idx="12">
                  <c:v>4919.7343332085356</c:v>
                </c:pt>
                <c:pt idx="13">
                  <c:v>4893.2735748918749</c:v>
                </c:pt>
                <c:pt idx="14">
                  <c:v>4865.9149165673907</c:v>
                </c:pt>
                <c:pt idx="15">
                  <c:v>4837.6583594944686</c:v>
                </c:pt>
                <c:pt idx="16">
                  <c:v>4808.5039043028028</c:v>
                </c:pt>
                <c:pt idx="17">
                  <c:v>4778.451550992394</c:v>
                </c:pt>
                <c:pt idx="18">
                  <c:v>4748.3982121037316</c:v>
                </c:pt>
                <c:pt idx="19">
                  <c:v>4718.3439358744481</c:v>
                </c:pt>
                <c:pt idx="20">
                  <c:v>4688.288792300079</c:v>
                </c:pt>
                <c:pt idx="21">
                  <c:v>4658.2328708886844</c:v>
                </c:pt>
                <c:pt idx="22">
                  <c:v>4628.1762779929395</c:v>
                </c:pt>
                <c:pt idx="23">
                  <c:v>4598.1191337952741</c:v>
                </c:pt>
                <c:pt idx="24">
                  <c:v>4568.0615690283612</c:v>
                </c:pt>
                <c:pt idx="25">
                  <c:v>4538.0037215176817</c:v>
                </c:pt>
                <c:pt idx="26">
                  <c:v>4507.9457326351203</c:v>
                </c:pt>
                <c:pt idx="27">
                  <c:v>4477.887743752558</c:v>
                </c:pt>
                <c:pt idx="28">
                  <c:v>4447.8298927822625</c:v>
                </c:pt>
                <c:pt idx="29">
                  <c:v>4417.7723108865921</c:v>
                </c:pt>
                <c:pt idx="30">
                  <c:v>4387.7151194334137</c:v>
                </c:pt>
                <c:pt idx="31">
                  <c:v>4359.9904021436478</c:v>
                </c:pt>
                <c:pt idx="32">
                  <c:v>4338.0754673739712</c:v>
                </c:pt>
                <c:pt idx="33">
                  <c:v>4317.0590564642525</c:v>
                </c:pt>
                <c:pt idx="34">
                  <c:v>4296.9412187945918</c:v>
                </c:pt>
                <c:pt idx="35">
                  <c:v>4277.7219865268235</c:v>
                </c:pt>
                <c:pt idx="36">
                  <c:v>4259.4013742706957</c:v>
                </c:pt>
                <c:pt idx="37">
                  <c:v>4241.9793791832126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A-411C-A5ED-C76B460A2592}"/>
            </c:ext>
          </c:extLst>
        </c:ser>
        <c:ser>
          <c:idx val="8"/>
          <c:order val="7"/>
          <c:tx>
            <c:strRef>
              <c:f>Synthèse!$A$27</c:f>
              <c:strCache>
                <c:ptCount val="1"/>
                <c:pt idx="0">
                  <c:v>Géothermie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Synthèse!$B$27:$AM$27</c:f>
              <c:numCache>
                <c:formatCode>_-* #\ ##0\ _€_-;\-* #\ ##0\ _€_-;_-* "-"??\ _€_-;_-@_-</c:formatCode>
                <c:ptCount val="38"/>
                <c:pt idx="0">
                  <c:v>0.69747436000000018</c:v>
                </c:pt>
                <c:pt idx="1">
                  <c:v>2.5328993772972535</c:v>
                </c:pt>
                <c:pt idx="2">
                  <c:v>4.3700680804945069</c:v>
                </c:pt>
                <c:pt idx="3">
                  <c:v>6.2072367836917568</c:v>
                </c:pt>
                <c:pt idx="4">
                  <c:v>8.0444054868890102</c:v>
                </c:pt>
                <c:pt idx="5">
                  <c:v>9.8815741900862619</c:v>
                </c:pt>
                <c:pt idx="6">
                  <c:v>11.718742893283515</c:v>
                </c:pt>
                <c:pt idx="7">
                  <c:v>13.555911596480769</c:v>
                </c:pt>
                <c:pt idx="8">
                  <c:v>15.393080299678026</c:v>
                </c:pt>
                <c:pt idx="9">
                  <c:v>17.230249002875279</c:v>
                </c:pt>
                <c:pt idx="10">
                  <c:v>19.067417706072543</c:v>
                </c:pt>
                <c:pt idx="11">
                  <c:v>20.904586409269804</c:v>
                </c:pt>
                <c:pt idx="12">
                  <c:v>22.741755112467064</c:v>
                </c:pt>
                <c:pt idx="13">
                  <c:v>24.578923815664332</c:v>
                </c:pt>
                <c:pt idx="14">
                  <c:v>26.416092518861596</c:v>
                </c:pt>
                <c:pt idx="15">
                  <c:v>28.253261222058875</c:v>
                </c:pt>
                <c:pt idx="16">
                  <c:v>30.090429925256149</c:v>
                </c:pt>
                <c:pt idx="17">
                  <c:v>31.927598628453431</c:v>
                </c:pt>
                <c:pt idx="18">
                  <c:v>33.76476733165071</c:v>
                </c:pt>
                <c:pt idx="19">
                  <c:v>35.601936034848002</c:v>
                </c:pt>
                <c:pt idx="20">
                  <c:v>37.405974705945283</c:v>
                </c:pt>
                <c:pt idx="21">
                  <c:v>39.241399723242573</c:v>
                </c:pt>
                <c:pt idx="22">
                  <c:v>41.07682474053987</c:v>
                </c:pt>
                <c:pt idx="23">
                  <c:v>42.912249757837166</c:v>
                </c:pt>
                <c:pt idx="24">
                  <c:v>44.74767477513447</c:v>
                </c:pt>
                <c:pt idx="25">
                  <c:v>46.58309979243176</c:v>
                </c:pt>
                <c:pt idx="26">
                  <c:v>48.418524809729071</c:v>
                </c:pt>
                <c:pt idx="27">
                  <c:v>50.253949827026389</c:v>
                </c:pt>
                <c:pt idx="28">
                  <c:v>52.089374844323714</c:v>
                </c:pt>
                <c:pt idx="29">
                  <c:v>53.924799861621032</c:v>
                </c:pt>
                <c:pt idx="30">
                  <c:v>55.760224878918365</c:v>
                </c:pt>
                <c:pt idx="31">
                  <c:v>57.595649896215704</c:v>
                </c:pt>
                <c:pt idx="32">
                  <c:v>59.431074913513037</c:v>
                </c:pt>
                <c:pt idx="33">
                  <c:v>61.266499930810376</c:v>
                </c:pt>
                <c:pt idx="34">
                  <c:v>63.101924948107737</c:v>
                </c:pt>
                <c:pt idx="35">
                  <c:v>64.937349965405105</c:v>
                </c:pt>
                <c:pt idx="36">
                  <c:v>66.772774982702487</c:v>
                </c:pt>
                <c:pt idx="37">
                  <c:v>68.608199999999854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A-411C-A5ED-C76B460A2592}"/>
            </c:ext>
          </c:extLst>
        </c:ser>
        <c:ser>
          <c:idx val="9"/>
          <c:order val="8"/>
          <c:tx>
            <c:strRef>
              <c:f>Synthèse!$A$28</c:f>
              <c:strCache>
                <c:ptCount val="1"/>
                <c:pt idx="0">
                  <c:v>Energies marines</c:v>
                </c:pt>
              </c:strCache>
            </c:strRef>
          </c:tx>
          <c:cat>
            <c:numRef>
              <c:f>Synthèse!$B$19:$AM$19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Synthèse!$B$28:$AM$28</c:f>
              <c:numCache>
                <c:formatCode>_-* #\ ##0\ _€_-;\-* #\ ##0\ _€_-;_-* "-"??\ _€_-;_-@_-</c:formatCode>
                <c:ptCount val="38"/>
                <c:pt idx="0">
                  <c:v>84.241910432886939</c:v>
                </c:pt>
                <c:pt idx="1">
                  <c:v>84.558474472893565</c:v>
                </c:pt>
                <c:pt idx="2">
                  <c:v>84.836936106121101</c:v>
                </c:pt>
                <c:pt idx="3">
                  <c:v>85.077295332569534</c:v>
                </c:pt>
                <c:pt idx="4">
                  <c:v>85.27955215223885</c:v>
                </c:pt>
                <c:pt idx="5">
                  <c:v>85.443706565129091</c:v>
                </c:pt>
                <c:pt idx="6">
                  <c:v>85.569758571240229</c:v>
                </c:pt>
                <c:pt idx="7">
                  <c:v>85.657708170572263</c:v>
                </c:pt>
                <c:pt idx="8">
                  <c:v>85.707555363125209</c:v>
                </c:pt>
                <c:pt idx="9">
                  <c:v>85.719300148899052</c:v>
                </c:pt>
                <c:pt idx="10">
                  <c:v>85.692942527893791</c:v>
                </c:pt>
                <c:pt idx="11">
                  <c:v>85.628482500109428</c:v>
                </c:pt>
                <c:pt idx="12">
                  <c:v>85.525920065545975</c:v>
                </c:pt>
                <c:pt idx="13">
                  <c:v>85.385255224203419</c:v>
                </c:pt>
                <c:pt idx="14">
                  <c:v>85.20648797608176</c:v>
                </c:pt>
                <c:pt idx="15">
                  <c:v>84.989618321181013</c:v>
                </c:pt>
                <c:pt idx="16">
                  <c:v>84.734646259501162</c:v>
                </c:pt>
                <c:pt idx="17">
                  <c:v>84.441571791042222</c:v>
                </c:pt>
                <c:pt idx="18">
                  <c:v>84.148497322583268</c:v>
                </c:pt>
                <c:pt idx="19">
                  <c:v>83.855422854124328</c:v>
                </c:pt>
                <c:pt idx="20">
                  <c:v>83.562348385665388</c:v>
                </c:pt>
                <c:pt idx="21">
                  <c:v>83.269273917206448</c:v>
                </c:pt>
                <c:pt idx="22">
                  <c:v>82.976199448747522</c:v>
                </c:pt>
                <c:pt idx="23">
                  <c:v>82.683124980288596</c:v>
                </c:pt>
                <c:pt idx="24">
                  <c:v>82.390050511829671</c:v>
                </c:pt>
                <c:pt idx="25">
                  <c:v>82.096976043370759</c:v>
                </c:pt>
                <c:pt idx="26">
                  <c:v>81.803901574911848</c:v>
                </c:pt>
                <c:pt idx="27">
                  <c:v>81.51082710645295</c:v>
                </c:pt>
                <c:pt idx="28">
                  <c:v>81.217752637994053</c:v>
                </c:pt>
                <c:pt idx="29">
                  <c:v>80.924678169535156</c:v>
                </c:pt>
                <c:pt idx="30">
                  <c:v>80.63160370107623</c:v>
                </c:pt>
                <c:pt idx="31">
                  <c:v>80.30399440524792</c:v>
                </c:pt>
                <c:pt idx="32">
                  <c:v>80.183635657697607</c:v>
                </c:pt>
                <c:pt idx="33">
                  <c:v>80.101379316926412</c:v>
                </c:pt>
                <c:pt idx="34">
                  <c:v>80.057225382934334</c:v>
                </c:pt>
                <c:pt idx="35">
                  <c:v>80.051173855721345</c:v>
                </c:pt>
                <c:pt idx="36">
                  <c:v>80.083224735287473</c:v>
                </c:pt>
                <c:pt idx="37">
                  <c:v>80.153378021632733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A-411C-A5ED-C76B460A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1088"/>
        <c:axId val="147642624"/>
      </c:areaChart>
      <c:catAx>
        <c:axId val="1476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42624"/>
        <c:crosses val="autoZero"/>
        <c:auto val="1"/>
        <c:lblAlgn val="ctr"/>
        <c:lblOffset val="100"/>
        <c:noMultiLvlLbl val="0"/>
      </c:catAx>
      <c:valAx>
        <c:axId val="14764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Coûts annualisés de la production EnR (OPEX+CAPEX) en M€</a:t>
                </a:r>
              </a:p>
            </c:rich>
          </c:tx>
          <c:overlay val="0"/>
        </c:title>
        <c:numFmt formatCode="_-* #\ ##0\ _€_-;\-* #\ ##0\ _€_-;_-* &quot;-&quot;??\ _€_-;_-@_-" sourceLinked="1"/>
        <c:majorTickMark val="out"/>
        <c:minorTickMark val="none"/>
        <c:tickLblPos val="nextTo"/>
        <c:crossAx val="1476410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Synthèse!$A$2</c:f>
              <c:strCache>
                <c:ptCount val="1"/>
                <c:pt idx="0">
                  <c:v>Eolien terrestre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Synthèse!$B$2:$AM$2</c:f>
              <c:numCache>
                <c:formatCode>0.0</c:formatCode>
                <c:ptCount val="38"/>
                <c:pt idx="0">
                  <c:v>15.9</c:v>
                </c:pt>
                <c:pt idx="1">
                  <c:v>22.530112200820906</c:v>
                </c:pt>
                <c:pt idx="2">
                  <c:v>29.160224401641813</c:v>
                </c:pt>
                <c:pt idx="3">
                  <c:v>35.790336602462723</c:v>
                </c:pt>
                <c:pt idx="4">
                  <c:v>42.420448803283634</c:v>
                </c:pt>
                <c:pt idx="5">
                  <c:v>49.050561004104551</c:v>
                </c:pt>
                <c:pt idx="6">
                  <c:v>55.680673204925476</c:v>
                </c:pt>
                <c:pt idx="7">
                  <c:v>62.310785405746401</c:v>
                </c:pt>
                <c:pt idx="8">
                  <c:v>68.940897606567333</c:v>
                </c:pt>
                <c:pt idx="9">
                  <c:v>75.571009807388265</c:v>
                </c:pt>
                <c:pt idx="10">
                  <c:v>82.201122008209211</c:v>
                </c:pt>
                <c:pt idx="11">
                  <c:v>88.831234209030171</c:v>
                </c:pt>
                <c:pt idx="12">
                  <c:v>95.461346409851132</c:v>
                </c:pt>
                <c:pt idx="13">
                  <c:v>102.09145861067211</c:v>
                </c:pt>
                <c:pt idx="14">
                  <c:v>108.72157081149309</c:v>
                </c:pt>
                <c:pt idx="15">
                  <c:v>115.35168301231408</c:v>
                </c:pt>
                <c:pt idx="16">
                  <c:v>121.98179521313509</c:v>
                </c:pt>
                <c:pt idx="17">
                  <c:v>128.61190741395609</c:v>
                </c:pt>
                <c:pt idx="18">
                  <c:v>135.24201961477712</c:v>
                </c:pt>
                <c:pt idx="19">
                  <c:v>141.87213181559818</c:v>
                </c:pt>
                <c:pt idx="20">
                  <c:v>148.50224401641924</c:v>
                </c:pt>
                <c:pt idx="21">
                  <c:v>155.13235621724033</c:v>
                </c:pt>
                <c:pt idx="22">
                  <c:v>161.76246841806145</c:v>
                </c:pt>
                <c:pt idx="23">
                  <c:v>168.39258061888256</c:v>
                </c:pt>
                <c:pt idx="24">
                  <c:v>175.02269281970371</c:v>
                </c:pt>
                <c:pt idx="25">
                  <c:v>181.65280502052488</c:v>
                </c:pt>
                <c:pt idx="26">
                  <c:v>188.28291722134605</c:v>
                </c:pt>
                <c:pt idx="27">
                  <c:v>194.91302942216726</c:v>
                </c:pt>
                <c:pt idx="28">
                  <c:v>201.54314162298849</c:v>
                </c:pt>
                <c:pt idx="29">
                  <c:v>208.17325382380972</c:v>
                </c:pt>
                <c:pt idx="30">
                  <c:v>214.80336602463098</c:v>
                </c:pt>
                <c:pt idx="31">
                  <c:v>221.43347822545226</c:v>
                </c:pt>
                <c:pt idx="32">
                  <c:v>228.06359042627355</c:v>
                </c:pt>
                <c:pt idx="33">
                  <c:v>234.69370262709486</c:v>
                </c:pt>
                <c:pt idx="34">
                  <c:v>241.32381482791621</c:v>
                </c:pt>
                <c:pt idx="35">
                  <c:v>247.95392702873755</c:v>
                </c:pt>
                <c:pt idx="36">
                  <c:v>254.58403922955893</c:v>
                </c:pt>
                <c:pt idx="37">
                  <c:v>261.2141514303803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4CD-AD64-CF0F69995045}"/>
            </c:ext>
          </c:extLst>
        </c:ser>
        <c:ser>
          <c:idx val="2"/>
          <c:order val="1"/>
          <c:tx>
            <c:strRef>
              <c:f>Synthèse!$A$3</c:f>
              <c:strCache>
                <c:ptCount val="1"/>
                <c:pt idx="0">
                  <c:v>Eolien en mer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Synthèse!$B$3:$AM$3</c:f>
              <c:numCache>
                <c:formatCode>0.0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1.8863313530997785</c:v>
                </c:pt>
                <c:pt idx="6">
                  <c:v>3.772662706199557</c:v>
                </c:pt>
                <c:pt idx="7">
                  <c:v>5.658994059299336</c:v>
                </c:pt>
                <c:pt idx="8">
                  <c:v>7.545325412399114</c:v>
                </c:pt>
                <c:pt idx="9">
                  <c:v>9.431656765498893</c:v>
                </c:pt>
                <c:pt idx="10">
                  <c:v>11.317988118598672</c:v>
                </c:pt>
                <c:pt idx="11">
                  <c:v>12.449786930458544</c:v>
                </c:pt>
                <c:pt idx="12">
                  <c:v>13.581585742318419</c:v>
                </c:pt>
                <c:pt idx="13">
                  <c:v>14.713384554178292</c:v>
                </c:pt>
                <c:pt idx="14">
                  <c:v>15.845183366038167</c:v>
                </c:pt>
                <c:pt idx="15">
                  <c:v>16.976982177898044</c:v>
                </c:pt>
                <c:pt idx="16">
                  <c:v>18.108780989757925</c:v>
                </c:pt>
                <c:pt idx="17">
                  <c:v>19.240579801617809</c:v>
                </c:pt>
                <c:pt idx="18">
                  <c:v>20.372378613477693</c:v>
                </c:pt>
                <c:pt idx="19">
                  <c:v>21.504177425337581</c:v>
                </c:pt>
                <c:pt idx="20">
                  <c:v>22.635976237197468</c:v>
                </c:pt>
                <c:pt idx="21">
                  <c:v>23.767775049057359</c:v>
                </c:pt>
                <c:pt idx="22">
                  <c:v>24.899573860917251</c:v>
                </c:pt>
                <c:pt idx="23">
                  <c:v>26.031372672777145</c:v>
                </c:pt>
                <c:pt idx="24">
                  <c:v>27.163171484637044</c:v>
                </c:pt>
                <c:pt idx="25">
                  <c:v>28.294970296496942</c:v>
                </c:pt>
                <c:pt idx="26">
                  <c:v>29.426769108356844</c:v>
                </c:pt>
                <c:pt idx="27">
                  <c:v>30.558567920216749</c:v>
                </c:pt>
                <c:pt idx="28">
                  <c:v>31.690366732076654</c:v>
                </c:pt>
                <c:pt idx="29">
                  <c:v>32.822165543936563</c:v>
                </c:pt>
                <c:pt idx="30">
                  <c:v>33.953964355796479</c:v>
                </c:pt>
                <c:pt idx="31">
                  <c:v>35.085763167656388</c:v>
                </c:pt>
                <c:pt idx="32">
                  <c:v>36.217561979516319</c:v>
                </c:pt>
                <c:pt idx="33">
                  <c:v>37.349360791376249</c:v>
                </c:pt>
                <c:pt idx="34">
                  <c:v>38.481159603236179</c:v>
                </c:pt>
                <c:pt idx="35">
                  <c:v>39.612958415096116</c:v>
                </c:pt>
                <c:pt idx="36">
                  <c:v>40.744757226956054</c:v>
                </c:pt>
                <c:pt idx="37">
                  <c:v>41.876556038815998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5-44CD-AD64-CF0F69995045}"/>
            </c:ext>
          </c:extLst>
        </c:ser>
        <c:ser>
          <c:idx val="3"/>
          <c:order val="2"/>
          <c:tx>
            <c:strRef>
              <c:f>Synthèse!$A$4</c:f>
              <c:strCache>
                <c:ptCount val="1"/>
                <c:pt idx="0">
                  <c:v>Solaire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Synthèse!$B$4:$AM$4</c:f>
              <c:numCache>
                <c:formatCode>0.0</c:formatCode>
                <c:ptCount val="38"/>
                <c:pt idx="0">
                  <c:v>4.5999999999999996</c:v>
                </c:pt>
                <c:pt idx="1">
                  <c:v>6.6941894977472165</c:v>
                </c:pt>
                <c:pt idx="2">
                  <c:v>8.7883789954944334</c:v>
                </c:pt>
                <c:pt idx="3">
                  <c:v>10.882568493241649</c:v>
                </c:pt>
                <c:pt idx="4">
                  <c:v>12.976757990988867</c:v>
                </c:pt>
                <c:pt idx="5">
                  <c:v>15.070947488736085</c:v>
                </c:pt>
                <c:pt idx="6">
                  <c:v>17.165136986483304</c:v>
                </c:pt>
                <c:pt idx="7">
                  <c:v>19.259326484230527</c:v>
                </c:pt>
                <c:pt idx="8">
                  <c:v>21.353515981977754</c:v>
                </c:pt>
                <c:pt idx="9">
                  <c:v>23.447705479724981</c:v>
                </c:pt>
                <c:pt idx="10">
                  <c:v>25.541894977472211</c:v>
                </c:pt>
                <c:pt idx="11">
                  <c:v>27.636084475219441</c:v>
                </c:pt>
                <c:pt idx="12">
                  <c:v>29.730273972966675</c:v>
                </c:pt>
                <c:pt idx="13">
                  <c:v>31.824463470713908</c:v>
                </c:pt>
                <c:pt idx="14">
                  <c:v>33.918652968461146</c:v>
                </c:pt>
                <c:pt idx="15">
                  <c:v>36.01284246620839</c:v>
                </c:pt>
                <c:pt idx="16">
                  <c:v>38.107031963955635</c:v>
                </c:pt>
                <c:pt idx="17">
                  <c:v>40.201221461702886</c:v>
                </c:pt>
                <c:pt idx="18">
                  <c:v>42.295410959450145</c:v>
                </c:pt>
                <c:pt idx="19">
                  <c:v>44.389600457197403</c:v>
                </c:pt>
                <c:pt idx="20">
                  <c:v>46.483789954944669</c:v>
                </c:pt>
                <c:pt idx="21">
                  <c:v>48.577979452691942</c:v>
                </c:pt>
                <c:pt idx="22">
                  <c:v>50.672168950439215</c:v>
                </c:pt>
                <c:pt idx="23">
                  <c:v>52.766358448186494</c:v>
                </c:pt>
                <c:pt idx="24">
                  <c:v>54.860547945933781</c:v>
                </c:pt>
                <c:pt idx="25">
                  <c:v>56.954737443681068</c:v>
                </c:pt>
                <c:pt idx="26">
                  <c:v>59.048926941428363</c:v>
                </c:pt>
                <c:pt idx="27">
                  <c:v>61.143116439175664</c:v>
                </c:pt>
                <c:pt idx="28">
                  <c:v>63.237305936922965</c:v>
                </c:pt>
                <c:pt idx="29">
                  <c:v>65.331495434670273</c:v>
                </c:pt>
                <c:pt idx="30">
                  <c:v>67.425684932417596</c:v>
                </c:pt>
                <c:pt idx="31">
                  <c:v>69.519874430164919</c:v>
                </c:pt>
                <c:pt idx="32">
                  <c:v>71.614063927912255</c:v>
                </c:pt>
                <c:pt idx="33">
                  <c:v>73.708253425659592</c:v>
                </c:pt>
                <c:pt idx="34">
                  <c:v>75.802442923406943</c:v>
                </c:pt>
                <c:pt idx="35">
                  <c:v>77.896632421154308</c:v>
                </c:pt>
                <c:pt idx="36">
                  <c:v>79.990821918901673</c:v>
                </c:pt>
                <c:pt idx="37">
                  <c:v>82.085011416649053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5-44CD-AD64-CF0F69995045}"/>
            </c:ext>
          </c:extLst>
        </c:ser>
        <c:ser>
          <c:idx val="4"/>
          <c:order val="3"/>
          <c:tx>
            <c:strRef>
              <c:f>Synthèse!$A$5</c:f>
              <c:strCache>
                <c:ptCount val="1"/>
                <c:pt idx="0">
                  <c:v>Méthanisation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Synthèse!$B$5:$AM$5</c:f>
              <c:numCache>
                <c:formatCode>0.0</c:formatCode>
                <c:ptCount val="38"/>
                <c:pt idx="0">
                  <c:v>1.5</c:v>
                </c:pt>
                <c:pt idx="1">
                  <c:v>1.6765326100052658</c:v>
                </c:pt>
                <c:pt idx="2">
                  <c:v>1.8530652200105315</c:v>
                </c:pt>
                <c:pt idx="3">
                  <c:v>2.0295978300157973</c:v>
                </c:pt>
                <c:pt idx="4">
                  <c:v>2.2061304400210635</c:v>
                </c:pt>
                <c:pt idx="5">
                  <c:v>2.3826630500263297</c:v>
                </c:pt>
                <c:pt idx="6">
                  <c:v>2.5591956600315964</c:v>
                </c:pt>
                <c:pt idx="7">
                  <c:v>2.7357282700368635</c:v>
                </c:pt>
                <c:pt idx="8">
                  <c:v>2.9122608800421306</c:v>
                </c:pt>
                <c:pt idx="9">
                  <c:v>3.0887934900473981</c:v>
                </c:pt>
                <c:pt idx="10">
                  <c:v>3.2653261000526661</c:v>
                </c:pt>
                <c:pt idx="11">
                  <c:v>3.4418587100579341</c:v>
                </c:pt>
                <c:pt idx="12">
                  <c:v>3.6183913200632025</c:v>
                </c:pt>
                <c:pt idx="13">
                  <c:v>3.7949239300684714</c:v>
                </c:pt>
                <c:pt idx="14">
                  <c:v>3.9714565400737403</c:v>
                </c:pt>
                <c:pt idx="15">
                  <c:v>4.1479891500790096</c:v>
                </c:pt>
                <c:pt idx="16">
                  <c:v>4.3245217600842798</c:v>
                </c:pt>
                <c:pt idx="17">
                  <c:v>4.50105437008955</c:v>
                </c:pt>
                <c:pt idx="18">
                  <c:v>4.6775869800948211</c:v>
                </c:pt>
                <c:pt idx="19">
                  <c:v>4.8541195901000931</c:v>
                </c:pt>
                <c:pt idx="20">
                  <c:v>5.0306522001053651</c:v>
                </c:pt>
                <c:pt idx="21">
                  <c:v>5.2071848101106379</c:v>
                </c:pt>
                <c:pt idx="22">
                  <c:v>5.3837174201159108</c:v>
                </c:pt>
                <c:pt idx="23">
                  <c:v>5.5602500301211846</c:v>
                </c:pt>
                <c:pt idx="24">
                  <c:v>5.7367826401264583</c:v>
                </c:pt>
                <c:pt idx="25">
                  <c:v>5.913315250131733</c:v>
                </c:pt>
                <c:pt idx="26">
                  <c:v>6.0898478601370085</c:v>
                </c:pt>
                <c:pt idx="27">
                  <c:v>6.2663804701422841</c:v>
                </c:pt>
                <c:pt idx="28">
                  <c:v>6.4429130801475605</c:v>
                </c:pt>
                <c:pt idx="29">
                  <c:v>6.6194456901528378</c:v>
                </c:pt>
                <c:pt idx="30">
                  <c:v>6.7959783001581151</c:v>
                </c:pt>
                <c:pt idx="31">
                  <c:v>6.9725109101633933</c:v>
                </c:pt>
                <c:pt idx="32">
                  <c:v>7.1490435201686724</c:v>
                </c:pt>
                <c:pt idx="33">
                  <c:v>7.3255761301739515</c:v>
                </c:pt>
                <c:pt idx="34">
                  <c:v>7.5021087401792315</c:v>
                </c:pt>
                <c:pt idx="35">
                  <c:v>7.6786413501845123</c:v>
                </c:pt>
                <c:pt idx="36">
                  <c:v>7.8551739601897932</c:v>
                </c:pt>
                <c:pt idx="37">
                  <c:v>8.0317065701950749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5-44CD-AD64-CF0F69995045}"/>
            </c:ext>
          </c:extLst>
        </c:ser>
        <c:ser>
          <c:idx val="5"/>
          <c:order val="4"/>
          <c:tx>
            <c:strRef>
              <c:f>Synthèse!$A$7</c:f>
              <c:strCache>
                <c:ptCount val="1"/>
                <c:pt idx="0">
                  <c:v>UIOM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Synthèse!$B$7:$AM$7</c:f>
              <c:numCache>
                <c:formatCode>0.0</c:formatCode>
                <c:ptCount val="38"/>
                <c:pt idx="0">
                  <c:v>2.1363670350000006</c:v>
                </c:pt>
                <c:pt idx="1">
                  <c:v>2.1802392772972929</c:v>
                </c:pt>
                <c:pt idx="2">
                  <c:v>2.2241115195945858</c:v>
                </c:pt>
                <c:pt idx="3">
                  <c:v>2.2679837618918786</c:v>
                </c:pt>
                <c:pt idx="4">
                  <c:v>2.3118560041891714</c:v>
                </c:pt>
                <c:pt idx="5">
                  <c:v>2.3557282464864646</c:v>
                </c:pt>
                <c:pt idx="6">
                  <c:v>2.3996004887837579</c:v>
                </c:pt>
                <c:pt idx="7">
                  <c:v>2.4434727310810516</c:v>
                </c:pt>
                <c:pt idx="8">
                  <c:v>2.4873449733783457</c:v>
                </c:pt>
                <c:pt idx="9">
                  <c:v>2.5312172156756398</c:v>
                </c:pt>
                <c:pt idx="10">
                  <c:v>2.5750894579729344</c:v>
                </c:pt>
                <c:pt idx="11">
                  <c:v>2.6189617002702295</c:v>
                </c:pt>
                <c:pt idx="12">
                  <c:v>2.6628339425675245</c:v>
                </c:pt>
                <c:pt idx="13">
                  <c:v>2.70670618486482</c:v>
                </c:pt>
                <c:pt idx="14">
                  <c:v>2.7505784271621159</c:v>
                </c:pt>
                <c:pt idx="15">
                  <c:v>2.7944506694594118</c:v>
                </c:pt>
                <c:pt idx="16">
                  <c:v>2.8383229117567081</c:v>
                </c:pt>
                <c:pt idx="17">
                  <c:v>2.8821951540540049</c:v>
                </c:pt>
                <c:pt idx="18">
                  <c:v>2.9260673963513018</c:v>
                </c:pt>
                <c:pt idx="19">
                  <c:v>2.969939638648599</c:v>
                </c:pt>
                <c:pt idx="20">
                  <c:v>3.0138118809458967</c:v>
                </c:pt>
                <c:pt idx="21">
                  <c:v>3.0576841232431944</c:v>
                </c:pt>
                <c:pt idx="22">
                  <c:v>3.1015563655404925</c:v>
                </c:pt>
                <c:pt idx="23">
                  <c:v>3.1454286078377911</c:v>
                </c:pt>
                <c:pt idx="24">
                  <c:v>3.1893008501350897</c:v>
                </c:pt>
                <c:pt idx="25">
                  <c:v>3.2331730924323887</c:v>
                </c:pt>
                <c:pt idx="26">
                  <c:v>3.2770453347296882</c:v>
                </c:pt>
                <c:pt idx="27">
                  <c:v>3.3209175770269876</c:v>
                </c:pt>
                <c:pt idx="28">
                  <c:v>3.3647898193242876</c:v>
                </c:pt>
                <c:pt idx="29">
                  <c:v>3.4086620616215879</c:v>
                </c:pt>
                <c:pt idx="30">
                  <c:v>3.4525343039188883</c:v>
                </c:pt>
                <c:pt idx="31">
                  <c:v>3.4964065462161891</c:v>
                </c:pt>
                <c:pt idx="32">
                  <c:v>3.5402787885134903</c:v>
                </c:pt>
                <c:pt idx="33">
                  <c:v>3.5841510308107916</c:v>
                </c:pt>
                <c:pt idx="34">
                  <c:v>3.6280232731080932</c:v>
                </c:pt>
                <c:pt idx="35">
                  <c:v>3.6718955154053954</c:v>
                </c:pt>
                <c:pt idx="36">
                  <c:v>3.7157677577026975</c:v>
                </c:pt>
                <c:pt idx="37">
                  <c:v>3.7596400000000001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5-44CD-AD64-CF0F69995045}"/>
            </c:ext>
          </c:extLst>
        </c:ser>
        <c:ser>
          <c:idx val="6"/>
          <c:order val="5"/>
          <c:tx>
            <c:strRef>
              <c:f>Synthèse!$A$8</c:f>
              <c:strCache>
                <c:ptCount val="1"/>
                <c:pt idx="0">
                  <c:v>Bois énergie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Synthèse!$B$8:$AM$8</c:f>
              <c:numCache>
                <c:formatCode>0.0</c:formatCode>
                <c:ptCount val="38"/>
                <c:pt idx="0">
                  <c:v>1.7041322700000003</c:v>
                </c:pt>
                <c:pt idx="1">
                  <c:v>2.2673854424204674</c:v>
                </c:pt>
                <c:pt idx="2">
                  <c:v>2.8306386148409342</c:v>
                </c:pt>
                <c:pt idx="3">
                  <c:v>3.3938917872614009</c:v>
                </c:pt>
                <c:pt idx="4">
                  <c:v>3.9571449596818682</c:v>
                </c:pt>
                <c:pt idx="5">
                  <c:v>4.5203981321023354</c:v>
                </c:pt>
                <c:pt idx="6">
                  <c:v>5.0836513045228031</c:v>
                </c:pt>
                <c:pt idx="7">
                  <c:v>5.6469044769432717</c:v>
                </c:pt>
                <c:pt idx="8">
                  <c:v>6.2101576493637412</c:v>
                </c:pt>
                <c:pt idx="9">
                  <c:v>6.7734108217842106</c:v>
                </c:pt>
                <c:pt idx="10">
                  <c:v>7.336663994204681</c:v>
                </c:pt>
                <c:pt idx="11">
                  <c:v>7.8999171666251522</c:v>
                </c:pt>
                <c:pt idx="12">
                  <c:v>8.4631703390456234</c:v>
                </c:pt>
                <c:pt idx="13">
                  <c:v>9.0264235114660956</c:v>
                </c:pt>
                <c:pt idx="14">
                  <c:v>9.5896766838865695</c:v>
                </c:pt>
                <c:pt idx="15">
                  <c:v>10.152929856307045</c:v>
                </c:pt>
                <c:pt idx="16">
                  <c:v>10.716183028727521</c:v>
                </c:pt>
                <c:pt idx="17">
                  <c:v>11.279436201147998</c:v>
                </c:pt>
                <c:pt idx="18">
                  <c:v>11.842689373568476</c:v>
                </c:pt>
                <c:pt idx="19">
                  <c:v>12.405942545988955</c:v>
                </c:pt>
                <c:pt idx="20">
                  <c:v>12.969195718409434</c:v>
                </c:pt>
                <c:pt idx="21">
                  <c:v>13.532448890829915</c:v>
                </c:pt>
                <c:pt idx="22">
                  <c:v>14.095702063250398</c:v>
                </c:pt>
                <c:pt idx="23">
                  <c:v>14.658955235670881</c:v>
                </c:pt>
                <c:pt idx="24">
                  <c:v>15.222208408091365</c:v>
                </c:pt>
                <c:pt idx="25">
                  <c:v>15.785461580511852</c:v>
                </c:pt>
                <c:pt idx="26">
                  <c:v>16.348714752932338</c:v>
                </c:pt>
                <c:pt idx="27">
                  <c:v>16.911967925352826</c:v>
                </c:pt>
                <c:pt idx="28">
                  <c:v>17.475221097773318</c:v>
                </c:pt>
                <c:pt idx="29">
                  <c:v>18.038474270193809</c:v>
                </c:pt>
                <c:pt idx="30">
                  <c:v>18.601727442614305</c:v>
                </c:pt>
                <c:pt idx="31">
                  <c:v>19.164980615034803</c:v>
                </c:pt>
                <c:pt idx="32">
                  <c:v>19.728233787455302</c:v>
                </c:pt>
                <c:pt idx="33">
                  <c:v>20.291486959875805</c:v>
                </c:pt>
                <c:pt idx="34">
                  <c:v>20.85474013229631</c:v>
                </c:pt>
                <c:pt idx="35">
                  <c:v>21.417993304716816</c:v>
                </c:pt>
                <c:pt idx="36">
                  <c:v>21.981246477137326</c:v>
                </c:pt>
                <c:pt idx="37">
                  <c:v>22.544499649557835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A5-44CD-AD64-CF0F69995045}"/>
            </c:ext>
          </c:extLst>
        </c:ser>
        <c:ser>
          <c:idx val="7"/>
          <c:order val="6"/>
          <c:tx>
            <c:strRef>
              <c:f>Synthèse!$A$9</c:f>
              <c:strCache>
                <c:ptCount val="1"/>
                <c:pt idx="0">
                  <c:v>Hydroélectricité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Synthèse!$B$9:$AM$9</c:f>
              <c:numCache>
                <c:formatCode>0.0</c:formatCode>
                <c:ptCount val="38"/>
                <c:pt idx="0">
                  <c:v>68.521000000000015</c:v>
                </c:pt>
                <c:pt idx="1">
                  <c:v>68.32490380287976</c:v>
                </c:pt>
                <c:pt idx="2">
                  <c:v>68.128807605759505</c:v>
                </c:pt>
                <c:pt idx="3">
                  <c:v>67.932711408639236</c:v>
                </c:pt>
                <c:pt idx="4">
                  <c:v>67.736615211518966</c:v>
                </c:pt>
                <c:pt idx="5">
                  <c:v>67.540519014398683</c:v>
                </c:pt>
                <c:pt idx="6">
                  <c:v>67.344422817278385</c:v>
                </c:pt>
                <c:pt idx="7">
                  <c:v>67.148326620158088</c:v>
                </c:pt>
                <c:pt idx="8">
                  <c:v>66.952230423037776</c:v>
                </c:pt>
                <c:pt idx="9">
                  <c:v>66.756134225917449</c:v>
                </c:pt>
                <c:pt idx="10">
                  <c:v>66.560038028797123</c:v>
                </c:pt>
                <c:pt idx="11">
                  <c:v>66.363941831676783</c:v>
                </c:pt>
                <c:pt idx="12">
                  <c:v>66.167845634556429</c:v>
                </c:pt>
                <c:pt idx="13">
                  <c:v>65.971749437436074</c:v>
                </c:pt>
                <c:pt idx="14">
                  <c:v>65.775653240315705</c:v>
                </c:pt>
                <c:pt idx="15">
                  <c:v>65.579557043195337</c:v>
                </c:pt>
                <c:pt idx="16">
                  <c:v>65.383460846074954</c:v>
                </c:pt>
                <c:pt idx="17">
                  <c:v>65.187364648954571</c:v>
                </c:pt>
                <c:pt idx="18">
                  <c:v>64.991268451834173</c:v>
                </c:pt>
                <c:pt idx="19">
                  <c:v>64.795172254713762</c:v>
                </c:pt>
                <c:pt idx="20">
                  <c:v>64.599076057593351</c:v>
                </c:pt>
                <c:pt idx="21">
                  <c:v>64.402979860472925</c:v>
                </c:pt>
                <c:pt idx="22">
                  <c:v>64.206883663352485</c:v>
                </c:pt>
                <c:pt idx="23">
                  <c:v>64.010787466232046</c:v>
                </c:pt>
                <c:pt idx="24">
                  <c:v>63.814691269111592</c:v>
                </c:pt>
                <c:pt idx="25">
                  <c:v>63.61859507199113</c:v>
                </c:pt>
                <c:pt idx="26">
                  <c:v>63.422498874870669</c:v>
                </c:pt>
                <c:pt idx="27">
                  <c:v>63.226402677750201</c:v>
                </c:pt>
                <c:pt idx="28">
                  <c:v>63.030306480629726</c:v>
                </c:pt>
                <c:pt idx="29">
                  <c:v>62.83421028350925</c:v>
                </c:pt>
                <c:pt idx="30">
                  <c:v>62.638114086388768</c:v>
                </c:pt>
                <c:pt idx="31">
                  <c:v>62.442017889268278</c:v>
                </c:pt>
                <c:pt idx="32">
                  <c:v>62.245921692147789</c:v>
                </c:pt>
                <c:pt idx="33">
                  <c:v>62.049825495027292</c:v>
                </c:pt>
                <c:pt idx="34">
                  <c:v>61.853729297906789</c:v>
                </c:pt>
                <c:pt idx="35">
                  <c:v>61.657633100786285</c:v>
                </c:pt>
                <c:pt idx="36">
                  <c:v>61.461536903665774</c:v>
                </c:pt>
                <c:pt idx="37">
                  <c:v>61.265440706545263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A5-44CD-AD64-CF0F69995045}"/>
            </c:ext>
          </c:extLst>
        </c:ser>
        <c:ser>
          <c:idx val="8"/>
          <c:order val="7"/>
          <c:tx>
            <c:strRef>
              <c:f>Synthèse!$A$10</c:f>
              <c:strCache>
                <c:ptCount val="1"/>
                <c:pt idx="0">
                  <c:v>Géothermie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Synthèse!$B$10:$AM$10</c:f>
              <c:numCache>
                <c:formatCode>0.0</c:formatCode>
                <c:ptCount val="38"/>
                <c:pt idx="0">
                  <c:v>1.2025420000000004E-2</c:v>
                </c:pt>
                <c:pt idx="1">
                  <c:v>4.3670678918918189E-2</c:v>
                </c:pt>
                <c:pt idx="2">
                  <c:v>7.5315937837836369E-2</c:v>
                </c:pt>
                <c:pt idx="3">
                  <c:v>0.10696119675675456</c:v>
                </c:pt>
                <c:pt idx="4">
                  <c:v>0.13860645567567276</c:v>
                </c:pt>
                <c:pt idx="5">
                  <c:v>0.17025171459459099</c:v>
                </c:pt>
                <c:pt idx="6">
                  <c:v>0.20189697351350924</c:v>
                </c:pt>
                <c:pt idx="7">
                  <c:v>0.2335422324324275</c:v>
                </c:pt>
                <c:pt idx="8">
                  <c:v>0.26518749135134578</c:v>
                </c:pt>
                <c:pt idx="9">
                  <c:v>0.29683275027026412</c:v>
                </c:pt>
                <c:pt idx="10">
                  <c:v>0.32847800918918246</c:v>
                </c:pt>
                <c:pt idx="11">
                  <c:v>0.36012326810810086</c:v>
                </c:pt>
                <c:pt idx="12">
                  <c:v>0.39176852702701925</c:v>
                </c:pt>
                <c:pt idx="13">
                  <c:v>0.4234137859459377</c:v>
                </c:pt>
                <c:pt idx="14">
                  <c:v>0.45505904486485621</c:v>
                </c:pt>
                <c:pt idx="15">
                  <c:v>0.48670430378377472</c:v>
                </c:pt>
                <c:pt idx="16">
                  <c:v>0.51834956270269328</c:v>
                </c:pt>
                <c:pt idx="17">
                  <c:v>0.54999482162161195</c:v>
                </c:pt>
                <c:pt idx="18">
                  <c:v>0.58164008054053062</c:v>
                </c:pt>
                <c:pt idx="19">
                  <c:v>0.61328533945944941</c:v>
                </c:pt>
                <c:pt idx="20">
                  <c:v>0.64493059837836819</c:v>
                </c:pt>
                <c:pt idx="21">
                  <c:v>0.67657585729728709</c:v>
                </c:pt>
                <c:pt idx="22">
                  <c:v>0.70822111621620609</c:v>
                </c:pt>
                <c:pt idx="23">
                  <c:v>0.7398663751351251</c:v>
                </c:pt>
                <c:pt idx="24">
                  <c:v>0.77151163405404422</c:v>
                </c:pt>
                <c:pt idx="25">
                  <c:v>0.80315689297296344</c:v>
                </c:pt>
                <c:pt idx="26">
                  <c:v>0.83480215189188267</c:v>
                </c:pt>
                <c:pt idx="27">
                  <c:v>0.86644741081080201</c:v>
                </c:pt>
                <c:pt idx="28">
                  <c:v>0.89809266972972146</c:v>
                </c:pt>
                <c:pt idx="29">
                  <c:v>0.92973792864864091</c:v>
                </c:pt>
                <c:pt idx="30">
                  <c:v>0.96138318756756047</c:v>
                </c:pt>
                <c:pt idx="31">
                  <c:v>0.99302844648648014</c:v>
                </c:pt>
                <c:pt idx="32">
                  <c:v>1.0246737054053998</c:v>
                </c:pt>
                <c:pt idx="33">
                  <c:v>1.0563189643243196</c:v>
                </c:pt>
                <c:pt idx="34">
                  <c:v>1.0879642232432396</c:v>
                </c:pt>
                <c:pt idx="35">
                  <c:v>1.1196094821621596</c:v>
                </c:pt>
                <c:pt idx="36">
                  <c:v>1.1512547410810798</c:v>
                </c:pt>
                <c:pt idx="37">
                  <c:v>1.1829000000000001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A5-44CD-AD64-CF0F69995045}"/>
            </c:ext>
          </c:extLst>
        </c:ser>
        <c:ser>
          <c:idx val="9"/>
          <c:order val="8"/>
          <c:tx>
            <c:strRef>
              <c:f>Synthèse!$A$11</c:f>
              <c:strCache>
                <c:ptCount val="1"/>
                <c:pt idx="0">
                  <c:v>Energies marines</c:v>
                </c:pt>
              </c:strCache>
            </c:strRef>
          </c:tx>
          <c:cat>
            <c:numRef>
              <c:f>Synthèse!$B$1:$AM$1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Synthèse!$B$11:$AM$11</c:f>
              <c:numCache>
                <c:formatCode>0.0</c:formatCode>
                <c:ptCount val="38"/>
                <c:pt idx="0">
                  <c:v>0.41868</c:v>
                </c:pt>
                <c:pt idx="1">
                  <c:v>0.42044268257898243</c:v>
                </c:pt>
                <c:pt idx="2">
                  <c:v>0.42220536515796492</c:v>
                </c:pt>
                <c:pt idx="3">
                  <c:v>0.42396804773694746</c:v>
                </c:pt>
                <c:pt idx="4">
                  <c:v>0.42573073031593001</c:v>
                </c:pt>
                <c:pt idx="5">
                  <c:v>0.42749341289491261</c:v>
                </c:pt>
                <c:pt idx="6">
                  <c:v>0.42925609547389526</c:v>
                </c:pt>
                <c:pt idx="7">
                  <c:v>0.43101877805287792</c:v>
                </c:pt>
                <c:pt idx="8">
                  <c:v>0.43278146063186063</c:v>
                </c:pt>
                <c:pt idx="9">
                  <c:v>0.43454414321084339</c:v>
                </c:pt>
                <c:pt idx="10">
                  <c:v>0.43630682578982616</c:v>
                </c:pt>
                <c:pt idx="11">
                  <c:v>0.43806950836880898</c:v>
                </c:pt>
                <c:pt idx="12">
                  <c:v>0.4398321909477918</c:v>
                </c:pt>
                <c:pt idx="13">
                  <c:v>0.44159487352677468</c:v>
                </c:pt>
                <c:pt idx="14">
                  <c:v>0.44335755610575756</c:v>
                </c:pt>
                <c:pt idx="15">
                  <c:v>0.44512023868474049</c:v>
                </c:pt>
                <c:pt idx="16">
                  <c:v>0.44688292126372348</c:v>
                </c:pt>
                <c:pt idx="17">
                  <c:v>0.44864560384270646</c:v>
                </c:pt>
                <c:pt idx="18">
                  <c:v>0.45040828642168951</c:v>
                </c:pt>
                <c:pt idx="19">
                  <c:v>0.45217096900067261</c:v>
                </c:pt>
                <c:pt idx="20">
                  <c:v>0.45393365157965571</c:v>
                </c:pt>
                <c:pt idx="21">
                  <c:v>0.45569633415863886</c:v>
                </c:pt>
                <c:pt idx="22">
                  <c:v>0.45745901673762207</c:v>
                </c:pt>
                <c:pt idx="23">
                  <c:v>0.45922169931660528</c:v>
                </c:pt>
                <c:pt idx="24">
                  <c:v>0.46098438189558855</c:v>
                </c:pt>
                <c:pt idx="25">
                  <c:v>0.46274706447457187</c:v>
                </c:pt>
                <c:pt idx="26">
                  <c:v>0.46450974705355519</c:v>
                </c:pt>
                <c:pt idx="27">
                  <c:v>0.46627242963253857</c:v>
                </c:pt>
                <c:pt idx="28">
                  <c:v>0.468035112211522</c:v>
                </c:pt>
                <c:pt idx="29">
                  <c:v>0.46979779479050543</c:v>
                </c:pt>
                <c:pt idx="30">
                  <c:v>0.47156047736948892</c:v>
                </c:pt>
                <c:pt idx="31">
                  <c:v>0.47332315994847246</c:v>
                </c:pt>
                <c:pt idx="32">
                  <c:v>0.475085842527456</c:v>
                </c:pt>
                <c:pt idx="33">
                  <c:v>0.4768485251064396</c:v>
                </c:pt>
                <c:pt idx="34">
                  <c:v>0.47861120768542326</c:v>
                </c:pt>
                <c:pt idx="35">
                  <c:v>0.48037389026440691</c:v>
                </c:pt>
                <c:pt idx="36">
                  <c:v>0.48213657284339062</c:v>
                </c:pt>
                <c:pt idx="37">
                  <c:v>0.48389925542237439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A5-44CD-AD64-CF0F6999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7712"/>
        <c:axId val="146389248"/>
      </c:areaChart>
      <c:catAx>
        <c:axId val="1463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89248"/>
        <c:crosses val="autoZero"/>
        <c:auto val="1"/>
        <c:lblAlgn val="ctr"/>
        <c:lblOffset val="100"/>
        <c:noMultiLvlLbl val="0"/>
      </c:catAx>
      <c:valAx>
        <c:axId val="14638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Production électrique EnR en TWh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63877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61</xdr:row>
      <xdr:rowOff>71437</xdr:rowOff>
    </xdr:from>
    <xdr:to>
      <xdr:col>8</xdr:col>
      <xdr:colOff>133350</xdr:colOff>
      <xdr:row>75</xdr:row>
      <xdr:rowOff>147637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68</xdr:row>
      <xdr:rowOff>4761</xdr:rowOff>
    </xdr:from>
    <xdr:to>
      <xdr:col>15</xdr:col>
      <xdr:colOff>142875</xdr:colOff>
      <xdr:row>89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333375</xdr:colOff>
      <xdr:row>89</xdr:row>
      <xdr:rowOff>157163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29</xdr:row>
      <xdr:rowOff>157162</xdr:rowOff>
    </xdr:from>
    <xdr:to>
      <xdr:col>14</xdr:col>
      <xdr:colOff>781050</xdr:colOff>
      <xdr:row>45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29</xdr:row>
      <xdr:rowOff>171450</xdr:rowOff>
    </xdr:from>
    <xdr:to>
      <xdr:col>5</xdr:col>
      <xdr:colOff>257176</xdr:colOff>
      <xdr:row>45</xdr:row>
      <xdr:rowOff>14288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1800225</xdr:colOff>
      <xdr:row>0</xdr:row>
      <xdr:rowOff>95250</xdr:rowOff>
    </xdr:from>
    <xdr:ext cx="8938986" cy="311496"/>
    <xdr:sp macro="" textlink="">
      <xdr:nvSpPr>
        <xdr:cNvPr id="3" name="ZoneTexte 2"/>
        <xdr:cNvSpPr txBox="1"/>
      </xdr:nvSpPr>
      <xdr:spPr>
        <a:xfrm>
          <a:off x="1800225" y="95250"/>
          <a:ext cx="8938986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"Chronique d'investissement" qui se trouve dans le dossier parent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25</xdr:row>
      <xdr:rowOff>38100</xdr:rowOff>
    </xdr:from>
    <xdr:ext cx="8343053" cy="311496"/>
    <xdr:sp macro="" textlink="">
      <xdr:nvSpPr>
        <xdr:cNvPr id="2" name="ZoneTexte 1"/>
        <xdr:cNvSpPr txBox="1"/>
      </xdr:nvSpPr>
      <xdr:spPr>
        <a:xfrm>
          <a:off x="838200" y="4800600"/>
          <a:ext cx="8343053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à l'aide du fichier "Toutesvariantes" qui se trouve dans le dossier ressources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1</xdr:row>
      <xdr:rowOff>38100</xdr:rowOff>
    </xdr:from>
    <xdr:ext cx="6731330" cy="311496"/>
    <xdr:sp macro="" textlink="">
      <xdr:nvSpPr>
        <xdr:cNvPr id="2" name="ZoneTexte 1"/>
        <xdr:cNvSpPr txBox="1"/>
      </xdr:nvSpPr>
      <xdr:spPr>
        <a:xfrm>
          <a:off x="5391150" y="228600"/>
          <a:ext cx="6731330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scénario concerné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</xdr:row>
      <xdr:rowOff>0</xdr:rowOff>
    </xdr:from>
    <xdr:ext cx="8033481" cy="311496"/>
    <xdr:sp macro="" textlink="">
      <xdr:nvSpPr>
        <xdr:cNvPr id="2" name="ZoneTexte 1"/>
        <xdr:cNvSpPr txBox="1"/>
      </xdr:nvSpPr>
      <xdr:spPr>
        <a:xfrm>
          <a:off x="2619375" y="4219575"/>
          <a:ext cx="8033481" cy="3114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>
              <a:solidFill>
                <a:srgbClr val="FF0000"/>
              </a:solidFill>
            </a:rPr>
            <a:t>Mettre à jour les</a:t>
          </a:r>
          <a:r>
            <a:rPr lang="fr-FR" sz="1400" b="1" baseline="0">
              <a:solidFill>
                <a:srgbClr val="FF0000"/>
              </a:solidFill>
            </a:rPr>
            <a:t> cellules bleutées avec les données de production du fichier excel "Graphe d'étape 2030"</a:t>
          </a:r>
          <a:endParaRPr lang="fr-FR" sz="14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e.fr/documents/consultations-publiques/quatriemes-tarifs-d-utilisation-des-reseaux-publics-d-electricit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71"/>
  <sheetViews>
    <sheetView tabSelected="1" topLeftCell="A108" workbookViewId="0">
      <selection activeCell="C112" sqref="C112"/>
    </sheetView>
  </sheetViews>
  <sheetFormatPr baseColWidth="10" defaultRowHeight="15" x14ac:dyDescent="0.25"/>
  <cols>
    <col min="1" max="1" width="58.28515625" customWidth="1"/>
    <col min="3" max="3" width="12.7109375" bestFit="1" customWidth="1"/>
  </cols>
  <sheetData>
    <row r="1" spans="1:39" x14ac:dyDescent="0.25">
      <c r="A1" s="162" t="s">
        <v>249</v>
      </c>
    </row>
    <row r="2" spans="1:39" x14ac:dyDescent="0.25">
      <c r="A2" s="164" t="s">
        <v>220</v>
      </c>
    </row>
    <row r="4" spans="1:39" x14ac:dyDescent="0.25">
      <c r="A4" t="s">
        <v>239</v>
      </c>
      <c r="B4">
        <f>'Coûts annuel génération élec'!E1</f>
        <v>2013</v>
      </c>
      <c r="C4">
        <f>'Coûts annuel génération élec'!F1</f>
        <v>2014</v>
      </c>
      <c r="D4">
        <f>'Coûts annuel génération élec'!G1</f>
        <v>2015</v>
      </c>
      <c r="E4">
        <f>'Coûts annuel génération élec'!H1</f>
        <v>2016</v>
      </c>
      <c r="F4">
        <f>'Coûts annuel génération élec'!I1</f>
        <v>2017</v>
      </c>
      <c r="G4">
        <f>'Coûts annuel génération élec'!J1</f>
        <v>2018</v>
      </c>
      <c r="H4">
        <f>'Coûts annuel génération élec'!K1</f>
        <v>2019</v>
      </c>
      <c r="I4">
        <f>'Coûts annuel génération élec'!L1</f>
        <v>2020</v>
      </c>
      <c r="J4">
        <f>'Coûts annuel génération élec'!M1</f>
        <v>2021</v>
      </c>
      <c r="K4">
        <f>'Coûts annuel génération élec'!N1</f>
        <v>2022</v>
      </c>
      <c r="L4">
        <f>'Coûts annuel génération élec'!O1</f>
        <v>2023</v>
      </c>
      <c r="M4">
        <f>'Coûts annuel génération élec'!P1</f>
        <v>2024</v>
      </c>
      <c r="N4">
        <f>'Coûts annuel génération élec'!Q1</f>
        <v>2025</v>
      </c>
      <c r="O4">
        <f>'Coûts annuel génération élec'!R1</f>
        <v>2026</v>
      </c>
      <c r="P4">
        <f>'Coûts annuel génération élec'!S1</f>
        <v>2027</v>
      </c>
      <c r="Q4">
        <f>'Coûts annuel génération élec'!T1</f>
        <v>2028</v>
      </c>
      <c r="R4">
        <f>'Coûts annuel génération élec'!U1</f>
        <v>2029</v>
      </c>
      <c r="S4">
        <f>'Coûts annuel génération élec'!V1</f>
        <v>2030</v>
      </c>
      <c r="T4">
        <f>'Coûts annuel génération élec'!W1</f>
        <v>2031</v>
      </c>
      <c r="U4">
        <f>'Coûts annuel génération élec'!X1</f>
        <v>2032</v>
      </c>
      <c r="V4">
        <f>'Coûts annuel génération élec'!Y1</f>
        <v>2033</v>
      </c>
      <c r="W4">
        <f>'Coûts annuel génération élec'!Z1</f>
        <v>2034</v>
      </c>
      <c r="X4">
        <f>'Coûts annuel génération élec'!AA1</f>
        <v>2035</v>
      </c>
      <c r="Y4">
        <f>'Coûts annuel génération élec'!AB1</f>
        <v>2036</v>
      </c>
      <c r="Z4">
        <f>'Coûts annuel génération élec'!AC1</f>
        <v>2037</v>
      </c>
      <c r="AA4">
        <f>'Coûts annuel génération élec'!AD1</f>
        <v>2038</v>
      </c>
      <c r="AB4">
        <f>'Coûts annuel génération élec'!AE1</f>
        <v>2039</v>
      </c>
      <c r="AC4">
        <f>'Coûts annuel génération élec'!AF1</f>
        <v>2040</v>
      </c>
      <c r="AD4">
        <f>'Coûts annuel génération élec'!AG1</f>
        <v>2041</v>
      </c>
      <c r="AE4">
        <f>'Coûts annuel génération élec'!AH1</f>
        <v>2042</v>
      </c>
      <c r="AF4">
        <f>'Coûts annuel génération élec'!AI1</f>
        <v>2043</v>
      </c>
      <c r="AG4">
        <f>'Coûts annuel génération élec'!AJ1</f>
        <v>2044</v>
      </c>
      <c r="AH4">
        <f>'Coûts annuel génération élec'!AK1</f>
        <v>2045</v>
      </c>
      <c r="AI4">
        <f>'Coûts annuel génération élec'!AL1</f>
        <v>2046</v>
      </c>
      <c r="AJ4">
        <f>'Coûts annuel génération élec'!AM1</f>
        <v>2047</v>
      </c>
      <c r="AK4">
        <f>'Coûts annuel génération élec'!AN1</f>
        <v>2048</v>
      </c>
      <c r="AL4">
        <f>'Coûts annuel génération élec'!AO1</f>
        <v>2049</v>
      </c>
      <c r="AM4">
        <f>'Coûts annuel génération élec'!AP1</f>
        <v>2050</v>
      </c>
    </row>
    <row r="5" spans="1:39" x14ac:dyDescent="0.25">
      <c r="A5" t="s">
        <v>215</v>
      </c>
      <c r="B5">
        <f>'Coûts annuels réseaux et stocka'!E36</f>
        <v>0</v>
      </c>
      <c r="C5">
        <f>'Coûts annuels réseaux et stocka'!F36</f>
        <v>0</v>
      </c>
      <c r="D5">
        <f>'Coûts annuels réseaux et stocka'!G36</f>
        <v>0</v>
      </c>
      <c r="E5">
        <f>'Coûts annuels réseaux et stocka'!H36</f>
        <v>0</v>
      </c>
      <c r="F5">
        <f>'Coûts annuels réseaux et stocka'!I36</f>
        <v>0</v>
      </c>
      <c r="G5">
        <f>'Coûts annuels réseaux et stocka'!J36</f>
        <v>0</v>
      </c>
      <c r="H5">
        <f>'Coûts annuels réseaux et stocka'!K36</f>
        <v>0</v>
      </c>
      <c r="I5">
        <f>'Coûts annuels réseaux et stocka'!L36</f>
        <v>0</v>
      </c>
      <c r="J5">
        <f>'Coûts annuels réseaux et stocka'!M36</f>
        <v>0</v>
      </c>
      <c r="K5">
        <f>'Coûts annuels réseaux et stocka'!N36</f>
        <v>0</v>
      </c>
      <c r="L5">
        <f>'Coûts annuels réseaux et stocka'!O36</f>
        <v>0</v>
      </c>
      <c r="M5">
        <f>'Coûts annuels réseaux et stocka'!P36</f>
        <v>0</v>
      </c>
      <c r="N5">
        <f>'Coûts annuels réseaux et stocka'!Q36</f>
        <v>0</v>
      </c>
      <c r="O5">
        <f>'Coûts annuels réseaux et stocka'!R36</f>
        <v>0</v>
      </c>
      <c r="P5">
        <f>'Coûts annuels réseaux et stocka'!S36</f>
        <v>0</v>
      </c>
      <c r="Q5">
        <f>'Coûts annuels réseaux et stocka'!T36</f>
        <v>0</v>
      </c>
      <c r="R5">
        <f>'Coûts annuels réseaux et stocka'!U36</f>
        <v>0</v>
      </c>
      <c r="S5">
        <f>'Coûts annuels réseaux et stocka'!V36</f>
        <v>0</v>
      </c>
      <c r="T5">
        <f>'Coûts annuels réseaux et stocka'!W36</f>
        <v>0</v>
      </c>
      <c r="U5">
        <f>'Coûts annuels réseaux et stocka'!X36</f>
        <v>0</v>
      </c>
      <c r="V5">
        <f>'Coûts annuels réseaux et stocka'!Y36</f>
        <v>0</v>
      </c>
      <c r="W5">
        <f>'Coûts annuels réseaux et stocka'!Z36</f>
        <v>0</v>
      </c>
      <c r="X5">
        <f>'Coûts annuels réseaux et stocka'!AA36</f>
        <v>0</v>
      </c>
      <c r="Y5">
        <f>'Coûts annuels réseaux et stocka'!AB36</f>
        <v>0</v>
      </c>
      <c r="Z5">
        <f>'Coûts annuels réseaux et stocka'!AC36</f>
        <v>0</v>
      </c>
      <c r="AA5">
        <f>'Coûts annuels réseaux et stocka'!AD36</f>
        <v>0</v>
      </c>
      <c r="AB5">
        <f>'Coûts annuels réseaux et stocka'!AE36</f>
        <v>0</v>
      </c>
      <c r="AC5">
        <f>'Coûts annuels réseaux et stocka'!AF36</f>
        <v>0</v>
      </c>
      <c r="AD5">
        <f>'Coûts annuels réseaux et stocka'!AG36</f>
        <v>0</v>
      </c>
      <c r="AE5">
        <f>'Coûts annuels réseaux et stocka'!AH36</f>
        <v>208.46005166607648</v>
      </c>
      <c r="AF5">
        <f>'Coûts annuels réseaux et stocka'!AI36</f>
        <v>415.95653401117374</v>
      </c>
      <c r="AG5">
        <f>'Coûts annuels réseaux et stocka'!AJ36</f>
        <v>622.49079596029469</v>
      </c>
      <c r="AH5">
        <f>'Coûts annuels réseaux et stocka'!AK36</f>
        <v>828.06400199574114</v>
      </c>
      <c r="AI5">
        <f>'Coûts annuels réseaux et stocka'!AL36</f>
        <v>1032.677108174187</v>
      </c>
      <c r="AJ5">
        <f>'Coûts annuels réseaux et stocka'!AM36</f>
        <v>1236.3308438318018</v>
      </c>
      <c r="AK5">
        <f>'Coûts annuels réseaux et stocka'!AN36</f>
        <v>1439.0256992857389</v>
      </c>
      <c r="AL5">
        <f>'Coûts annuels réseaux et stocka'!AO36</f>
        <v>1640.7619196860176</v>
      </c>
      <c r="AM5">
        <f>'Coûts annuels réseaux et stocka'!AP36</f>
        <v>1841.5395050175209</v>
      </c>
    </row>
    <row r="6" spans="1:39" x14ac:dyDescent="0.25">
      <c r="A6" t="s">
        <v>212</v>
      </c>
      <c r="B6">
        <f>'Coûts annuel génération élec'!E9+'Coûts annuel génération élec'!E13</f>
        <v>919.99535393843985</v>
      </c>
      <c r="C6">
        <f>'Coûts annuel génération élec'!F9+'Coûts annuel génération élec'!F13</f>
        <v>1300.4635284241044</v>
      </c>
      <c r="D6">
        <f>'Coûts annuel génération élec'!G9+'Coûts annuel génération élec'!G13</f>
        <v>1680.0726695006692</v>
      </c>
      <c r="E6">
        <f>'Coûts annuel génération élec'!H9+'Coûts annuel génération élec'!H13</f>
        <v>2056.5227887832898</v>
      </c>
      <c r="F6">
        <f>'Coûts annuel génération élec'!I9+'Coûts annuel génération élec'!I13</f>
        <v>2429.8138862719643</v>
      </c>
      <c r="G6">
        <f>'Coûts annuel génération élec'!J9+'Coûts annuel génération élec'!J13</f>
        <v>2952.6227060259221</v>
      </c>
      <c r="H6">
        <f>'Coûts annuel génération élec'!K9+'Coûts annuel génération élec'!K13</f>
        <v>3468.5814178658215</v>
      </c>
      <c r="I6">
        <f>'Coûts annuel génération élec'!L9+'Coûts annuel génération élec'!L13</f>
        <v>3977.6900217916627</v>
      </c>
      <c r="J6">
        <f>'Coûts annuel génération élec'!M9+'Coûts annuel génération élec'!M13</f>
        <v>4479.9485178034465</v>
      </c>
      <c r="K6">
        <f>'Coûts annuel génération élec'!N9+'Coûts annuel génération élec'!N13</f>
        <v>4975.3569059011706</v>
      </c>
      <c r="L6">
        <f>'Coûts annuel génération élec'!O9+'Coûts annuel génération élec'!O13</f>
        <v>5463.9151860848378</v>
      </c>
      <c r="M6">
        <f>'Coûts annuel génération élec'!P9+'Coûts annuel génération élec'!P13</f>
        <v>5893.4112674190283</v>
      </c>
      <c r="N6">
        <f>'Coûts annuel génération élec'!Q9+'Coûts annuel génération élec'!Q13</f>
        <v>6317.5336752872072</v>
      </c>
      <c r="O6">
        <f>'Coûts annuel génération élec'!R9+'Coûts annuel génération élec'!R13</f>
        <v>6736.2824096893719</v>
      </c>
      <c r="P6">
        <f>'Coûts annuel génération élec'!S9+'Coûts annuel génération élec'!S13</f>
        <v>7149.6574706255269</v>
      </c>
      <c r="Q6">
        <f>'Coûts annuel génération élec'!T9+'Coûts annuel génération élec'!T13</f>
        <v>7557.6588580956659</v>
      </c>
      <c r="R6">
        <f>'Coûts annuel génération élec'!U9+'Coûts annuel génération élec'!U13</f>
        <v>7960.2865720997961</v>
      </c>
      <c r="S6">
        <f>'Coûts annuel génération élec'!V9+'Coûts annuel génération élec'!V13</f>
        <v>8357.540612637913</v>
      </c>
      <c r="T6">
        <f>'Coûts annuel génération élec'!W9+'Coûts annuel génération élec'!W13</f>
        <v>8752.9386723896241</v>
      </c>
      <c r="U6">
        <f>'Coûts annuel génération élec'!X9+'Coûts annuel génération élec'!X13</f>
        <v>9146.4807513549313</v>
      </c>
      <c r="V6">
        <f>'Coûts annuel génération élec'!Y9+'Coûts annuel génération élec'!Y13</f>
        <v>9494.4670702217536</v>
      </c>
      <c r="W6">
        <f>'Coûts annuel génération élec'!Z9+'Coûts annuel génération élec'!Z13</f>
        <v>9832.4074815349049</v>
      </c>
      <c r="X6">
        <f>'Coûts annuel génération élec'!AA9+'Coûts annuel génération élec'!AA13</f>
        <v>10170.452098867216</v>
      </c>
      <c r="Y6">
        <f>'Coûts annuel génération élec'!AB9+'Coûts annuel génération élec'!AB13</f>
        <v>10508.600922218697</v>
      </c>
      <c r="Z6">
        <f>'Coûts annuel génération élec'!AC9+'Coûts annuel génération élec'!AC13</f>
        <v>10846.853951589344</v>
      </c>
      <c r="AA6">
        <f>'Coûts annuel génération élec'!AD9+'Coûts annuel génération élec'!AD13</f>
        <v>11134.072866551407</v>
      </c>
      <c r="AB6">
        <f>'Coûts annuel génération élec'!AE9+'Coûts annuel génération élec'!AE13</f>
        <v>11424.231412779449</v>
      </c>
      <c r="AC6">
        <f>'Coûts annuel génération élec'!AF9+'Coûts annuel génération élec'!AF13</f>
        <v>11717.32959027347</v>
      </c>
      <c r="AD6">
        <f>'Coûts annuel génération élec'!AG9+'Coûts annuel génération élec'!AG13</f>
        <v>12013.367399033476</v>
      </c>
      <c r="AE6">
        <f>'Coûts annuel génération élec'!AH9+'Coûts annuel génération élec'!AH13</f>
        <v>12312.34483905946</v>
      </c>
      <c r="AF6">
        <f>'Coûts annuel génération élec'!AI9+'Coûts annuel génération élec'!AI13</f>
        <v>12614.261910351424</v>
      </c>
      <c r="AG6">
        <f>'Coûts annuel génération élec'!AJ9+'Coûts annuel génération élec'!AJ13</f>
        <v>12932.768920488117</v>
      </c>
      <c r="AH6">
        <f>'Coûts annuel génération élec'!AK9+'Coûts annuel génération élec'!AK13</f>
        <v>13253.081391792064</v>
      </c>
      <c r="AI6">
        <f>'Coûts annuel génération élec'!AL9+'Coûts annuel génération élec'!AL13</f>
        <v>13575.199324263263</v>
      </c>
      <c r="AJ6">
        <f>'Coûts annuel génération élec'!AM9+'Coûts annuel génération élec'!AM13</f>
        <v>13899.122717901721</v>
      </c>
      <c r="AK6">
        <f>'Coûts annuel génération élec'!AN9+'Coûts annuel génération élec'!AN13</f>
        <v>14224.851572707432</v>
      </c>
      <c r="AL6">
        <f>'Coûts annuel génération élec'!AO9+'Coûts annuel génération élec'!AO13</f>
        <v>14552.385888680399</v>
      </c>
      <c r="AM6">
        <f>'Coûts annuel génération élec'!AP9+'Coûts annuel génération élec'!AP13</f>
        <v>14881.725665820624</v>
      </c>
    </row>
    <row r="7" spans="1:39" x14ac:dyDescent="0.25">
      <c r="A7" t="s">
        <v>213</v>
      </c>
      <c r="B7">
        <f>'Coûts annuel génération élec'!E18</f>
        <v>686.64883751728235</v>
      </c>
      <c r="C7">
        <f>'Coûts annuel génération élec'!F18</f>
        <v>992.21305463259682</v>
      </c>
      <c r="D7">
        <f>'Coûts annuel génération élec'!G18</f>
        <v>1290.7387096960465</v>
      </c>
      <c r="E7">
        <f>'Coûts annuel génération élec'!H18</f>
        <v>1582.2258027076307</v>
      </c>
      <c r="F7">
        <f>'Coûts annuel génération élec'!I18</f>
        <v>1866.6743336673503</v>
      </c>
      <c r="G7">
        <f>'Coûts annuel génération élec'!J18</f>
        <v>2144.0843025752042</v>
      </c>
      <c r="H7">
        <f>'Coûts annuel génération élec'!K18</f>
        <v>2414.4557094311931</v>
      </c>
      <c r="I7">
        <f>'Coûts annuel génération élec'!L18</f>
        <v>2677.788554235317</v>
      </c>
      <c r="J7">
        <f>'Coûts annuel génération élec'!M18</f>
        <v>2934.0828369875767</v>
      </c>
      <c r="K7">
        <f>'Coûts annuel génération élec'!N18</f>
        <v>3183.33855768797</v>
      </c>
      <c r="L7">
        <f>'Coûts annuel génération élec'!O18</f>
        <v>3425.5557163364992</v>
      </c>
      <c r="M7">
        <f>'Coûts annuel génération élec'!P18</f>
        <v>3660.7343129331621</v>
      </c>
      <c r="N7">
        <f>'Coûts annuel génération élec'!Q18</f>
        <v>3888.8743474779612</v>
      </c>
      <c r="O7">
        <f>'Coûts annuel génération élec'!R18</f>
        <v>4109.9758199708931</v>
      </c>
      <c r="P7">
        <f>'Coûts annuel génération élec'!S18</f>
        <v>4324.0387304119613</v>
      </c>
      <c r="Q7">
        <f>'Coûts annuel génération élec'!T18</f>
        <v>4531.0630788011631</v>
      </c>
      <c r="R7">
        <f>'Coûts annuel génération élec'!U18</f>
        <v>4731.0488651384994</v>
      </c>
      <c r="S7">
        <f>'Coûts annuel génération élec'!V18</f>
        <v>4923.9960894239712</v>
      </c>
      <c r="T7">
        <f>'Coûts annuel génération élec'!W18</f>
        <v>5112.6148128382802</v>
      </c>
      <c r="U7">
        <f>'Coûts annuel génération élec'!X18</f>
        <v>5296.9050353814227</v>
      </c>
      <c r="V7">
        <f>'Coûts annuel génération élec'!Y18</f>
        <v>5476.8667570534017</v>
      </c>
      <c r="W7">
        <f>'Coûts annuel génération élec'!Z18</f>
        <v>5652.499977854216</v>
      </c>
      <c r="X7">
        <f>'Coûts annuel génération élec'!AA18</f>
        <v>5823.8046977838658</v>
      </c>
      <c r="Y7">
        <f>'Coûts annuel génération élec'!AB18</f>
        <v>5990.7809168423519</v>
      </c>
      <c r="Z7">
        <f>'Coûts annuel génération élec'!AC18</f>
        <v>6153.4286350296725</v>
      </c>
      <c r="AA7">
        <f>'Coûts annuel génération élec'!AD18</f>
        <v>6311.7478523458294</v>
      </c>
      <c r="AB7">
        <f>'Coûts annuel génération élec'!AE18</f>
        <v>6326.9755123656905</v>
      </c>
      <c r="AC7">
        <f>'Coûts annuel génération élec'!AF18</f>
        <v>6340.9343279158011</v>
      </c>
      <c r="AD7">
        <f>'Coûts annuel génération élec'!AG18</f>
        <v>6353.624298996162</v>
      </c>
      <c r="AE7">
        <f>'Coûts annuel génération élec'!AH18</f>
        <v>6365.0454256067733</v>
      </c>
      <c r="AF7">
        <f>'Coûts annuel génération élec'!AI18</f>
        <v>6375.1977077476349</v>
      </c>
      <c r="AG7">
        <f>'Coûts annuel génération élec'!AJ18</f>
        <v>6384.0811454187451</v>
      </c>
      <c r="AH7">
        <f>'Coûts annuel génération élec'!AK18</f>
        <v>6391.6957386201075</v>
      </c>
      <c r="AI7">
        <f>'Coûts annuel génération élec'!AL18</f>
        <v>6398.0414873517202</v>
      </c>
      <c r="AJ7">
        <f>'Coûts annuel génération élec'!AM18</f>
        <v>6403.1183916135815</v>
      </c>
      <c r="AK7">
        <f>'Coûts annuel génération élec'!AN18</f>
        <v>6406.9264514056958</v>
      </c>
      <c r="AL7">
        <f>'Coûts annuel génération élec'!AO18</f>
        <v>6409.4656667280578</v>
      </c>
      <c r="AM7">
        <f>'Coûts annuel génération élec'!AP18</f>
        <v>6410.7360375806711</v>
      </c>
    </row>
    <row r="8" spans="1:39" x14ac:dyDescent="0.25">
      <c r="A8" t="s">
        <v>214</v>
      </c>
      <c r="B8">
        <f>'Coûts annuel génération élec'!E39+'Coûts annuel génération élec'!E50</f>
        <v>4126.4190057419191</v>
      </c>
      <c r="C8">
        <f>'Coûts annuel génération élec'!F39+'Coûts annuel génération élec'!F50</f>
        <v>4114.2423031278677</v>
      </c>
      <c r="D8">
        <f>'Coûts annuel génération élec'!G39+'Coûts annuel génération élec'!G50</f>
        <v>4101.3341994610146</v>
      </c>
      <c r="E8">
        <f>'Coûts annuel génération élec'!H39+'Coûts annuel génération élec'!H50</f>
        <v>4087.6946965199318</v>
      </c>
      <c r="F8">
        <f>'Coûts annuel génération élec'!I39+'Coûts annuel génération élec'!I50</f>
        <v>4073.3237965419662</v>
      </c>
      <c r="G8">
        <f>'Coûts annuel génération élec'!J39+'Coûts annuel génération élec'!J50</f>
        <v>4058.2215021322108</v>
      </c>
      <c r="H8">
        <f>'Coûts annuel génération élec'!K39+'Coûts annuel génération élec'!K50</f>
        <v>4042.3878161631351</v>
      </c>
      <c r="I8">
        <f>'Coûts annuel génération élec'!L39+'Coûts annuel génération élec'!L50</f>
        <v>4025.8227416685686</v>
      </c>
      <c r="J8">
        <f>'Coûts annuel génération élec'!M39+'Coûts annuel génération élec'!M50</f>
        <v>4008.5262817358152</v>
      </c>
      <c r="K8">
        <f>'Coûts annuel génération élec'!N39+'Coûts annuel génération élec'!N50</f>
        <v>3990.4984393996137</v>
      </c>
      <c r="L8">
        <f>'Coûts annuel génération élec'!O39+'Coûts annuel génération élec'!O50</f>
        <v>3971.739217541447</v>
      </c>
      <c r="M8">
        <f>'Coûts annuel génération élec'!P39+'Coûts annuel génération élec'!P50</f>
        <v>3952.2486187974241</v>
      </c>
      <c r="N8">
        <f>'Coûts annuel génération élec'!Q39+'Coûts annuel génération élec'!Q50</f>
        <v>3932.026645477561</v>
      </c>
      <c r="O8">
        <f>'Coûts annuel génération élec'!R39+'Coûts annuel génération élec'!R50</f>
        <v>3911.0732994987975</v>
      </c>
      <c r="P8">
        <f>'Coûts annuel génération élec'!S39+'Coûts annuel génération élec'!S50</f>
        <v>3889.3885823335399</v>
      </c>
      <c r="Q8">
        <f>'Coûts annuel génération élec'!T39+'Coûts annuel génération élec'!T50</f>
        <v>3866.9724949749643</v>
      </c>
      <c r="R8">
        <f>'Coûts annuel génération élec'!U39+'Coûts annuel génération élec'!U50</f>
        <v>3843.8250379196575</v>
      </c>
      <c r="S8">
        <f>'Coûts annuel génération élec'!V39+'Coûts annuel génération élec'!V50</f>
        <v>3819.9462111676212</v>
      </c>
      <c r="T8">
        <f>'Coûts annuel génération élec'!W39+'Coûts annuel génération élec'!W50</f>
        <v>3796.066607170641</v>
      </c>
      <c r="U8">
        <f>'Coûts annuel génération élec'!X39+'Coûts annuel génération élec'!X50</f>
        <v>3772.1862639697933</v>
      </c>
      <c r="V8">
        <f>'Coûts annuel génération élec'!Y39+'Coûts annuel génération élec'!Y50</f>
        <v>3748.3052367648297</v>
      </c>
      <c r="W8">
        <f>'Coûts annuel génération élec'!Z39+'Coûts annuel génération élec'!Z50</f>
        <v>3724.4235961434356</v>
      </c>
      <c r="X8">
        <f>'Coûts annuel génération élec'!AA39+'Coûts annuel génération élec'!AA50</f>
        <v>3700.5414259772656</v>
      </c>
      <c r="Y8">
        <f>'Coûts annuel génération élec'!AB39+'Coûts annuel génération élec'!AB50</f>
        <v>3676.6588210443706</v>
      </c>
      <c r="Z8">
        <f>'Coûts annuel génération élec'!AC39+'Coûts annuel génération élec'!AC50</f>
        <v>3652.775884442915</v>
      </c>
      <c r="AA8">
        <f>'Coûts annuel génération élec'!AD39+'Coûts annuel génération élec'!AD50</f>
        <v>3628.89272486458</v>
      </c>
      <c r="AB8">
        <f>'Coûts annuel génération élec'!AE39+'Coûts annuel génération élec'!AE50</f>
        <v>3605.0094537978075</v>
      </c>
      <c r="AC8">
        <f>'Coûts annuel génération élec'!AF39+'Coûts annuel génération élec'!AF50</f>
        <v>3581.1261827310341</v>
      </c>
      <c r="AD8">
        <f>'Coûts annuel génération élec'!AG39+'Coûts annuel génération élec'!AG50</f>
        <v>3557.2430204243833</v>
      </c>
      <c r="AE8">
        <f>'Coûts annuel génération élec'!AH39+'Coûts annuel génération élec'!AH50</f>
        <v>3533.3600703148777</v>
      </c>
      <c r="AF8">
        <f>'Coûts annuel génération élec'!AI39+'Coûts annuel génération élec'!AI50</f>
        <v>3509.477428115425</v>
      </c>
      <c r="AG8">
        <f>'Coûts annuel génération élec'!AJ39+'Coûts annuel génération élec'!AJ50</f>
        <v>3487.4131254618869</v>
      </c>
      <c r="AH8">
        <f>'Coûts annuel génération élec'!AK39+'Coûts annuel génération élec'!AK50</f>
        <v>3470.0571005127199</v>
      </c>
      <c r="AI8">
        <f>'Coûts annuel génération élec'!AL39+'Coûts annuel génération élec'!AL50</f>
        <v>3453.43293873119</v>
      </c>
      <c r="AJ8">
        <f>'Coûts annuel génération élec'!AM39+'Coûts annuel génération élec'!AM50</f>
        <v>3437.5406790593429</v>
      </c>
      <c r="AK8">
        <f>'Coûts annuel génération élec'!AN39+'Coûts annuel génération élec'!AN50</f>
        <v>3422.3803468605861</v>
      </c>
      <c r="AL8">
        <f>'Coûts annuel génération élec'!AO39+'Coûts annuel génération élec'!AO50</f>
        <v>3407.9519536564326</v>
      </c>
      <c r="AM8">
        <f>'Coûts annuel génération élec'!AP39+'Coûts annuel génération élec'!AP50</f>
        <v>3394.2554972048456</v>
      </c>
    </row>
    <row r="9" spans="1:39" x14ac:dyDescent="0.25">
      <c r="A9" t="s">
        <v>216</v>
      </c>
      <c r="B9">
        <f>'Coûts annuel génération élec'!E24+'Coûts annuel génération élec'!E29+'Coûts annuel génération élec'!E33+'Coûts annuel génération élec'!E45</f>
        <v>338.77820469625641</v>
      </c>
      <c r="C9">
        <f>'Coûts annuel génération élec'!F24+'Coûts annuel génération élec'!F29+'Coûts annuel génération élec'!F33+'Coûts annuel génération élec'!F45</f>
        <v>384.89288359657832</v>
      </c>
      <c r="D9">
        <f>'Coûts annuel génération élec'!G24+'Coûts annuel génération élec'!G29+'Coûts annuel génération élec'!G33+'Coûts annuel génération élec'!G45</f>
        <v>430.8822026132172</v>
      </c>
      <c r="E9">
        <f>'Coûts annuel génération élec'!H24+'Coûts annuel génération élec'!H29+'Coûts annuel génération élec'!H33+'Coûts annuel génération élec'!H45</f>
        <v>476.34294998615229</v>
      </c>
      <c r="F9">
        <f>'Coûts annuel génération élec'!I24+'Coûts annuel génération élec'!I29+'Coûts annuel génération élec'!I33+'Coûts annuel génération élec'!I45</f>
        <v>521.27512571538364</v>
      </c>
      <c r="G9">
        <f>'Coûts annuel génération élec'!J24+'Coûts annuel génération élec'!J29+'Coûts annuel génération élec'!J33+'Coûts annuel génération élec'!J45</f>
        <v>565.67872980091124</v>
      </c>
      <c r="H9">
        <f>'Coûts annuel génération élec'!K24+'Coûts annuel génération élec'!K29+'Coûts annuel génération élec'!K33+'Coûts annuel génération élec'!K45</f>
        <v>609.55376224273493</v>
      </c>
      <c r="I9">
        <f>'Coûts annuel génération élec'!L24+'Coûts annuel génération élec'!L29+'Coûts annuel génération élec'!L33+'Coûts annuel génération élec'!L45</f>
        <v>652.90022304085505</v>
      </c>
      <c r="J9">
        <f>'Coûts annuel génération élec'!M24+'Coûts annuel génération élec'!M29+'Coûts annuel génération élec'!M33+'Coûts annuel génération élec'!M45</f>
        <v>695.7181121952716</v>
      </c>
      <c r="K9">
        <f>'Coûts annuel génération élec'!N24+'Coûts annuel génération élec'!N29+'Coûts annuel génération élec'!N33+'Coûts annuel génération élec'!N45</f>
        <v>738.00742970598401</v>
      </c>
      <c r="L9">
        <f>'Coûts annuel génération élec'!O24+'Coûts annuel génération élec'!O29+'Coûts annuel génération élec'!O33+'Coûts annuel génération élec'!O45</f>
        <v>779.76817557299285</v>
      </c>
      <c r="M9">
        <f>'Coûts annuel génération élec'!P24+'Coûts annuel génération élec'!P29+'Coûts annuel génération élec'!P33+'Coûts annuel génération élec'!P45</f>
        <v>821.000349796298</v>
      </c>
      <c r="N9">
        <f>'Coûts annuel génération élec'!Q24+'Coûts annuel génération élec'!Q29+'Coûts annuel génération élec'!Q33+'Coûts annuel génération élec'!Q45</f>
        <v>861.70395237589935</v>
      </c>
      <c r="O9">
        <f>'Coûts annuel génération élec'!R24+'Coûts annuel génération élec'!R29+'Coûts annuel génération élec'!R33+'Coûts annuel génération élec'!R45</f>
        <v>901.8789833117969</v>
      </c>
      <c r="P9">
        <f>'Coûts annuel génération élec'!S24+'Coûts annuel génération élec'!S29+'Coûts annuel génération élec'!S33+'Coûts annuel génération élec'!S45</f>
        <v>941.52544260399077</v>
      </c>
      <c r="Q9">
        <f>'Coûts annuel génération élec'!T24+'Coûts annuel génération élec'!T29+'Coûts annuel génération élec'!T33+'Coûts annuel génération élec'!T45</f>
        <v>980.64333025248129</v>
      </c>
      <c r="R9">
        <f>'Coûts annuel génération élec'!U24+'Coûts annuel génération élec'!U29+'Coûts annuel génération élec'!U33+'Coûts annuel génération élec'!U45</f>
        <v>1019.2326462572678</v>
      </c>
      <c r="S9">
        <f>'Coûts annuel génération élec'!V24+'Coûts annuel génération élec'!V29+'Coûts annuel génération élec'!V33+'Coûts annuel génération élec'!V45</f>
        <v>1057.2933906183507</v>
      </c>
      <c r="T9">
        <f>'Coûts annuel génération élec'!W24+'Coûts annuel génération élec'!W29+'Coûts annuel génération élec'!W33+'Coûts annuel génération élec'!W45</f>
        <v>1094.9048490822854</v>
      </c>
      <c r="U9">
        <f>'Coûts annuel génération élec'!X24+'Coûts annuel génération élec'!X29+'Coûts annuel génération élec'!X33+'Coûts annuel génération élec'!X45</f>
        <v>1132.0670216490721</v>
      </c>
      <c r="V9">
        <f>'Coûts annuel génération élec'!Y24+'Coûts annuel génération élec'!Y29+'Coûts annuel génération élec'!Y33+'Coûts annuel génération élec'!Y45</f>
        <v>1161.1188848783154</v>
      </c>
      <c r="W9">
        <f>'Coûts annuel génération élec'!Z24+'Coûts annuel génération élec'!Z29+'Coûts annuel génération élec'!Z33+'Coûts annuel génération élec'!Z45</f>
        <v>1189.9401321892828</v>
      </c>
      <c r="X9">
        <f>'Coûts annuel génération élec'!AA24+'Coûts annuel génération élec'!AA29+'Coûts annuel génération élec'!AA33+'Coûts annuel génération élec'!AA45</f>
        <v>1218.5253438574225</v>
      </c>
      <c r="Y9">
        <f>'Coûts annuel génération élec'!AB24+'Coûts annuel génération élec'!AB29+'Coûts annuel génération élec'!AB33+'Coûts annuel génération élec'!AB45</f>
        <v>1246.8745198827344</v>
      </c>
      <c r="Z9">
        <f>'Coûts annuel génération élec'!AC24+'Coûts annuel génération élec'!AC29+'Coûts annuel génération élec'!AC33+'Coûts annuel génération élec'!AC45</f>
        <v>1274.9876602652182</v>
      </c>
      <c r="AA9">
        <f>'Coûts annuel génération élec'!AD24+'Coûts annuel génération élec'!AD29+'Coûts annuel génération élec'!AD33+'Coûts annuel génération élec'!AD45</f>
        <v>1302.864765004874</v>
      </c>
      <c r="AB9">
        <f>'Coûts annuel génération élec'!AE24+'Coûts annuel génération élec'!AE29+'Coûts annuel génération élec'!AE33+'Coûts annuel génération élec'!AE45</f>
        <v>1330.5058341017022</v>
      </c>
      <c r="AC9">
        <f>'Coûts annuel génération élec'!AF24+'Coûts annuel génération élec'!AF29+'Coûts annuel génération élec'!AF33+'Coûts annuel génération élec'!AF45</f>
        <v>1357.9108675557025</v>
      </c>
      <c r="AD9">
        <f>'Coûts annuel génération élec'!AG24+'Coûts annuel génération élec'!AG29+'Coûts annuel génération élec'!AG33+'Coûts annuel génération élec'!AG45</f>
        <v>1385.0798653668746</v>
      </c>
      <c r="AE9">
        <f>'Coûts annuel génération élec'!AH24+'Coûts annuel génération élec'!AH29+'Coûts annuel génération élec'!AH33+'Coûts annuel génération élec'!AH45</f>
        <v>1412.0128275352188</v>
      </c>
      <c r="AF9">
        <f>'Coûts annuel génération élec'!AI24+'Coûts annuel génération élec'!AI29+'Coûts annuel génération élec'!AI33+'Coûts annuel génération élec'!AI45</f>
        <v>1438.7097540607351</v>
      </c>
      <c r="AG9">
        <f>'Coûts annuel génération élec'!AJ24+'Coûts annuel génération élec'!AJ29+'Coûts annuel génération élec'!AJ33+'Coûts annuel génération élec'!AJ45</f>
        <v>1465.1706449434239</v>
      </c>
      <c r="AH9">
        <f>'Coûts annuel génération élec'!AK24+'Coûts annuel génération élec'!AK29+'Coûts annuel génération élec'!AK33+'Coûts annuel génération élec'!AK45</f>
        <v>1491.3955001832844</v>
      </c>
      <c r="AI9">
        <f>'Coûts annuel génération élec'!AL24+'Coûts annuel génération élec'!AL29+'Coûts annuel génération élec'!AL33+'Coûts annuel génération élec'!AL45</f>
        <v>1517.3843197803174</v>
      </c>
      <c r="AJ9">
        <f>'Coûts annuel génération élec'!AM24+'Coûts annuel génération élec'!AM29+'Coûts annuel génération élec'!AM33+'Coûts annuel génération élec'!AM45</f>
        <v>1543.137103734522</v>
      </c>
      <c r="AK9">
        <f>'Coûts annuel génération élec'!AN24+'Coûts annuel génération élec'!AN29+'Coûts annuel génération élec'!AN33+'Coûts annuel génération élec'!AN45</f>
        <v>1568.6538520458994</v>
      </c>
      <c r="AL9">
        <f>'Coûts annuel génération élec'!AO24+'Coûts annuel génération élec'!AO29+'Coûts annuel génération élec'!AO33+'Coûts annuel génération élec'!AO45</f>
        <v>1593.9345647144485</v>
      </c>
      <c r="AM9">
        <f>'Coûts annuel génération élec'!AP24+'Coûts annuel génération élec'!AP29+'Coûts annuel génération élec'!AP33+'Coûts annuel génération élec'!AP45</f>
        <v>1618.97924174017</v>
      </c>
    </row>
    <row r="10" spans="1:39" x14ac:dyDescent="0.25">
      <c r="A10" t="s">
        <v>218</v>
      </c>
      <c r="B10">
        <f>SUM(B5:B9)</f>
        <v>6071.8414018938984</v>
      </c>
      <c r="C10">
        <f t="shared" ref="C10:AM10" si="0">SUM(C5:C9)</f>
        <v>6791.8117697811467</v>
      </c>
      <c r="D10">
        <f t="shared" si="0"/>
        <v>7503.0277812709473</v>
      </c>
      <c r="E10">
        <f t="shared" si="0"/>
        <v>8202.7862379970047</v>
      </c>
      <c r="F10">
        <f t="shared" si="0"/>
        <v>8891.087142196664</v>
      </c>
      <c r="G10">
        <f t="shared" si="0"/>
        <v>9720.6072405342493</v>
      </c>
      <c r="H10">
        <f t="shared" si="0"/>
        <v>10534.978705702884</v>
      </c>
      <c r="I10">
        <f t="shared" si="0"/>
        <v>11334.201540736403</v>
      </c>
      <c r="J10">
        <f t="shared" si="0"/>
        <v>12118.27574872211</v>
      </c>
      <c r="K10">
        <f t="shared" si="0"/>
        <v>12887.201332694738</v>
      </c>
      <c r="L10">
        <f t="shared" si="0"/>
        <v>13640.978295535777</v>
      </c>
      <c r="M10">
        <f t="shared" si="0"/>
        <v>14327.394548945911</v>
      </c>
      <c r="N10">
        <f t="shared" si="0"/>
        <v>15000.138620618629</v>
      </c>
      <c r="O10">
        <f t="shared" si="0"/>
        <v>15659.21051247086</v>
      </c>
      <c r="P10">
        <f t="shared" si="0"/>
        <v>16304.610225975019</v>
      </c>
      <c r="Q10">
        <f t="shared" si="0"/>
        <v>16936.337762124276</v>
      </c>
      <c r="R10">
        <f t="shared" si="0"/>
        <v>17554.393121415222</v>
      </c>
      <c r="S10">
        <f t="shared" si="0"/>
        <v>18158.776303847855</v>
      </c>
      <c r="T10">
        <f t="shared" si="0"/>
        <v>18756.524941480831</v>
      </c>
      <c r="U10">
        <f t="shared" si="0"/>
        <v>19347.639072355221</v>
      </c>
      <c r="V10">
        <f t="shared" si="0"/>
        <v>19880.757948918301</v>
      </c>
      <c r="W10">
        <f t="shared" si="0"/>
        <v>20399.271187721839</v>
      </c>
      <c r="X10">
        <f t="shared" si="0"/>
        <v>20913.323566485768</v>
      </c>
      <c r="Y10">
        <f t="shared" si="0"/>
        <v>21422.915179988151</v>
      </c>
      <c r="Z10">
        <f t="shared" si="0"/>
        <v>21928.046131327152</v>
      </c>
      <c r="AA10">
        <f t="shared" si="0"/>
        <v>22377.578208766692</v>
      </c>
      <c r="AB10">
        <f t="shared" si="0"/>
        <v>22686.72221304465</v>
      </c>
      <c r="AC10">
        <f t="shared" si="0"/>
        <v>22997.300968476007</v>
      </c>
      <c r="AD10">
        <f t="shared" si="0"/>
        <v>23309.314583820895</v>
      </c>
      <c r="AE10">
        <f t="shared" si="0"/>
        <v>23831.223214182406</v>
      </c>
      <c r="AF10">
        <f t="shared" si="0"/>
        <v>24353.603334286392</v>
      </c>
      <c r="AG10">
        <f t="shared" si="0"/>
        <v>24891.924632272468</v>
      </c>
      <c r="AH10">
        <f t="shared" si="0"/>
        <v>25434.293733103917</v>
      </c>
      <c r="AI10">
        <f t="shared" si="0"/>
        <v>25976.735178300678</v>
      </c>
      <c r="AJ10">
        <f t="shared" si="0"/>
        <v>26519.249736140973</v>
      </c>
      <c r="AK10">
        <f t="shared" si="0"/>
        <v>27061.837922305353</v>
      </c>
      <c r="AL10">
        <f t="shared" si="0"/>
        <v>27604.499993465357</v>
      </c>
      <c r="AM10">
        <f t="shared" si="0"/>
        <v>28147.235947363832</v>
      </c>
    </row>
    <row r="12" spans="1:39" x14ac:dyDescent="0.25">
      <c r="A12" t="s">
        <v>240</v>
      </c>
      <c r="B12">
        <f>B4</f>
        <v>2013</v>
      </c>
      <c r="C12">
        <f t="shared" ref="C12:AM12" si="1">C4</f>
        <v>2014</v>
      </c>
      <c r="D12">
        <f t="shared" si="1"/>
        <v>2015</v>
      </c>
      <c r="E12">
        <f t="shared" si="1"/>
        <v>2016</v>
      </c>
      <c r="F12">
        <f t="shared" si="1"/>
        <v>2017</v>
      </c>
      <c r="G12">
        <f t="shared" si="1"/>
        <v>2018</v>
      </c>
      <c r="H12">
        <f t="shared" si="1"/>
        <v>2019</v>
      </c>
      <c r="I12">
        <f t="shared" si="1"/>
        <v>2020</v>
      </c>
      <c r="J12">
        <f t="shared" si="1"/>
        <v>2021</v>
      </c>
      <c r="K12">
        <f t="shared" si="1"/>
        <v>2022</v>
      </c>
      <c r="L12">
        <f t="shared" si="1"/>
        <v>2023</v>
      </c>
      <c r="M12">
        <f t="shared" si="1"/>
        <v>2024</v>
      </c>
      <c r="N12">
        <f t="shared" si="1"/>
        <v>2025</v>
      </c>
      <c r="O12">
        <f t="shared" si="1"/>
        <v>2026</v>
      </c>
      <c r="P12">
        <f t="shared" si="1"/>
        <v>2027</v>
      </c>
      <c r="Q12">
        <f t="shared" si="1"/>
        <v>2028</v>
      </c>
      <c r="R12">
        <f t="shared" si="1"/>
        <v>2029</v>
      </c>
      <c r="S12">
        <f t="shared" si="1"/>
        <v>2030</v>
      </c>
      <c r="T12">
        <f t="shared" si="1"/>
        <v>2031</v>
      </c>
      <c r="U12">
        <f t="shared" si="1"/>
        <v>2032</v>
      </c>
      <c r="V12">
        <f t="shared" si="1"/>
        <v>2033</v>
      </c>
      <c r="W12">
        <f t="shared" si="1"/>
        <v>2034</v>
      </c>
      <c r="X12">
        <f t="shared" si="1"/>
        <v>2035</v>
      </c>
      <c r="Y12">
        <f t="shared" si="1"/>
        <v>2036</v>
      </c>
      <c r="Z12">
        <f t="shared" si="1"/>
        <v>2037</v>
      </c>
      <c r="AA12">
        <f t="shared" si="1"/>
        <v>2038</v>
      </c>
      <c r="AB12">
        <f t="shared" si="1"/>
        <v>2039</v>
      </c>
      <c r="AC12">
        <f t="shared" si="1"/>
        <v>2040</v>
      </c>
      <c r="AD12">
        <f t="shared" si="1"/>
        <v>2041</v>
      </c>
      <c r="AE12">
        <f t="shared" si="1"/>
        <v>2042</v>
      </c>
      <c r="AF12">
        <f t="shared" si="1"/>
        <v>2043</v>
      </c>
      <c r="AG12">
        <f t="shared" si="1"/>
        <v>2044</v>
      </c>
      <c r="AH12">
        <f t="shared" si="1"/>
        <v>2045</v>
      </c>
      <c r="AI12">
        <f t="shared" si="1"/>
        <v>2046</v>
      </c>
      <c r="AJ12">
        <f t="shared" si="1"/>
        <v>2047</v>
      </c>
      <c r="AK12">
        <f t="shared" si="1"/>
        <v>2048</v>
      </c>
      <c r="AL12">
        <f t="shared" si="1"/>
        <v>2049</v>
      </c>
      <c r="AM12">
        <f t="shared" si="1"/>
        <v>2050</v>
      </c>
    </row>
    <row r="13" spans="1:39" x14ac:dyDescent="0.25">
      <c r="A13" t="s">
        <v>215</v>
      </c>
      <c r="B13">
        <f>'Coûts annuels réseaux et stocka'!E37+'Coûts annuels réseaux et stocka'!E38</f>
        <v>0</v>
      </c>
      <c r="C13">
        <f>'Coûts annuels réseaux et stocka'!F37+'Coûts annuels réseaux et stocka'!F38</f>
        <v>0</v>
      </c>
      <c r="D13">
        <f>'Coûts annuels réseaux et stocka'!G37+'Coûts annuels réseaux et stocka'!G38</f>
        <v>0</v>
      </c>
      <c r="E13">
        <f>'Coûts annuels réseaux et stocka'!H37+'Coûts annuels réseaux et stocka'!H38</f>
        <v>0</v>
      </c>
      <c r="F13">
        <f>'Coûts annuels réseaux et stocka'!I37+'Coûts annuels réseaux et stocka'!I38</f>
        <v>0</v>
      </c>
      <c r="G13">
        <f>'Coûts annuels réseaux et stocka'!J37+'Coûts annuels réseaux et stocka'!J38</f>
        <v>0</v>
      </c>
      <c r="H13">
        <f>'Coûts annuels réseaux et stocka'!K37+'Coûts annuels réseaux et stocka'!K38</f>
        <v>0</v>
      </c>
      <c r="I13">
        <f>'Coûts annuels réseaux et stocka'!L37+'Coûts annuels réseaux et stocka'!L38</f>
        <v>0</v>
      </c>
      <c r="J13">
        <f>'Coûts annuels réseaux et stocka'!M37+'Coûts annuels réseaux et stocka'!M38</f>
        <v>0</v>
      </c>
      <c r="K13">
        <f>'Coûts annuels réseaux et stocka'!N37+'Coûts annuels réseaux et stocka'!N38</f>
        <v>0</v>
      </c>
      <c r="L13">
        <f>'Coûts annuels réseaux et stocka'!O37+'Coûts annuels réseaux et stocka'!O38</f>
        <v>0</v>
      </c>
      <c r="M13">
        <f>'Coûts annuels réseaux et stocka'!P37+'Coûts annuels réseaux et stocka'!P38</f>
        <v>0</v>
      </c>
      <c r="N13">
        <f>'Coûts annuels réseaux et stocka'!Q37+'Coûts annuels réseaux et stocka'!Q38</f>
        <v>0</v>
      </c>
      <c r="O13">
        <f>'Coûts annuels réseaux et stocka'!R37+'Coûts annuels réseaux et stocka'!R38</f>
        <v>0</v>
      </c>
      <c r="P13">
        <f>'Coûts annuels réseaux et stocka'!S37+'Coûts annuels réseaux et stocka'!S38</f>
        <v>0</v>
      </c>
      <c r="Q13">
        <f>'Coûts annuels réseaux et stocka'!T37+'Coûts annuels réseaux et stocka'!T38</f>
        <v>0</v>
      </c>
      <c r="R13">
        <f>'Coûts annuels réseaux et stocka'!U37+'Coûts annuels réseaux et stocka'!U38</f>
        <v>0</v>
      </c>
      <c r="S13">
        <f>'Coûts annuels réseaux et stocka'!V37+'Coûts annuels réseaux et stocka'!V38</f>
        <v>0</v>
      </c>
      <c r="T13">
        <f>'Coûts annuels réseaux et stocka'!W37+'Coûts annuels réseaux et stocka'!W38</f>
        <v>0</v>
      </c>
      <c r="U13">
        <f>'Coûts annuels réseaux et stocka'!X37+'Coûts annuels réseaux et stocka'!X38</f>
        <v>0</v>
      </c>
      <c r="V13">
        <f>'Coûts annuels réseaux et stocka'!Y37+'Coûts annuels réseaux et stocka'!Y38</f>
        <v>0</v>
      </c>
      <c r="W13">
        <f>'Coûts annuels réseaux et stocka'!Z37+'Coûts annuels réseaux et stocka'!Z38</f>
        <v>0</v>
      </c>
      <c r="X13">
        <f>'Coûts annuels réseaux et stocka'!AA37+'Coûts annuels réseaux et stocka'!AA38</f>
        <v>0</v>
      </c>
      <c r="Y13">
        <f>'Coûts annuels réseaux et stocka'!AB37+'Coûts annuels réseaux et stocka'!AB38</f>
        <v>0</v>
      </c>
      <c r="Z13">
        <f>'Coûts annuels réseaux et stocka'!AC37+'Coûts annuels réseaux et stocka'!AC38</f>
        <v>0</v>
      </c>
      <c r="AA13">
        <f>'Coûts annuels réseaux et stocka'!AD37+'Coûts annuels réseaux et stocka'!AD38</f>
        <v>0</v>
      </c>
      <c r="AB13">
        <f>'Coûts annuels réseaux et stocka'!AE37+'Coûts annuels réseaux et stocka'!AE38</f>
        <v>0</v>
      </c>
      <c r="AC13">
        <f>'Coûts annuels réseaux et stocka'!AF37+'Coûts annuels réseaux et stocka'!AF38</f>
        <v>0</v>
      </c>
      <c r="AD13">
        <f>'Coûts annuels réseaux et stocka'!AG37+'Coûts annuels réseaux et stocka'!AG38</f>
        <v>0</v>
      </c>
      <c r="AE13">
        <f>'Coûts annuels réseaux et stocka'!AH37+'Coûts annuels réseaux et stocka'!AH38</f>
        <v>175.95041392056743</v>
      </c>
      <c r="AF13">
        <f>'Coûts annuels réseaux et stocka'!AI37+'Coûts annuels réseaux et stocka'!AI38</f>
        <v>352.86981548914008</v>
      </c>
      <c r="AG13">
        <f>'Coûts annuels réseaux et stocka'!AJ37+'Coûts annuels réseaux et stocka'!AJ38</f>
        <v>530.75836623771431</v>
      </c>
      <c r="AH13">
        <f>'Coûts annuels réseaux et stocka'!AK37+'Coûts annuels réseaux et stocka'!AK38</f>
        <v>709.61620561151472</v>
      </c>
      <c r="AI13">
        <f>'Coûts annuels réseaux et stocka'!AL37+'Coûts annuels réseaux et stocka'!AL38</f>
        <v>889.44344809707195</v>
      </c>
      <c r="AJ13">
        <f>'Coûts annuels réseaux et stocka'!AM37+'Coûts annuels réseaux et stocka'!AM38</f>
        <v>1070.2401810314336</v>
      </c>
      <c r="AK13">
        <f>'Coûts annuels réseaux et stocka'!AN37+'Coûts annuels réseaux et stocka'!AN38</f>
        <v>1252.006463129434</v>
      </c>
      <c r="AL13">
        <f>'Coûts annuels réseaux et stocka'!AO37+'Coûts annuels réseaux et stocka'!AO38</f>
        <v>1434.7423237474659</v>
      </c>
      <c r="AM13">
        <f>'Coûts annuels réseaux et stocka'!AP37+'Coûts annuels réseaux et stocka'!AP38</f>
        <v>1618.4477628837212</v>
      </c>
    </row>
    <row r="14" spans="1:39" x14ac:dyDescent="0.25">
      <c r="A14" t="s">
        <v>212</v>
      </c>
      <c r="B14">
        <f>'Coûts annuel génération élec'!E10+'Coûts annuel génération élec'!E14</f>
        <v>352.00464606156021</v>
      </c>
      <c r="C14">
        <f>'Coûts annuel génération élec'!F10+'Coûts annuel génération élec'!F14</f>
        <v>497.57773458226131</v>
      </c>
      <c r="D14">
        <f>'Coûts annuel génération élec'!G10+'Coûts annuel génération élec'!G14</f>
        <v>642.82214345275486</v>
      </c>
      <c r="E14">
        <f>'Coûts annuel génération élec'!H10+'Coûts annuel génération élec'!H14</f>
        <v>786.85786105788713</v>
      </c>
      <c r="F14">
        <f>'Coûts annuel génération élec'!I10+'Coûts annuel génération élec'!I14</f>
        <v>929.68488739765792</v>
      </c>
      <c r="G14">
        <f>'Coûts annuel génération élec'!J10+'Coûts annuel génération élec'!J14</f>
        <v>1171.0619977247229</v>
      </c>
      <c r="H14">
        <f>'Coûts annuel génération élec'!K10+'Coûts annuel génération élec'!K14</f>
        <v>1408.8186661759228</v>
      </c>
      <c r="I14">
        <f>'Coûts annuel génération élec'!L10+'Coûts annuel génération élec'!L14</f>
        <v>1642.9548927512578</v>
      </c>
      <c r="J14">
        <f>'Coûts annuel génération élec'!M10+'Coûts annuel génération élec'!M14</f>
        <v>1873.4706774507272</v>
      </c>
      <c r="K14">
        <f>'Coûts annuel génération élec'!N10+'Coûts annuel génération élec'!N14</f>
        <v>2100.3660202743317</v>
      </c>
      <c r="L14">
        <f>'Coûts annuel génération élec'!O10+'Coûts annuel génération élec'!O14</f>
        <v>2323.6409212220719</v>
      </c>
      <c r="M14">
        <f>'Coûts annuel génération élec'!P10+'Coûts annuel génération élec'!P14</f>
        <v>2509.1800716580942</v>
      </c>
      <c r="N14">
        <f>'Coûts annuel génération élec'!Q10+'Coûts annuel génération élec'!Q14</f>
        <v>2692.0634804624533</v>
      </c>
      <c r="O14">
        <f>'Coûts annuel génération élec'!R10+'Coûts annuel génération élec'!R14</f>
        <v>2872.2911476351487</v>
      </c>
      <c r="P14">
        <f>'Coûts annuel génération élec'!S10+'Coûts annuel génération élec'!S14</f>
        <v>3049.8630731761814</v>
      </c>
      <c r="Q14">
        <f>'Coûts annuel génération élec'!T10+'Coûts annuel génération élec'!T14</f>
        <v>3224.7792570855495</v>
      </c>
      <c r="R14">
        <f>'Coûts annuel génération élec'!U10+'Coûts annuel génération élec'!U14</f>
        <v>3397.0396993632553</v>
      </c>
      <c r="S14">
        <f>'Coûts annuel génération élec'!V10+'Coûts annuel génération élec'!V14</f>
        <v>3566.6444000092974</v>
      </c>
      <c r="T14">
        <f>'Coûts annuel génération élec'!W10+'Coûts annuel génération élec'!W14</f>
        <v>3735.3999542826459</v>
      </c>
      <c r="U14">
        <f>'Coûts annuel génération élec'!X10+'Coûts annuel génération élec'!X14</f>
        <v>3903.3063621833016</v>
      </c>
      <c r="V14">
        <f>'Coûts annuel génération élec'!Y10+'Coûts annuel génération élec'!Y14</f>
        <v>4053.6434030233381</v>
      </c>
      <c r="W14">
        <f>'Coûts annuel génération élec'!Z10+'Coûts annuel génération élec'!Z14</f>
        <v>4199.997703108229</v>
      </c>
      <c r="X14">
        <f>'Coûts annuel génération élec'!AA10+'Coûts annuel génération élec'!AA14</f>
        <v>4346.2528550239558</v>
      </c>
      <c r="Y14">
        <f>'Coûts annuel génération élec'!AB10+'Coûts annuel génération élec'!AB14</f>
        <v>4492.4088587705191</v>
      </c>
      <c r="Z14">
        <f>'Coûts annuel génération élec'!AC10+'Coûts annuel génération élec'!AC14</f>
        <v>4638.4657143479199</v>
      </c>
      <c r="AA14">
        <f>'Coûts annuel génération élec'!AD10+'Coûts annuel génération élec'!AD14</f>
        <v>4751.0097132979035</v>
      </c>
      <c r="AB14">
        <f>'Coûts annuel génération élec'!AE10+'Coûts annuel génération élec'!AE14</f>
        <v>4865.3072270477014</v>
      </c>
      <c r="AC14">
        <f>'Coûts annuel génération élec'!AF10+'Coûts annuel génération élec'!AF14</f>
        <v>4981.3582555973126</v>
      </c>
      <c r="AD14">
        <f>'Coûts annuel génération élec'!AG10+'Coûts annuel génération élec'!AG14</f>
        <v>5099.1627989467397</v>
      </c>
      <c r="AE14">
        <f>'Coûts annuel génération élec'!AH10+'Coûts annuel génération élec'!AH14</f>
        <v>5218.7208570959792</v>
      </c>
      <c r="AF14">
        <f>'Coûts annuel génération élec'!AI10+'Coûts annuel génération élec'!AI14</f>
        <v>5340.0324300450329</v>
      </c>
      <c r="AG14">
        <f>'Coûts annuel génération élec'!AJ10+'Coûts annuel génération élec'!AJ14</f>
        <v>5472.0166100516562</v>
      </c>
      <c r="AH14">
        <f>'Coûts annuel génération élec'!AK10+'Coûts annuel génération élec'!AK14</f>
        <v>5605.0132396705012</v>
      </c>
      <c r="AI14">
        <f>'Coûts annuel génération élec'!AL10+'Coûts annuel génération élec'!AL14</f>
        <v>5739.0223189015696</v>
      </c>
      <c r="AJ14">
        <f>'Coûts annuel génération élec'!AM10+'Coûts annuel génération élec'!AM14</f>
        <v>5874.0438477448615</v>
      </c>
      <c r="AK14">
        <f>'Coûts annuel génération élec'!AN10+'Coûts annuel génération élec'!AN14</f>
        <v>6010.0778262003751</v>
      </c>
      <c r="AL14">
        <f>'Coûts annuel génération élec'!AO10+'Coûts annuel génération élec'!AO14</f>
        <v>6147.1242542681139</v>
      </c>
      <c r="AM14">
        <f>'Coûts annuel génération élec'!AP10+'Coûts annuel génération élec'!AP14</f>
        <v>6285.1831319480743</v>
      </c>
    </row>
    <row r="15" spans="1:39" x14ac:dyDescent="0.25">
      <c r="A15" t="s">
        <v>213</v>
      </c>
      <c r="B15">
        <f>'Coûts annuel génération élec'!E19</f>
        <v>138.91308784777999</v>
      </c>
      <c r="C15">
        <f>'Coûts annuel génération élec'!F19</f>
        <v>200.73052147040585</v>
      </c>
      <c r="D15">
        <f>'Coûts annuel génération élec'!G19</f>
        <v>261.12401270034081</v>
      </c>
      <c r="E15">
        <f>'Coûts annuel génération élec'!H19</f>
        <v>320.09356153758489</v>
      </c>
      <c r="F15">
        <f>'Coûts annuel génération élec'!I19</f>
        <v>377.63916798213813</v>
      </c>
      <c r="G15">
        <f>'Coûts annuel génération élec'!J19</f>
        <v>433.76083203400032</v>
      </c>
      <c r="H15">
        <f>'Coûts annuel génération élec'!K19</f>
        <v>488.45855369317167</v>
      </c>
      <c r="I15">
        <f>'Coûts annuel génération élec'!L19</f>
        <v>541.73233295965201</v>
      </c>
      <c r="J15">
        <f>'Coûts annuel génération élec'!M19</f>
        <v>593.58216983344175</v>
      </c>
      <c r="K15">
        <f>'Coûts annuel génération élec'!N19</f>
        <v>644.00806431454032</v>
      </c>
      <c r="L15">
        <f>'Coûts annuel génération élec'!O19</f>
        <v>693.01001640294817</v>
      </c>
      <c r="M15">
        <f>'Coûts annuel génération élec'!P19</f>
        <v>740.58802609866484</v>
      </c>
      <c r="N15">
        <f>'Coûts annuel génération élec'!Q19</f>
        <v>786.74209340169091</v>
      </c>
      <c r="O15">
        <f>'Coûts annuel génération élec'!R19</f>
        <v>831.47221831202557</v>
      </c>
      <c r="P15">
        <f>'Coûts annuel génération élec'!S19</f>
        <v>874.77840082966964</v>
      </c>
      <c r="Q15">
        <f>'Coûts annuel génération élec'!T19</f>
        <v>916.66064095462264</v>
      </c>
      <c r="R15">
        <f>'Coûts annuel génération élec'!U19</f>
        <v>957.11893868688458</v>
      </c>
      <c r="S15">
        <f>'Coûts annuel génération élec'!V19</f>
        <v>996.15329402645568</v>
      </c>
      <c r="T15">
        <f>'Coûts annuel génération élec'!W19</f>
        <v>1034.3119682479473</v>
      </c>
      <c r="U15">
        <f>'Coûts annuel génération élec'!X19</f>
        <v>1071.5949613513592</v>
      </c>
      <c r="V15">
        <f>'Coûts annuel génération élec'!Y19</f>
        <v>1108.0022733366914</v>
      </c>
      <c r="W15">
        <f>'Coûts annuel génération élec'!Z19</f>
        <v>1143.5339042039438</v>
      </c>
      <c r="X15">
        <f>'Coûts annuel génération élec'!AA19</f>
        <v>1178.1898539531164</v>
      </c>
      <c r="Y15">
        <f>'Coûts annuel génération élec'!AB19</f>
        <v>1211.9701225842095</v>
      </c>
      <c r="Z15">
        <f>'Coûts annuel génération élec'!AC19</f>
        <v>1244.874710097223</v>
      </c>
      <c r="AA15">
        <f>'Coûts annuel génération élec'!AD19</f>
        <v>1276.9036164921565</v>
      </c>
      <c r="AB15">
        <f>'Coûts annuel génération élec'!AE19</f>
        <v>1279.9842614426429</v>
      </c>
      <c r="AC15">
        <f>'Coûts annuel génération élec'!AF19</f>
        <v>1282.8082117136064</v>
      </c>
      <c r="AD15">
        <f>'Coûts annuel génération élec'!AG19</f>
        <v>1285.3754673050462</v>
      </c>
      <c r="AE15">
        <f>'Coûts annuel génération élec'!AH19</f>
        <v>1287.6860282169628</v>
      </c>
      <c r="AF15">
        <f>'Coûts annuel génération élec'!AI19</f>
        <v>1289.7398944493564</v>
      </c>
      <c r="AG15">
        <f>'Coûts annuel génération élec'!AJ19</f>
        <v>1291.5370660022263</v>
      </c>
      <c r="AH15">
        <f>'Coûts annuel génération élec'!AK19</f>
        <v>1293.0775428755733</v>
      </c>
      <c r="AI15">
        <f>'Coûts annuel génération élec'!AL19</f>
        <v>1294.361325069397</v>
      </c>
      <c r="AJ15">
        <f>'Coûts annuel génération élec'!AM19</f>
        <v>1295.3884125836971</v>
      </c>
      <c r="AK15">
        <f>'Coûts annuel génération élec'!AN19</f>
        <v>1296.1588054184745</v>
      </c>
      <c r="AL15">
        <f>'Coûts annuel génération élec'!AO19</f>
        <v>1296.6725035737281</v>
      </c>
      <c r="AM15">
        <f>'Coûts annuel génération élec'!AP19</f>
        <v>1296.9295070494588</v>
      </c>
    </row>
    <row r="16" spans="1:39" x14ac:dyDescent="0.25">
      <c r="A16" t="s">
        <v>214</v>
      </c>
      <c r="B16">
        <f>'Coûts annuel génération élec'!E40+'Coûts annuel génération élec'!E51</f>
        <v>1125.0490732862979</v>
      </c>
      <c r="C16">
        <f>'Coûts annuel génération élec'!F40+'Coûts annuel génération élec'!F51</f>
        <v>1121.8566215380545</v>
      </c>
      <c r="D16">
        <f>'Coûts annuel génération élec'!G40+'Coûts annuel génération élec'!G51</f>
        <v>1118.4595305563146</v>
      </c>
      <c r="E16">
        <f>'Coûts annuel génération élec'!H40+'Coûts annuel génération élec'!H51</f>
        <v>1114.8578008178079</v>
      </c>
      <c r="F16">
        <f>'Coûts annuel génération élec'!I40+'Coûts annuel génération élec'!I51</f>
        <v>1111.051432922234</v>
      </c>
      <c r="G16">
        <f>'Coûts annuel génération élec'!J40+'Coûts annuel génération élec'!J51</f>
        <v>1107.0404275678648</v>
      </c>
      <c r="H16">
        <f>'Coûts annuel génération élec'!K40+'Coûts annuel génération élec'!K51</f>
        <v>1102.8247855246384</v>
      </c>
      <c r="I16">
        <f>'Coûts annuel génération élec'!L40+'Coûts annuel génération élec'!L51</f>
        <v>1098.404507605745</v>
      </c>
      <c r="J16">
        <f>'Coûts annuel génération élec'!M40+'Coûts annuel génération élec'!M51</f>
        <v>1093.7795946387082</v>
      </c>
      <c r="K16">
        <f>'Coûts annuel génération élec'!N40+'Coûts annuel génération élec'!N51</f>
        <v>1088.9500474369611</v>
      </c>
      <c r="L16">
        <f>'Coûts annuel génération élec'!O40+'Coûts annuel génération élec'!O51</f>
        <v>1083.9158667728589</v>
      </c>
      <c r="M16">
        <f>'Coûts annuel génération élec'!P40+'Coûts annuel génération élec'!P51</f>
        <v>1078.6770533529859</v>
      </c>
      <c r="N16">
        <f>'Coûts annuel génération élec'!Q40+'Coûts annuel génération élec'!Q51</f>
        <v>1073.2336077965206</v>
      </c>
      <c r="O16">
        <f>'Coûts annuel génération élec'!R40+'Coûts annuel génération élec'!R51</f>
        <v>1067.5855306172809</v>
      </c>
      <c r="P16">
        <f>'Coûts annuel génération élec'!S40+'Coûts annuel génération élec'!S51</f>
        <v>1061.7328222099322</v>
      </c>
      <c r="Q16">
        <f>'Coûts annuel génération élec'!T40+'Coûts annuel génération élec'!T51</f>
        <v>1055.6754828406854</v>
      </c>
      <c r="R16">
        <f>'Coûts annuel génération élec'!U40+'Coûts annuel génération élec'!U51</f>
        <v>1049.4135126426463</v>
      </c>
      <c r="S16">
        <f>'Coûts annuel génération élec'!V40+'Coûts annuel génération élec'!V51</f>
        <v>1042.9469116158155</v>
      </c>
      <c r="T16">
        <f>'Coûts annuel génération élec'!W40+'Coûts annuel génération élec'!W51</f>
        <v>1036.4801022556737</v>
      </c>
      <c r="U16">
        <f>'Coûts annuel génération élec'!X40+'Coûts annuel génération élec'!X51</f>
        <v>1030.0130947587793</v>
      </c>
      <c r="V16">
        <f>'Coûts annuel génération élec'!Y40+'Coûts annuel génération élec'!Y51</f>
        <v>1023.5459039209145</v>
      </c>
      <c r="W16">
        <f>'Coûts annuel génération élec'!Z40+'Coûts annuel génération élec'!Z51</f>
        <v>1017.0785486624551</v>
      </c>
      <c r="X16">
        <f>'Coûts annuel génération élec'!AA40+'Coûts annuel génération élec'!AA51</f>
        <v>1010.6110514644213</v>
      </c>
      <c r="Y16">
        <f>'Coûts annuel génération élec'!AB40+'Coûts annuel génération élec'!AB51</f>
        <v>1004.1434377311921</v>
      </c>
      <c r="Z16">
        <f>'Coûts annuel génération élec'!AC40+'Coûts annuel génération élec'!AC51</f>
        <v>997.67573509727606</v>
      </c>
      <c r="AA16">
        <f>'Coûts annuel génération élec'!AD40+'Coûts annuel génération élec'!AD51</f>
        <v>991.20797269647221</v>
      </c>
      <c r="AB16">
        <f>'Coûts annuel génération élec'!AE40+'Coûts annuel génération élec'!AE51</f>
        <v>984.74018041222473</v>
      </c>
      <c r="AC16">
        <f>'Coûts annuel génération élec'!AF40+'Coûts annuel génération élec'!AF51</f>
        <v>978.27238812797691</v>
      </c>
      <c r="AD16">
        <f>'Coûts annuel génération élec'!AG40+'Coûts annuel génération élec'!AG51</f>
        <v>971.80462499587327</v>
      </c>
      <c r="AE16">
        <f>'Coûts annuel génération élec'!AH40+'Coûts annuel génération élec'!AH51</f>
        <v>965.33691874124952</v>
      </c>
      <c r="AF16">
        <f>'Coûts annuel génération élec'!AI40+'Coûts annuel génération élec'!AI51</f>
        <v>958.86929501906479</v>
      </c>
      <c r="AG16">
        <f>'Coûts annuel génération élec'!AJ40+'Coûts annuel génération élec'!AJ51</f>
        <v>952.88127108700883</v>
      </c>
      <c r="AH16">
        <f>'Coûts annuel génération élec'!AK40+'Coûts annuel génération élec'!AK51</f>
        <v>948.20200251894892</v>
      </c>
      <c r="AI16">
        <f>'Coûts annuel génération élec'!AL40+'Coûts annuel génération élec'!AL51</f>
        <v>943.72749704998876</v>
      </c>
      <c r="AJ16">
        <f>'Coûts annuel génération élec'!AM40+'Coûts annuel génération élec'!AM51</f>
        <v>939.45776511818315</v>
      </c>
      <c r="AK16">
        <f>'Coûts annuel génération élec'!AN40+'Coûts annuel génération élec'!AN51</f>
        <v>935.39281352195871</v>
      </c>
      <c r="AL16">
        <f>'Coûts annuel génération élec'!AO40+'Coûts annuel génération élec'!AO51</f>
        <v>931.53264534955019</v>
      </c>
      <c r="AM16">
        <f>'Coûts annuel génération élec'!AP40+'Coûts annuel génération élec'!AP51</f>
        <v>927.87726000000009</v>
      </c>
    </row>
    <row r="17" spans="1:39" x14ac:dyDescent="0.25">
      <c r="A17" t="s">
        <v>216</v>
      </c>
      <c r="B17">
        <f>'Coûts annuel génération élec'!E46+'Coûts annuel génération élec'!E26+'Coûts annuel génération élec'!E25+'Coûts annuel génération élec'!E30+'Coûts annuel génération élec'!E34</f>
        <v>134.39055066374365</v>
      </c>
      <c r="C17">
        <f>'Coûts annuel génération élec'!F46+'Coûts annuel génération élec'!F26+'Coûts annuel génération élec'!F25+'Coûts annuel génération élec'!F30+'Coûts annuel génération élec'!F34</f>
        <v>157.9114430946459</v>
      </c>
      <c r="D17">
        <f>'Coûts annuel génération élec'!G46+'Coûts annuel génération élec'!G26+'Coûts annuel génération élec'!G25+'Coûts annuel génération élec'!G30+'Coûts annuel génération élec'!G34</f>
        <v>181.38213730099804</v>
      </c>
      <c r="E17">
        <f>'Coûts annuel génération élec'!H46+'Coûts annuel génération élec'!H26+'Coûts annuel génération élec'!H25+'Coûts annuel génération élec'!H30+'Coûts annuel génération élec'!H34</f>
        <v>204.64160135692083</v>
      </c>
      <c r="F17">
        <f>'Coûts annuel génération élec'!I46+'Coûts annuel génération élec'!I26+'Coûts annuel génération élec'!I25+'Coûts annuel génération élec'!I30+'Coûts annuel génération élec'!I34</f>
        <v>227.68983526241431</v>
      </c>
      <c r="G17">
        <f>'Coûts annuel génération élec'!J46+'Coûts annuel génération élec'!J26+'Coûts annuel génération élec'!J25+'Coûts annuel génération élec'!J30+'Coûts annuel génération élec'!J34</f>
        <v>250.52683901747844</v>
      </c>
      <c r="H17">
        <f>'Coûts annuel génération élec'!K46+'Coûts annuel génération élec'!K26+'Coûts annuel génération élec'!K25+'Coûts annuel génération élec'!K30+'Coûts annuel génération élec'!K34</f>
        <v>273.15261262211334</v>
      </c>
      <c r="I17">
        <f>'Coûts annuel génération élec'!L46+'Coûts annuel génération élec'!L26+'Coûts annuel génération élec'!L25+'Coûts annuel génération élec'!L30+'Coûts annuel génération élec'!L34</f>
        <v>295.56715607631895</v>
      </c>
      <c r="J17">
        <f>'Coûts annuel génération élec'!M46+'Coûts annuel génération élec'!M26+'Coûts annuel génération élec'!M25+'Coûts annuel génération élec'!M30+'Coûts annuel génération élec'!M34</f>
        <v>317.77046938009516</v>
      </c>
      <c r="K17">
        <f>'Coûts annuel génération élec'!N46+'Coûts annuel génération élec'!N26+'Coûts annuel génération élec'!N25+'Coûts annuel génération élec'!N30+'Coûts annuel génération élec'!N34</f>
        <v>339.7625525334422</v>
      </c>
      <c r="L17">
        <f>'Coûts annuel génération élec'!O46+'Coûts annuel génération élec'!O26+'Coûts annuel génération élec'!O25+'Coûts annuel génération élec'!O30+'Coûts annuel génération élec'!O34</f>
        <v>361.54340553635984</v>
      </c>
      <c r="M17">
        <f>'Coûts annuel génération élec'!P46+'Coûts annuel génération élec'!P26+'Coûts annuel génération élec'!P25+'Coûts annuel génération élec'!P30+'Coûts annuel génération élec'!P34</f>
        <v>383.11302838884819</v>
      </c>
      <c r="N17">
        <f>'Coûts annuel génération élec'!Q46+'Coûts annuel génération élec'!Q26+'Coûts annuel génération élec'!Q25+'Coûts annuel génération élec'!Q30+'Coûts annuel génération élec'!Q34</f>
        <v>404.47142109090731</v>
      </c>
      <c r="O17">
        <f>'Coûts annuel génération élec'!R46+'Coûts annuel génération élec'!R26+'Coûts annuel génération élec'!R25+'Coûts annuel génération élec'!R30+'Coûts annuel génération élec'!R34</f>
        <v>425.61858364253703</v>
      </c>
      <c r="P17">
        <f>'Coûts annuel génération élec'!S46+'Coûts annuel génération élec'!S26+'Coûts annuel génération élec'!S25+'Coûts annuel génération élec'!S30+'Coûts annuel génération élec'!S34</f>
        <v>446.55451604373764</v>
      </c>
      <c r="Q17">
        <f>'Coûts annuel génération élec'!T46+'Coûts annuel génération élec'!T26+'Coûts annuel génération élec'!T25+'Coûts annuel génération élec'!T30+'Coûts annuel génération élec'!T34</f>
        <v>467.27921829450884</v>
      </c>
      <c r="R17">
        <f>'Coûts annuel génération élec'!U46+'Coûts annuel génération élec'!U26+'Coûts annuel génération élec'!U25+'Coûts annuel génération élec'!U30+'Coûts annuel génération élec'!U34</f>
        <v>487.79269039485081</v>
      </c>
      <c r="S17">
        <f>'Coûts annuel génération élec'!V46+'Coûts annuel génération élec'!V26+'Coûts annuel génération élec'!V25+'Coûts annuel génération élec'!V30+'Coûts annuel génération élec'!V34</f>
        <v>508.09493234476349</v>
      </c>
      <c r="T17">
        <f>'Coûts annuel génération élec'!W46+'Coûts annuel génération élec'!W26+'Coûts annuel génération élec'!W25+'Coûts annuel génération élec'!W30+'Coûts annuel génération élec'!W34</f>
        <v>528.21762866681127</v>
      </c>
      <c r="U17">
        <f>'Coûts annuel génération élec'!X46+'Coûts annuel génération élec'!X26+'Coûts annuel génération élec'!X25+'Coûts annuel génération élec'!X30+'Coûts annuel génération élec'!X34</f>
        <v>548.16077936099418</v>
      </c>
      <c r="V17">
        <f>'Coûts annuel génération élec'!Y46+'Coûts annuel génération élec'!Y26+'Coûts annuel génération élec'!Y25+'Coûts annuel génération élec'!Y30+'Coûts annuel génération élec'!Y34</f>
        <v>564.86477783560701</v>
      </c>
      <c r="W17">
        <f>'Coûts annuel génération élec'!Z46+'Coûts annuel génération élec'!Z26+'Coûts annuel génération élec'!Z25+'Coûts annuel génération élec'!Z30+'Coûts annuel génération élec'!Z34</f>
        <v>581.47479224350002</v>
      </c>
      <c r="X17">
        <f>'Coûts annuel génération élec'!AA46+'Coûts annuel génération élec'!AA26+'Coûts annuel génération élec'!AA25+'Coûts annuel génération élec'!AA30+'Coûts annuel génération élec'!AA34</f>
        <v>597.99048103832774</v>
      </c>
      <c r="Y17">
        <f>'Coûts annuel génération élec'!AB46+'Coûts annuel génération élec'!AB26+'Coûts annuel génération élec'!AB25+'Coûts annuel génération élec'!AB30+'Coûts annuel génération élec'!AB34</f>
        <v>614.4118442200903</v>
      </c>
      <c r="Z17">
        <f>'Coûts annuel génération élec'!AC46+'Coûts annuel génération élec'!AC26+'Coûts annuel génération élec'!AC25+'Coûts annuel génération élec'!AC30+'Coûts annuel génération élec'!AC34</f>
        <v>630.73888178878758</v>
      </c>
      <c r="AA17">
        <f>'Coûts annuel génération élec'!AD46+'Coûts annuel génération élec'!AD26+'Coûts annuel génération élec'!AD25+'Coûts annuel génération élec'!AD30+'Coûts annuel génération élec'!AD34</f>
        <v>646.97159374441992</v>
      </c>
      <c r="AB17">
        <f>'Coûts annuel génération élec'!AE46+'Coûts annuel génération élec'!AE26+'Coûts annuel génération élec'!AE25+'Coûts annuel génération élec'!AE30+'Coûts annuel génération élec'!AE34</f>
        <v>663.10998008698698</v>
      </c>
      <c r="AC17">
        <f>'Coûts annuel génération élec'!AF46+'Coûts annuel génération élec'!AF26+'Coûts annuel génération élec'!AF25+'Coûts annuel génération élec'!AF30+'Coûts annuel génération élec'!AF34</f>
        <v>679.15404081648899</v>
      </c>
      <c r="AD17">
        <f>'Coûts annuel génération élec'!AG46+'Coûts annuel génération élec'!AG26+'Coûts annuel génération élec'!AG25+'Coûts annuel génération élec'!AG30+'Coûts annuel génération élec'!AG34</f>
        <v>695.10377593292583</v>
      </c>
      <c r="AE17">
        <f>'Coûts annuel génération élec'!AH46+'Coûts annuel génération élec'!AH26+'Coûts annuel génération élec'!AH25+'Coûts annuel génération élec'!AH30+'Coûts annuel génération élec'!AH34</f>
        <v>710.95918543629739</v>
      </c>
      <c r="AF17">
        <f>'Coûts annuel génération élec'!AI46+'Coûts annuel génération élec'!AI26+'Coûts annuel génération élec'!AI25+'Coûts annuel génération élec'!AI30+'Coûts annuel génération élec'!AI34</f>
        <v>726.7202693266039</v>
      </c>
      <c r="AG17">
        <f>'Coûts annuel génération élec'!AJ46+'Coûts annuel génération élec'!AJ26+'Coûts annuel génération élec'!AJ25+'Coûts annuel génération élec'!AJ30+'Coûts annuel génération élec'!AJ34</f>
        <v>742.38702760384547</v>
      </c>
      <c r="AH17">
        <f>'Coûts annuel génération élec'!AK46+'Coûts annuel génération élec'!AK26+'Coûts annuel génération élec'!AK25+'Coûts annuel génération élec'!AK30+'Coûts annuel génération élec'!AK34</f>
        <v>757.95946026802164</v>
      </c>
      <c r="AI17">
        <f>'Coûts annuel génération élec'!AL46+'Coûts annuel génération élec'!AL26+'Coûts annuel génération élec'!AL25+'Coûts annuel génération élec'!AL30+'Coûts annuel génération élec'!AL34</f>
        <v>773.43756731913288</v>
      </c>
      <c r="AJ17">
        <f>'Coûts annuel génération élec'!AM46+'Coûts annuel génération élec'!AM26+'Coûts annuel génération élec'!AM25+'Coûts annuel génération élec'!AM30+'Coûts annuel génération élec'!AM34</f>
        <v>788.82134875717861</v>
      </c>
      <c r="AK17">
        <f>'Coûts annuel génération élec'!AN46+'Coûts annuel génération élec'!AN26+'Coûts annuel génération élec'!AN25+'Coûts annuel génération élec'!AN30+'Coûts annuel génération élec'!AN34</f>
        <v>804.11080458215974</v>
      </c>
      <c r="AL17">
        <f>'Coûts annuel génération élec'!AO46+'Coûts annuel génération élec'!AO26+'Coûts annuel génération élec'!AO25+'Coûts annuel génération élec'!AO30+'Coûts annuel génération élec'!AO34</f>
        <v>819.30593479407537</v>
      </c>
      <c r="AM17">
        <f>'Coûts annuel génération élec'!AP46+'Coûts annuel génération élec'!AP26+'Coûts annuel génération élec'!AP25+'Coûts annuel génération élec'!AP30+'Coûts annuel génération élec'!AP34</f>
        <v>834.40673939292606</v>
      </c>
    </row>
    <row r="18" spans="1:39" x14ac:dyDescent="0.25">
      <c r="A18" t="s">
        <v>217</v>
      </c>
      <c r="B18">
        <f>SUM(B13:B17)</f>
        <v>1750.3573578593816</v>
      </c>
      <c r="C18">
        <f t="shared" ref="C18:AM18" si="2">SUM(C13:C17)</f>
        <v>1978.0763206853674</v>
      </c>
      <c r="D18">
        <f t="shared" si="2"/>
        <v>2203.7878240104083</v>
      </c>
      <c r="E18">
        <f t="shared" si="2"/>
        <v>2426.4508247702011</v>
      </c>
      <c r="F18">
        <f t="shared" si="2"/>
        <v>2646.0653235644445</v>
      </c>
      <c r="G18">
        <f t="shared" si="2"/>
        <v>2962.390096344066</v>
      </c>
      <c r="H18">
        <f t="shared" si="2"/>
        <v>3273.2546180158461</v>
      </c>
      <c r="I18">
        <f t="shared" si="2"/>
        <v>3578.6588893929738</v>
      </c>
      <c r="J18">
        <f t="shared" si="2"/>
        <v>3878.6029113029722</v>
      </c>
      <c r="K18">
        <f t="shared" si="2"/>
        <v>4173.0866845592755</v>
      </c>
      <c r="L18">
        <f t="shared" si="2"/>
        <v>4462.1102099342388</v>
      </c>
      <c r="M18">
        <f t="shared" si="2"/>
        <v>4711.5581794985928</v>
      </c>
      <c r="N18">
        <f t="shared" si="2"/>
        <v>4956.5106027515712</v>
      </c>
      <c r="O18">
        <f t="shared" si="2"/>
        <v>5196.9674802069931</v>
      </c>
      <c r="P18">
        <f t="shared" si="2"/>
        <v>5432.9288122595208</v>
      </c>
      <c r="Q18">
        <f t="shared" si="2"/>
        <v>5664.3945991753662</v>
      </c>
      <c r="R18">
        <f t="shared" si="2"/>
        <v>5891.3648410876367</v>
      </c>
      <c r="S18">
        <f t="shared" si="2"/>
        <v>6113.8395379963313</v>
      </c>
      <c r="T18">
        <f t="shared" si="2"/>
        <v>6334.4096534530781</v>
      </c>
      <c r="U18">
        <f t="shared" si="2"/>
        <v>6553.0751976544343</v>
      </c>
      <c r="V18">
        <f t="shared" si="2"/>
        <v>6750.0563581165507</v>
      </c>
      <c r="W18">
        <f t="shared" si="2"/>
        <v>6942.0849482181284</v>
      </c>
      <c r="X18">
        <f t="shared" si="2"/>
        <v>7133.0442414798217</v>
      </c>
      <c r="Y18">
        <f t="shared" si="2"/>
        <v>7322.9342633060114</v>
      </c>
      <c r="Z18">
        <f t="shared" si="2"/>
        <v>7511.7550413312065</v>
      </c>
      <c r="AA18">
        <f t="shared" si="2"/>
        <v>7666.0928962309517</v>
      </c>
      <c r="AB18">
        <f t="shared" si="2"/>
        <v>7793.1416489895555</v>
      </c>
      <c r="AC18">
        <f t="shared" si="2"/>
        <v>7921.5928962553853</v>
      </c>
      <c r="AD18">
        <f t="shared" si="2"/>
        <v>8051.4466671805849</v>
      </c>
      <c r="AE18">
        <f t="shared" si="2"/>
        <v>8358.6534034110555</v>
      </c>
      <c r="AF18">
        <f t="shared" si="2"/>
        <v>8668.2317043291987</v>
      </c>
      <c r="AG18">
        <f t="shared" si="2"/>
        <v>8989.5803409824512</v>
      </c>
      <c r="AH18">
        <f t="shared" si="2"/>
        <v>9313.8684509445593</v>
      </c>
      <c r="AI18">
        <f t="shared" si="2"/>
        <v>9639.9921564371616</v>
      </c>
      <c r="AJ18">
        <f t="shared" si="2"/>
        <v>9967.951555235355</v>
      </c>
      <c r="AK18">
        <f t="shared" si="2"/>
        <v>10297.746712852402</v>
      </c>
      <c r="AL18">
        <f t="shared" si="2"/>
        <v>10629.377661732935</v>
      </c>
      <c r="AM18">
        <f t="shared" si="2"/>
        <v>10962.844401274178</v>
      </c>
    </row>
    <row r="20" spans="1:39" x14ac:dyDescent="0.25">
      <c r="A20" t="s">
        <v>241</v>
      </c>
      <c r="B20">
        <f>B18+B10</f>
        <v>7822.1987597532798</v>
      </c>
      <c r="C20">
        <f t="shared" ref="C20:AM20" si="3">C18+C10</f>
        <v>8769.8880904665148</v>
      </c>
      <c r="D20">
        <f t="shared" si="3"/>
        <v>9706.8156052813556</v>
      </c>
      <c r="E20">
        <f t="shared" si="3"/>
        <v>10629.237062767206</v>
      </c>
      <c r="F20">
        <f t="shared" si="3"/>
        <v>11537.152465761108</v>
      </c>
      <c r="G20">
        <f t="shared" si="3"/>
        <v>12682.997336878316</v>
      </c>
      <c r="H20">
        <f t="shared" si="3"/>
        <v>13808.23332371873</v>
      </c>
      <c r="I20">
        <f t="shared" si="3"/>
        <v>14912.860430129378</v>
      </c>
      <c r="J20">
        <f t="shared" si="3"/>
        <v>15996.878660025082</v>
      </c>
      <c r="K20">
        <f t="shared" si="3"/>
        <v>17060.288017254014</v>
      </c>
      <c r="L20">
        <f t="shared" si="3"/>
        <v>18103.088505470016</v>
      </c>
      <c r="M20">
        <f t="shared" si="3"/>
        <v>19038.952728444503</v>
      </c>
      <c r="N20">
        <f t="shared" si="3"/>
        <v>19956.649223370201</v>
      </c>
      <c r="O20">
        <f t="shared" si="3"/>
        <v>20856.177992677854</v>
      </c>
      <c r="P20">
        <f t="shared" si="3"/>
        <v>21737.539038234539</v>
      </c>
      <c r="Q20">
        <f t="shared" si="3"/>
        <v>22600.732361299641</v>
      </c>
      <c r="R20">
        <f t="shared" si="3"/>
        <v>23445.757962502859</v>
      </c>
      <c r="S20">
        <f t="shared" si="3"/>
        <v>24272.615841844185</v>
      </c>
      <c r="T20">
        <f t="shared" si="3"/>
        <v>25090.934594933911</v>
      </c>
      <c r="U20">
        <f t="shared" si="3"/>
        <v>25900.714270009656</v>
      </c>
      <c r="V20">
        <f t="shared" si="3"/>
        <v>26630.814307034852</v>
      </c>
      <c r="W20">
        <f t="shared" si="3"/>
        <v>27341.356135939968</v>
      </c>
      <c r="X20">
        <f t="shared" si="3"/>
        <v>28046.367807965587</v>
      </c>
      <c r="Y20">
        <f t="shared" si="3"/>
        <v>28745.849443294162</v>
      </c>
      <c r="Z20">
        <f t="shared" si="3"/>
        <v>29439.801172658357</v>
      </c>
      <c r="AA20">
        <f t="shared" si="3"/>
        <v>30043.671104997644</v>
      </c>
      <c r="AB20">
        <f t="shared" si="3"/>
        <v>30479.863862034206</v>
      </c>
      <c r="AC20">
        <f t="shared" si="3"/>
        <v>30918.893864731392</v>
      </c>
      <c r="AD20">
        <f t="shared" si="3"/>
        <v>31360.761251001481</v>
      </c>
      <c r="AE20">
        <f t="shared" si="3"/>
        <v>32189.876617593462</v>
      </c>
      <c r="AF20">
        <f t="shared" si="3"/>
        <v>33021.835038615594</v>
      </c>
      <c r="AG20">
        <f t="shared" si="3"/>
        <v>33881.504973254923</v>
      </c>
      <c r="AH20">
        <f t="shared" si="3"/>
        <v>34748.162184048473</v>
      </c>
      <c r="AI20">
        <f t="shared" si="3"/>
        <v>35616.727334737836</v>
      </c>
      <c r="AJ20">
        <f t="shared" si="3"/>
        <v>36487.201291376332</v>
      </c>
      <c r="AK20">
        <f t="shared" si="3"/>
        <v>37359.584635157757</v>
      </c>
      <c r="AL20">
        <f t="shared" si="3"/>
        <v>38233.877655198288</v>
      </c>
      <c r="AM20">
        <f t="shared" si="3"/>
        <v>39110.08034863801</v>
      </c>
    </row>
    <row r="21" spans="1:39" x14ac:dyDescent="0.25">
      <c r="A21" t="s">
        <v>219</v>
      </c>
      <c r="B21">
        <f>B20-('Coûts annuel génération élec'!E4+'Coûts annuel génération élec'!E5+'Coûts annuels réseaux et stocka'!E35)</f>
        <v>0</v>
      </c>
      <c r="C21">
        <f>C20-('Coûts annuel génération élec'!F4+'Coûts annuel génération élec'!F5+'Coûts annuels réseaux et stocka'!F35)</f>
        <v>0</v>
      </c>
      <c r="D21">
        <f>D20-('Coûts annuel génération élec'!G4+'Coûts annuel génération élec'!G5+'Coûts annuels réseaux et stocka'!G35)</f>
        <v>0</v>
      </c>
      <c r="E21">
        <f>E20-('Coûts annuel génération élec'!H4+'Coûts annuel génération élec'!H5+'Coûts annuels réseaux et stocka'!H35)</f>
        <v>0</v>
      </c>
      <c r="F21">
        <f>F20-('Coûts annuel génération élec'!I4+'Coûts annuel génération élec'!I5+'Coûts annuels réseaux et stocka'!I35)</f>
        <v>0</v>
      </c>
      <c r="G21">
        <f>G20-('Coûts annuel génération élec'!J4+'Coûts annuel génération élec'!J5+'Coûts annuels réseaux et stocka'!J35)</f>
        <v>0</v>
      </c>
      <c r="H21">
        <f>H20-('Coûts annuel génération élec'!K4+'Coûts annuel génération élec'!K5+'Coûts annuels réseaux et stocka'!K35)</f>
        <v>0</v>
      </c>
      <c r="I21">
        <f>I20-('Coûts annuel génération élec'!L4+'Coûts annuel génération élec'!L5+'Coûts annuels réseaux et stocka'!L35)</f>
        <v>0</v>
      </c>
      <c r="J21">
        <f>J20-('Coûts annuel génération élec'!M4+'Coûts annuel génération élec'!M5+'Coûts annuels réseaux et stocka'!M35)</f>
        <v>0</v>
      </c>
      <c r="K21">
        <f>K20-('Coûts annuel génération élec'!N4+'Coûts annuel génération élec'!N5+'Coûts annuels réseaux et stocka'!N35)</f>
        <v>0</v>
      </c>
      <c r="L21">
        <f>L20-('Coûts annuel génération élec'!O4+'Coûts annuel génération élec'!O5+'Coûts annuels réseaux et stocka'!O35)</f>
        <v>0</v>
      </c>
      <c r="M21">
        <f>M20-('Coûts annuel génération élec'!P4+'Coûts annuel génération élec'!P5+'Coûts annuels réseaux et stocka'!P35)</f>
        <v>0</v>
      </c>
      <c r="N21">
        <f>N20-('Coûts annuel génération élec'!Q4+'Coûts annuel génération élec'!Q5+'Coûts annuels réseaux et stocka'!Q35)</f>
        <v>0</v>
      </c>
      <c r="O21">
        <f>O20-('Coûts annuel génération élec'!R4+'Coûts annuel génération élec'!R5+'Coûts annuels réseaux et stocka'!R35)</f>
        <v>0</v>
      </c>
      <c r="P21">
        <f>P20-('Coûts annuel génération élec'!S4+'Coûts annuel génération élec'!S5+'Coûts annuels réseaux et stocka'!S35)</f>
        <v>0</v>
      </c>
      <c r="Q21">
        <f>Q20-('Coûts annuel génération élec'!T4+'Coûts annuel génération élec'!T5+'Coûts annuels réseaux et stocka'!T35)</f>
        <v>0</v>
      </c>
      <c r="R21">
        <f>R20-('Coûts annuel génération élec'!U4+'Coûts annuel génération élec'!U5+'Coûts annuels réseaux et stocka'!U35)</f>
        <v>0</v>
      </c>
      <c r="S21">
        <f>S20-('Coûts annuel génération élec'!V4+'Coûts annuel génération élec'!V5+'Coûts annuels réseaux et stocka'!V35)</f>
        <v>0</v>
      </c>
      <c r="T21">
        <f>T20-('Coûts annuel génération élec'!W4+'Coûts annuel génération élec'!W5+'Coûts annuels réseaux et stocka'!W35)</f>
        <v>0</v>
      </c>
      <c r="U21">
        <f>U20-('Coûts annuel génération élec'!X4+'Coûts annuel génération élec'!X5+'Coûts annuels réseaux et stocka'!X35)</f>
        <v>0</v>
      </c>
      <c r="V21">
        <f>V20-('Coûts annuel génération élec'!Y4+'Coûts annuel génération élec'!Y5+'Coûts annuels réseaux et stocka'!Y35)</f>
        <v>0</v>
      </c>
      <c r="W21">
        <f>W20-('Coûts annuel génération élec'!Z4+'Coûts annuel génération élec'!Z5+'Coûts annuels réseaux et stocka'!Z35)</f>
        <v>0</v>
      </c>
      <c r="X21">
        <f>X20-('Coûts annuel génération élec'!AA4+'Coûts annuel génération élec'!AA5+'Coûts annuels réseaux et stocka'!AA35)</f>
        <v>0</v>
      </c>
      <c r="Y21">
        <f>Y20-('Coûts annuel génération élec'!AB4+'Coûts annuel génération élec'!AB5+'Coûts annuels réseaux et stocka'!AB35)</f>
        <v>0</v>
      </c>
      <c r="Z21">
        <f>Z20-('Coûts annuel génération élec'!AC4+'Coûts annuel génération élec'!AC5+'Coûts annuels réseaux et stocka'!AC35)</f>
        <v>0</v>
      </c>
      <c r="AA21">
        <f>AA20-('Coûts annuel génération élec'!AD4+'Coûts annuel génération élec'!AD5+'Coûts annuels réseaux et stocka'!AD35)</f>
        <v>0</v>
      </c>
      <c r="AB21">
        <f>AB20-('Coûts annuel génération élec'!AE4+'Coûts annuel génération élec'!AE5+'Coûts annuels réseaux et stocka'!AE35)</f>
        <v>0</v>
      </c>
      <c r="AC21">
        <f>AC20-('Coûts annuel génération élec'!AF4+'Coûts annuel génération élec'!AF5+'Coûts annuels réseaux et stocka'!AF35)</f>
        <v>0</v>
      </c>
      <c r="AD21">
        <f>AD20-('Coûts annuel génération élec'!AG4+'Coûts annuel génération élec'!AG5+'Coûts annuels réseaux et stocka'!AG35)</f>
        <v>0</v>
      </c>
      <c r="AE21">
        <f>AE20-('Coûts annuel génération élec'!AH4+'Coûts annuel génération élec'!AH5+'Coûts annuels réseaux et stocka'!AH35)</f>
        <v>0</v>
      </c>
      <c r="AF21">
        <f>AF20-('Coûts annuel génération élec'!AI4+'Coûts annuel génération élec'!AI5+'Coûts annuels réseaux et stocka'!AI35)</f>
        <v>0</v>
      </c>
      <c r="AG21">
        <f>AG20-('Coûts annuel génération élec'!AJ4+'Coûts annuel génération élec'!AJ5+'Coûts annuels réseaux et stocka'!AJ35)</f>
        <v>0</v>
      </c>
      <c r="AH21">
        <f>AH20-('Coûts annuel génération élec'!AK4+'Coûts annuel génération élec'!AK5+'Coûts annuels réseaux et stocka'!AK35)</f>
        <v>0</v>
      </c>
      <c r="AI21">
        <f>AI20-('Coûts annuel génération élec'!AL4+'Coûts annuel génération élec'!AL5+'Coûts annuels réseaux et stocka'!AL35)</f>
        <v>0</v>
      </c>
      <c r="AJ21">
        <f>AJ20-('Coûts annuel génération élec'!AM4+'Coûts annuel génération élec'!AM5+'Coûts annuels réseaux et stocka'!AM35)</f>
        <v>0</v>
      </c>
      <c r="AK21">
        <f>AK20-('Coûts annuel génération élec'!AN4+'Coûts annuel génération élec'!AN5+'Coûts annuels réseaux et stocka'!AN35)</f>
        <v>0</v>
      </c>
      <c r="AL21">
        <f>AL20-('Coûts annuel génération élec'!AO4+'Coûts annuel génération élec'!AO5+'Coûts annuels réseaux et stocka'!AO35)</f>
        <v>0</v>
      </c>
      <c r="AM21">
        <f>AM20-('Coûts annuel génération élec'!AP4+'Coûts annuel génération élec'!AP5+'Coûts annuels réseaux et stocka'!AP35)</f>
        <v>0</v>
      </c>
    </row>
    <row r="23" spans="1:39" x14ac:dyDescent="0.25">
      <c r="A23" s="164" t="s">
        <v>227</v>
      </c>
    </row>
    <row r="25" spans="1:39" x14ac:dyDescent="0.25">
      <c r="A25" t="s">
        <v>242</v>
      </c>
      <c r="B25">
        <f>'Coûts annuels réseaux et stocka'!E11+'Coûts annuels réseaux et stocka'!E16+'Coûts annuels réseaux et stocka'!E22+'Coûts annuels réseaux et stocka'!E27+'Coûts annuels réseaux et stocka'!E32+'Coûts annuels réseaux et stocka'!E41+'Coûts annuels réseaux et stocka'!E45</f>
        <v>3913.004746141678</v>
      </c>
      <c r="C25">
        <f>'Coûts annuels réseaux et stocka'!F11+'Coûts annuels réseaux et stocka'!F16+'Coûts annuels réseaux et stocka'!F22+'Coûts annuels réseaux et stocka'!F27+'Coûts annuels réseaux et stocka'!F32+'Coûts annuels réseaux et stocka'!F41+'Coûts annuels réseaux et stocka'!F45</f>
        <v>3920.6367173873423</v>
      </c>
      <c r="D25">
        <f>'Coûts annuels réseaux et stocka'!G11+'Coûts annuels réseaux et stocka'!G16+'Coûts annuels réseaux et stocka'!G22+'Coûts annuels réseaux et stocka'!G27+'Coûts annuels réseaux et stocka'!G32+'Coûts annuels réseaux et stocka'!G41+'Coûts annuels réseaux et stocka'!G45</f>
        <v>3931.555664765955</v>
      </c>
      <c r="E25">
        <f>'Coûts annuels réseaux et stocka'!H11+'Coûts annuels réseaux et stocka'!H16+'Coûts annuels réseaux et stocka'!H22+'Coûts annuels réseaux et stocka'!H27+'Coûts annuels réseaux et stocka'!H32+'Coûts annuels réseaux et stocka'!H41+'Coûts annuels réseaux et stocka'!H45</f>
        <v>3955.8330168489451</v>
      </c>
      <c r="F25">
        <f>'Coûts annuels réseaux et stocka'!I11+'Coûts annuels réseaux et stocka'!I16+'Coûts annuels réseaux et stocka'!I22+'Coûts annuels réseaux et stocka'!I27+'Coûts annuels réseaux et stocka'!I32+'Coûts annuels réseaux et stocka'!I41+'Coûts annuels réseaux et stocka'!I45</f>
        <v>3993.468773636313</v>
      </c>
      <c r="G25">
        <f>'Coûts annuels réseaux et stocka'!J11+'Coûts annuels réseaux et stocka'!J16+'Coûts annuels réseaux et stocka'!J22+'Coûts annuels réseaux et stocka'!J27+'Coûts annuels réseaux et stocka'!J32+'Coûts annuels réseaux et stocka'!J41+'Coûts annuels réseaux et stocka'!J45</f>
        <v>4054.5343636994862</v>
      </c>
      <c r="H25">
        <f>'Coûts annuels réseaux et stocka'!K11+'Coûts annuels réseaux et stocka'!K16+'Coûts annuels réseaux et stocka'!K22+'Coûts annuels réseaux et stocka'!K27+'Coûts annuels réseaux et stocka'!K32+'Coûts annuels réseaux et stocka'!K41+'Coûts annuels réseaux et stocka'!K45</f>
        <v>4115.5297870384647</v>
      </c>
      <c r="I25">
        <f>'Coûts annuels réseaux et stocka'!L11+'Coûts annuels réseaux et stocka'!L16+'Coûts annuels réseaux et stocka'!L22+'Coûts annuels réseaux et stocka'!L27+'Coûts annuels réseaux et stocka'!L32+'Coûts annuels réseaux et stocka'!L41+'Coûts annuels réseaux et stocka'!L45</f>
        <v>4173.0979007961068</v>
      </c>
      <c r="J25">
        <f>'Coûts annuels réseaux et stocka'!M11+'Coûts annuels réseaux et stocka'!M16+'Coûts annuels réseaux et stocka'!M22+'Coûts annuels réseaux et stocka'!M27+'Coûts annuels réseaux et stocka'!M32+'Coûts annuels réseaux et stocka'!M41+'Coûts annuels réseaux et stocka'!M45</f>
        <v>4207.0958478295552</v>
      </c>
      <c r="K25">
        <f>'Coûts annuels réseaux et stocka'!N11+'Coûts annuels réseaux et stocka'!N16+'Coûts annuels réseaux et stocka'!N22+'Coûts annuels réseaux et stocka'!N27+'Coûts annuels réseaux et stocka'!N32+'Coûts annuels réseaux et stocka'!N41+'Coûts annuels réseaux et stocka'!N45</f>
        <v>4214.1664852816657</v>
      </c>
      <c r="L25">
        <f>'Coûts annuels réseaux et stocka'!O11+'Coûts annuels réseaux et stocka'!O16+'Coûts annuels réseaux et stocka'!O22+'Coûts annuels réseaux et stocka'!O27+'Coûts annuels réseaux et stocka'!O32+'Coûts annuels réseaux et stocka'!O41+'Coûts annuels réseaux et stocka'!O45</f>
        <v>4221.1669560095825</v>
      </c>
      <c r="M25">
        <f>'Coûts annuels réseaux et stocka'!P11+'Coûts annuels réseaux et stocka'!P16+'Coûts annuels réseaux et stocka'!P22+'Coûts annuels réseaux et stocka'!P27+'Coûts annuels réseaux et stocka'!P32+'Coûts annuels réseaux et stocka'!P41+'Coûts annuels réseaux et stocka'!P45</f>
        <v>4228.0972600133045</v>
      </c>
      <c r="N25">
        <f>'Coûts annuels réseaux et stocka'!Q11+'Coûts annuels réseaux et stocka'!Q16+'Coûts annuels réseaux et stocka'!Q22+'Coûts annuels réseaux et stocka'!Q27+'Coûts annuels réseaux et stocka'!Q32+'Coûts annuels réseaux et stocka'!Q41+'Coûts annuels réseaux et stocka'!Q45</f>
        <v>4244.8179707032868</v>
      </c>
      <c r="O25">
        <f>'Coûts annuels réseaux et stocka'!R11+'Coûts annuels réseaux et stocka'!R16+'Coûts annuels réseaux et stocka'!R22+'Coûts annuels réseaux et stocka'!R27+'Coûts annuels réseaux et stocka'!R32+'Coûts annuels réseaux et stocka'!R41+'Coûts annuels réseaux et stocka'!R45</f>
        <v>4261.4232148522769</v>
      </c>
      <c r="P25">
        <f>'Coûts annuels réseaux et stocka'!S11+'Coûts annuels réseaux et stocka'!S16+'Coûts annuels réseaux et stocka'!S22+'Coûts annuels réseaux et stocka'!S27+'Coûts annuels réseaux et stocka'!S32+'Coûts annuels réseaux et stocka'!S41+'Coûts annuels réseaux et stocka'!S45</f>
        <v>4277.9129924602757</v>
      </c>
      <c r="Q25">
        <f>'Coûts annuels réseaux et stocka'!T11+'Coûts annuels réseaux et stocka'!T16+'Coûts annuels réseaux et stocka'!T22+'Coûts annuels réseaux et stocka'!T27+'Coûts annuels réseaux et stocka'!T32+'Coûts annuels réseaux et stocka'!T41+'Coûts annuels réseaux et stocka'!T45</f>
        <v>4294.2873035272833</v>
      </c>
      <c r="R25">
        <f>'Coûts annuels réseaux et stocka'!U11+'Coûts annuels réseaux et stocka'!U16+'Coûts annuels réseaux et stocka'!U22+'Coûts annuels réseaux et stocka'!U27+'Coûts annuels réseaux et stocka'!U32+'Coûts annuels réseaux et stocka'!U41+'Coûts annuels réseaux et stocka'!U45</f>
        <v>4310.5461480532977</v>
      </c>
      <c r="S25">
        <f>'Coûts annuels réseaux et stocka'!V11+'Coûts annuels réseaux et stocka'!V16+'Coûts annuels réseaux et stocka'!V22+'Coûts annuels réseaux et stocka'!V27+'Coûts annuels réseaux et stocka'!V32+'Coûts annuels réseaux et stocka'!V41+'Coûts annuels réseaux et stocka'!V45</f>
        <v>4326.6895260383217</v>
      </c>
      <c r="T25">
        <f>'Coûts annuels réseaux et stocka'!W11+'Coûts annuels réseaux et stocka'!W16+'Coûts annuels réseaux et stocka'!W22+'Coûts annuels réseaux et stocka'!W27+'Coûts annuels réseaux et stocka'!W32+'Coûts annuels réseaux et stocka'!W41+'Coûts annuels réseaux et stocka'!W45</f>
        <v>4355.2517808320108</v>
      </c>
      <c r="U25">
        <f>'Coûts annuels réseaux et stocka'!X11+'Coûts annuels réseaux et stocka'!X16+'Coûts annuels réseaux et stocka'!X22+'Coûts annuels réseaux et stocka'!X27+'Coûts annuels réseaux et stocka'!X32+'Coûts annuels réseaux et stocka'!X41+'Coûts annuels réseaux et stocka'!X45</f>
        <v>4383.7603132982067</v>
      </c>
      <c r="V25">
        <f>'Coûts annuels réseaux et stocka'!Y11+'Coûts annuels réseaux et stocka'!Y16+'Coûts annuels réseaux et stocka'!Y22+'Coûts annuels réseaux et stocka'!Y27+'Coûts annuels réseaux et stocka'!Y32+'Coûts annuels réseaux et stocka'!Y41+'Coûts annuels réseaux et stocka'!Y45</f>
        <v>4412.2151234369112</v>
      </c>
      <c r="W25">
        <f>'Coûts annuels réseaux et stocka'!Z11+'Coûts annuels réseaux et stocka'!Z16+'Coûts annuels réseaux et stocka'!Z22+'Coûts annuels réseaux et stocka'!Z27+'Coûts annuels réseaux et stocka'!Z32+'Coûts annuels réseaux et stocka'!Z41+'Coûts annuels réseaux et stocka'!Z45</f>
        <v>4439.3629596943019</v>
      </c>
      <c r="X25">
        <f>'Coûts annuels réseaux et stocka'!AA11+'Coûts annuels réseaux et stocka'!AA16+'Coûts annuels réseaux et stocka'!AA22+'Coûts annuels réseaux et stocka'!AA27+'Coûts annuels réseaux et stocka'!AA32+'Coûts annuels réseaux et stocka'!AA41+'Coûts annuels réseaux et stocka'!AA45</f>
        <v>4523.1374514995741</v>
      </c>
      <c r="Y25">
        <f>'Coûts annuels réseaux et stocka'!AB11+'Coûts annuels réseaux et stocka'!AB16+'Coûts annuels réseaux et stocka'!AB22+'Coûts annuels réseaux et stocka'!AB27+'Coûts annuels réseaux et stocka'!AB32+'Coûts annuels réseaux et stocka'!AB41+'Coûts annuels réseaux et stocka'!AB45</f>
        <v>4593.4671702812993</v>
      </c>
      <c r="Z25">
        <f>'Coûts annuels réseaux et stocka'!AC11+'Coûts annuels réseaux et stocka'!AC16+'Coûts annuels réseaux et stocka'!AC22+'Coûts annuels réseaux et stocka'!AC27+'Coûts annuels réseaux et stocka'!AC32+'Coûts annuels réseaux et stocka'!AC41+'Coûts annuels réseaux et stocka'!AC45</f>
        <v>4650.3521160394757</v>
      </c>
      <c r="AA25">
        <f>'Coûts annuels réseaux et stocka'!AD11+'Coûts annuels réseaux et stocka'!AD16+'Coûts annuels réseaux et stocka'!AD22+'Coûts annuels réseaux et stocka'!AD27+'Coûts annuels réseaux et stocka'!AD32+'Coûts annuels réseaux et stocka'!AD41+'Coûts annuels réseaux et stocka'!AD45</f>
        <v>4683.7208602026776</v>
      </c>
      <c r="AB25">
        <f>'Coûts annuels réseaux et stocka'!AE11+'Coûts annuels réseaux et stocka'!AE16+'Coûts annuels réseaux et stocka'!AE22+'Coûts annuels réseaux et stocka'!AE27+'Coûts annuels réseaux et stocka'!AE32+'Coûts annuels réseaux et stocka'!AE41+'Coûts annuels réseaux et stocka'!AE45</f>
        <v>4717.0734027709013</v>
      </c>
      <c r="AC25">
        <f>'Coûts annuels réseaux et stocka'!AF11+'Coûts annuels réseaux et stocka'!AF16+'Coûts annuels réseaux et stocka'!AF22+'Coûts annuels réseaux et stocka'!AF27+'Coûts annuels réseaux et stocka'!AF32+'Coûts annuels réseaux et stocka'!AF41+'Coûts annuels réseaux et stocka'!AF45</f>
        <v>4753.7668866012909</v>
      </c>
      <c r="AD25">
        <f>'Coûts annuels réseaux et stocka'!AG11+'Coûts annuels réseaux et stocka'!AG16+'Coûts annuels réseaux et stocka'!AG22+'Coûts annuels réseaux et stocka'!AG27+'Coûts annuels réseaux et stocka'!AG32+'Coûts annuels réseaux et stocka'!AG41+'Coûts annuels réseaux et stocka'!AG45</f>
        <v>4813.9441688367051</v>
      </c>
      <c r="AE25">
        <f>'Coûts annuels réseaux et stocka'!AH11+'Coûts annuels réseaux et stocka'!AH16+'Coûts annuels réseaux et stocka'!AH22+'Coûts annuels réseaux et stocka'!AH27+'Coûts annuels réseaux et stocka'!AH32+'Coûts annuels réseaux et stocka'!AH41+'Coûts annuels réseaux et stocka'!AH45</f>
        <v>4840.9623923342851</v>
      </c>
      <c r="AF25">
        <f>'Coûts annuels réseaux et stocka'!AI11+'Coûts annuels réseaux et stocka'!AI16+'Coûts annuels réseaux et stocka'!AI22+'Coûts annuels réseaux et stocka'!AI27+'Coûts annuels réseaux et stocka'!AI32+'Coûts annuels réseaux et stocka'!AI41+'Coûts annuels réseaux et stocka'!AI45</f>
        <v>4886.9465355590501</v>
      </c>
      <c r="AG25">
        <f>'Coûts annuels réseaux et stocka'!AJ11+'Coûts annuels réseaux et stocka'!AJ16+'Coûts annuels réseaux et stocka'!AJ22+'Coûts annuels réseaux et stocka'!AJ27+'Coûts annuels réseaux et stocka'!AJ32+'Coûts annuels réseaux et stocka'!AJ41+'Coûts annuels réseaux et stocka'!AJ45</f>
        <v>4932.8887575976451</v>
      </c>
      <c r="AH25">
        <f>'Coûts annuels réseaux et stocka'!AK11+'Coûts annuels réseaux et stocka'!AK16+'Coûts annuels réseaux et stocka'!AK22+'Coûts annuels réseaux et stocka'!AK27+'Coûts annuels réseaux et stocka'!AK32+'Coûts annuels réseaux et stocka'!AK41+'Coûts annuels réseaux et stocka'!AK45</f>
        <v>4978.2464143288553</v>
      </c>
      <c r="AI25">
        <f>'Coûts annuels réseaux et stocka'!AL11+'Coûts annuels réseaux et stocka'!AL16+'Coûts annuels réseaux et stocka'!AL22+'Coûts annuels réseaux et stocka'!AL27+'Coûts annuels réseaux et stocka'!AL32+'Coûts annuels réseaux et stocka'!AL41+'Coûts annuels réseaux et stocka'!AL45</f>
        <v>5023.5863733548786</v>
      </c>
      <c r="AJ25">
        <f>'Coûts annuels réseaux et stocka'!AM11+'Coûts annuels réseaux et stocka'!AM16+'Coûts annuels réseaux et stocka'!AM22+'Coûts annuels réseaux et stocka'!AM27+'Coûts annuels réseaux et stocka'!AM32+'Coûts annuels réseaux et stocka'!AM41+'Coûts annuels réseaux et stocka'!AM45</f>
        <v>5068.9086346757149</v>
      </c>
      <c r="AK25">
        <f>'Coûts annuels réseaux et stocka'!AN11+'Coûts annuels réseaux et stocka'!AN16+'Coûts annuels réseaux et stocka'!AN22+'Coûts annuels réseaux et stocka'!AN27+'Coûts annuels réseaux et stocka'!AN32+'Coûts annuels réseaux et stocka'!AN41+'Coûts annuels réseaux et stocka'!AN45</f>
        <v>5114.2131982913643</v>
      </c>
      <c r="AL25">
        <f>'Coûts annuels réseaux et stocka'!AO11+'Coûts annuels réseaux et stocka'!AO16+'Coûts annuels réseaux et stocka'!AO22+'Coûts annuels réseaux et stocka'!AO27+'Coûts annuels réseaux et stocka'!AO32+'Coûts annuels réseaux et stocka'!AO41+'Coûts annuels réseaux et stocka'!AO45</f>
        <v>5168.5225251359734</v>
      </c>
      <c r="AM25">
        <f>'Coûts annuels réseaux et stocka'!AP11+'Coûts annuels réseaux et stocka'!AP16+'Coûts annuels réseaux et stocka'!AP22+'Coûts annuels réseaux et stocka'!AP27+'Coûts annuels réseaux et stocka'!AP32+'Coûts annuels réseaux et stocka'!AP41+'Coûts annuels réseaux et stocka'!AP45</f>
        <v>5222.7878246433038</v>
      </c>
    </row>
    <row r="26" spans="1:39" x14ac:dyDescent="0.25">
      <c r="A26" t="s">
        <v>243</v>
      </c>
      <c r="B26">
        <f>'Coûts annuels réseaux et stocka'!E12+'Coûts annuels réseaux et stocka'!E13+'Coûts annuels réseaux et stocka'!E17+'Coûts annuels réseaux et stocka'!E18+'Coûts annuels réseaux et stocka'!E24+'Coûts annuels réseaux et stocka'!E28+'Coûts annuels réseaux et stocka'!E33+'Coûts annuels réseaux et stocka'!E42+'Coûts annuels réseaux et stocka'!AP46</f>
        <v>9587.2799999999988</v>
      </c>
      <c r="C26">
        <f>'Coûts annuels réseaux et stocka'!F12+'Coûts annuels réseaux et stocka'!F13+'Coûts annuels réseaux et stocka'!F17+'Coûts annuels réseaux et stocka'!F18+'Coûts annuels réseaux et stocka'!F24+'Coûts annuels réseaux et stocka'!F28+'Coûts annuels réseaux et stocka'!F33+'Coûts annuels réseaux et stocka'!F42+'Coûts annuels réseaux et stocka'!F46</f>
        <v>9680.4301526642139</v>
      </c>
      <c r="D26">
        <f>'Coûts annuels réseaux et stocka'!G12+'Coûts annuels réseaux et stocka'!G13+'Coûts annuels réseaux et stocka'!G17+'Coûts annuels réseaux et stocka'!G18+'Coûts annuels réseaux et stocka'!G24+'Coûts annuels réseaux et stocka'!G28+'Coûts annuels réseaux et stocka'!G33+'Coûts annuels réseaux et stocka'!G42+'Coûts annuels réseaux et stocka'!G46</f>
        <v>9670.5653887744011</v>
      </c>
      <c r="E26">
        <f>'Coûts annuels réseaux et stocka'!H12+'Coûts annuels réseaux et stocka'!H13+'Coûts annuels réseaux et stocka'!H17+'Coûts annuels réseaux et stocka'!H18+'Coûts annuels réseaux et stocka'!H24+'Coûts annuels réseaux et stocka'!H28+'Coûts annuels réseaux et stocka'!H33+'Coûts annuels réseaux et stocka'!H42+'Coûts annuels réseaux et stocka'!H46</f>
        <v>9660.6596942954748</v>
      </c>
      <c r="F26">
        <f>'Coûts annuels réseaux et stocka'!I12+'Coûts annuels réseaux et stocka'!I13+'Coûts annuels réseaux et stocka'!I17+'Coûts annuels réseaux et stocka'!I18+'Coûts annuels réseaux et stocka'!I24+'Coûts annuels réseaux et stocka'!I28+'Coûts annuels réseaux et stocka'!I33+'Coûts annuels réseaux et stocka'!I42+'Coûts annuels réseaux et stocka'!I46</f>
        <v>9650.7130692274368</v>
      </c>
      <c r="G26">
        <f>'Coûts annuels réseaux et stocka'!J12+'Coûts annuels réseaux et stocka'!J13+'Coûts annuels réseaux et stocka'!J17+'Coûts annuels réseaux et stocka'!J18+'Coûts annuels réseaux et stocka'!J24+'Coûts annuels réseaux et stocka'!J28+'Coûts annuels réseaux et stocka'!J33+'Coûts annuels réseaux et stocka'!J42+'Coûts annuels réseaux et stocka'!J46</f>
        <v>9640.7255135702853</v>
      </c>
      <c r="H26">
        <f>'Coûts annuels réseaux et stocka'!K12+'Coûts annuels réseaux et stocka'!K13+'Coûts annuels réseaux et stocka'!K17+'Coûts annuels réseaux et stocka'!K18+'Coûts annuels réseaux et stocka'!K24+'Coûts annuels réseaux et stocka'!K28+'Coûts annuels réseaux et stocka'!K33+'Coûts annuels réseaux et stocka'!K42+'Coûts annuels réseaux et stocka'!K46</f>
        <v>9630.6970273240149</v>
      </c>
      <c r="I26">
        <f>'Coûts annuels réseaux et stocka'!L12+'Coûts annuels réseaux et stocka'!L13+'Coûts annuels réseaux et stocka'!L17+'Coûts annuels réseaux et stocka'!L18+'Coûts annuels réseaux et stocka'!L24+'Coûts annuels réseaux et stocka'!L28+'Coûts annuels réseaux et stocka'!L33+'Coûts annuels réseaux et stocka'!L42+'Coûts annuels réseaux et stocka'!L46</f>
        <v>9620.6276104886401</v>
      </c>
      <c r="J26">
        <f>'Coûts annuels réseaux et stocka'!M12+'Coûts annuels réseaux et stocka'!M13+'Coûts annuels réseaux et stocka'!M17+'Coûts annuels réseaux et stocka'!M18+'Coûts annuels réseaux et stocka'!M24+'Coûts annuels réseaux et stocka'!M28+'Coûts annuels réseaux et stocka'!M33+'Coûts annuels réseaux et stocka'!M42+'Coûts annuels réseaux et stocka'!M46</f>
        <v>9610.5172630641482</v>
      </c>
      <c r="K26">
        <f>'Coûts annuels réseaux et stocka'!N12+'Coûts annuels réseaux et stocka'!N13+'Coûts annuels réseaux et stocka'!N17+'Coûts annuels réseaux et stocka'!N18+'Coûts annuels réseaux et stocka'!N24+'Coûts annuels réseaux et stocka'!N28+'Coûts annuels réseaux et stocka'!N33+'Coûts annuels réseaux et stocka'!N42+'Coûts annuels réseaux et stocka'!N46</f>
        <v>9600.3659850505428</v>
      </c>
      <c r="L26">
        <f>'Coûts annuels réseaux et stocka'!O12+'Coûts annuels réseaux et stocka'!O13+'Coûts annuels réseaux et stocka'!O17+'Coûts annuels réseaux et stocka'!O18+'Coûts annuels réseaux et stocka'!O24+'Coûts annuels réseaux et stocka'!O28+'Coûts annuels réseaux et stocka'!O33+'Coûts annuels réseaux et stocka'!O42+'Coûts annuels réseaux et stocka'!O46</f>
        <v>9590.1737764478221</v>
      </c>
      <c r="M26">
        <f>'Coûts annuels réseaux et stocka'!P12+'Coûts annuels réseaux et stocka'!P13+'Coûts annuels réseaux et stocka'!P17+'Coûts annuels réseaux et stocka'!P18+'Coûts annuels réseaux et stocka'!P24+'Coûts annuels réseaux et stocka'!P28+'Coûts annuels réseaux et stocka'!P33+'Coûts annuels réseaux et stocka'!P42+'Coûts annuels réseaux et stocka'!P46</f>
        <v>9579.9406372559915</v>
      </c>
      <c r="N26">
        <f>'Coûts annuels réseaux et stocka'!Q12+'Coûts annuels réseaux et stocka'!Q13+'Coûts annuels réseaux et stocka'!Q17+'Coûts annuels réseaux et stocka'!Q18+'Coûts annuels réseaux et stocka'!Q24+'Coûts annuels réseaux et stocka'!Q28+'Coûts annuels réseaux et stocka'!Q33+'Coûts annuels réseaux et stocka'!Q42+'Coûts annuels réseaux et stocka'!Q46</f>
        <v>9591.459902135859</v>
      </c>
      <c r="O26">
        <f>'Coûts annuels réseaux et stocka'!R12+'Coûts annuels réseaux et stocka'!R13+'Coûts annuels réseaux et stocka'!R17+'Coûts annuels réseaux et stocka'!R18+'Coûts annuels réseaux et stocka'!R24+'Coûts annuels réseaux et stocka'!R28+'Coûts annuels réseaux et stocka'!R33+'Coûts annuels réseaux et stocka'!R42+'Coûts annuels réseaux et stocka'!R46</f>
        <v>9602.9118115334804</v>
      </c>
      <c r="P26">
        <f>'Coûts annuels réseaux et stocka'!S12+'Coûts annuels réseaux et stocka'!S13+'Coûts annuels réseaux et stocka'!S17+'Coûts annuels réseaux et stocka'!S18+'Coûts annuels réseaux et stocka'!S24+'Coûts annuels réseaux et stocka'!S28+'Coûts annuels réseaux et stocka'!S33+'Coûts annuels réseaux et stocka'!S42+'Coûts annuels réseaux et stocka'!S46</f>
        <v>9614.2963654488558</v>
      </c>
      <c r="Q26">
        <f>'Coûts annuels réseaux et stocka'!T12+'Coûts annuels réseaux et stocka'!T13+'Coûts annuels réseaux et stocka'!T17+'Coûts annuels réseaux et stocka'!T18+'Coûts annuels réseaux et stocka'!T24+'Coûts annuels réseaux et stocka'!T28+'Coûts annuels réseaux et stocka'!T33+'Coûts annuels réseaux et stocka'!T42+'Coûts annuels réseaux et stocka'!T46</f>
        <v>9625.6135638819887</v>
      </c>
      <c r="R26">
        <f>'Coûts annuels réseaux et stocka'!U12+'Coûts annuels réseaux et stocka'!U13+'Coûts annuels réseaux et stocka'!U17+'Coûts annuels réseaux et stocka'!U18+'Coûts annuels réseaux et stocka'!U24+'Coûts annuels réseaux et stocka'!U28+'Coûts annuels réseaux et stocka'!U33+'Coûts annuels réseaux et stocka'!U42+'Coûts annuels réseaux et stocka'!U46</f>
        <v>9636.8634068328756</v>
      </c>
      <c r="S26">
        <f>'Coûts annuels réseaux et stocka'!V12+'Coûts annuels réseaux et stocka'!V13+'Coûts annuels réseaux et stocka'!V17+'Coûts annuels réseaux et stocka'!V18+'Coûts annuels réseaux et stocka'!V24+'Coûts annuels réseaux et stocka'!V28+'Coûts annuels réseaux et stocka'!V33+'Coûts annuels réseaux et stocka'!V42+'Coûts annuels réseaux et stocka'!V46</f>
        <v>9648.0458943015165</v>
      </c>
      <c r="T26">
        <f>'Coûts annuels réseaux et stocka'!W12+'Coûts annuels réseaux et stocka'!W13+'Coûts annuels réseaux et stocka'!W17+'Coûts annuels réseaux et stocka'!W18+'Coûts annuels réseaux et stocka'!W24+'Coûts annuels réseaux et stocka'!W28+'Coûts annuels réseaux et stocka'!W33+'Coûts annuels réseaux et stocka'!W42+'Coûts annuels réseaux et stocka'!W46</f>
        <v>9665.4647596993491</v>
      </c>
      <c r="U26">
        <f>'Coûts annuels réseaux et stocka'!X12+'Coûts annuels réseaux et stocka'!X13+'Coûts annuels réseaux et stocka'!X17+'Coûts annuels réseaux et stocka'!X18+'Coûts annuels réseaux et stocka'!X24+'Coûts annuels réseaux et stocka'!X28+'Coûts annuels réseaux et stocka'!X33+'Coûts annuels réseaux et stocka'!X42+'Coûts annuels réseaux et stocka'!X46</f>
        <v>9682.8522870728139</v>
      </c>
      <c r="V26">
        <f>'Coûts annuels réseaux et stocka'!Y12+'Coûts annuels réseaux et stocka'!Y13+'Coûts annuels réseaux et stocka'!Y17+'Coûts annuels réseaux et stocka'!Y18+'Coûts annuels réseaux et stocka'!Y24+'Coûts annuels réseaux et stocka'!Y28+'Coûts annuels réseaux et stocka'!Y33+'Coûts annuels réseaux et stocka'!Y42+'Coûts annuels réseaux et stocka'!Y46</f>
        <v>9700.2084764219053</v>
      </c>
      <c r="W26">
        <f>'Coûts annuels réseaux et stocka'!Z12+'Coûts annuels réseaux et stocka'!Z13+'Coûts annuels réseaux et stocka'!Z17+'Coûts annuels réseaux et stocka'!Z18+'Coûts annuels réseaux et stocka'!Z24+'Coûts annuels réseaux et stocka'!Z28+'Coûts annuels réseaux et stocka'!Z33+'Coûts annuels réseaux et stocka'!Z42+'Coûts annuels réseaux et stocka'!Z46</f>
        <v>9717.533327746627</v>
      </c>
      <c r="X26">
        <f>'Coûts annuels réseaux et stocka'!AA12+'Coûts annuels réseaux et stocka'!AA13+'Coûts annuels réseaux et stocka'!AA17+'Coûts annuels réseaux et stocka'!AA18+'Coûts annuels réseaux et stocka'!AA24+'Coûts annuels réseaux et stocka'!AA28+'Coûts annuels réseaux et stocka'!AA33+'Coûts annuels réseaux et stocka'!AA42+'Coûts annuels réseaux et stocka'!AA46</f>
        <v>9734.8268410469755</v>
      </c>
      <c r="Y26">
        <f>'Coûts annuels réseaux et stocka'!AB12+'Coûts annuels réseaux et stocka'!AB13+'Coûts annuels réseaux et stocka'!AB17+'Coûts annuels réseaux et stocka'!AB18+'Coûts annuels réseaux et stocka'!AB24+'Coûts annuels réseaux et stocka'!AB28+'Coûts annuels réseaux et stocka'!AB33+'Coûts annuels réseaux et stocka'!AB42+'Coûts annuels réseaux et stocka'!AB46</f>
        <v>9752.0890163229542</v>
      </c>
      <c r="Z26">
        <f>'Coûts annuels réseaux et stocka'!AC12+'Coûts annuels réseaux et stocka'!AC13+'Coûts annuels réseaux et stocka'!AC17+'Coûts annuels réseaux et stocka'!AC18+'Coûts annuels réseaux et stocka'!AC24+'Coûts annuels réseaux et stocka'!AC28+'Coûts annuels réseaux et stocka'!AC33+'Coûts annuels réseaux et stocka'!AC42+'Coûts annuels réseaux et stocka'!AC46</f>
        <v>9769.3198535745632</v>
      </c>
      <c r="AA26">
        <f>'Coûts annuels réseaux et stocka'!AD12+'Coûts annuels réseaux et stocka'!AD13+'Coûts annuels réseaux et stocka'!AD17+'Coûts annuels réseaux et stocka'!AD18+'Coûts annuels réseaux et stocka'!AD24+'Coûts annuels réseaux et stocka'!AD28+'Coûts annuels réseaux et stocka'!AD33+'Coûts annuels réseaux et stocka'!AD42+'Coûts annuels réseaux et stocka'!AD46</f>
        <v>9786.5193528018008</v>
      </c>
      <c r="AB26">
        <f>'Coûts annuels réseaux et stocka'!AE12+'Coûts annuels réseaux et stocka'!AE13+'Coûts annuels réseaux et stocka'!AE17+'Coûts annuels réseaux et stocka'!AE18+'Coûts annuels réseaux et stocka'!AE24+'Coûts annuels réseaux et stocka'!AE28+'Coûts annuels réseaux et stocka'!AE33+'Coûts annuels réseaux et stocka'!AE42+'Coûts annuels réseaux et stocka'!AE46</f>
        <v>9803.6875140046686</v>
      </c>
      <c r="AC26">
        <f>'Coûts annuels réseaux et stocka'!AF12+'Coûts annuels réseaux et stocka'!AF13+'Coûts annuels réseaux et stocka'!AF17+'Coûts annuels réseaux et stocka'!AF18+'Coûts annuels réseaux et stocka'!AF24+'Coûts annuels réseaux et stocka'!AF28+'Coûts annuels réseaux et stocka'!AF33+'Coûts annuels réseaux et stocka'!AF42+'Coûts annuels réseaux et stocka'!AF46</f>
        <v>9820.8243371831613</v>
      </c>
      <c r="AD26">
        <f>'Coûts annuels réseaux et stocka'!AG12+'Coûts annuels réseaux et stocka'!AG13+'Coûts annuels réseaux et stocka'!AG17+'Coûts annuels réseaux et stocka'!AG18+'Coûts annuels réseaux et stocka'!AG24+'Coûts annuels réseaux et stocka'!AG28+'Coûts annuels réseaux et stocka'!AG33+'Coûts annuels réseaux et stocka'!AG42+'Coûts annuels réseaux et stocka'!AG46</f>
        <v>9837.929822337288</v>
      </c>
      <c r="AE26">
        <f>'Coûts annuels réseaux et stocka'!AH12+'Coûts annuels réseaux et stocka'!AH13+'Coûts annuels réseaux et stocka'!AH17+'Coûts annuels réseaux et stocka'!AH18+'Coûts annuels réseaux et stocka'!AH24+'Coûts annuels réseaux et stocka'!AH28+'Coûts annuels réseaux et stocka'!AH33+'Coûts annuels réseaux et stocka'!AH42+'Coûts annuels réseaux et stocka'!AH46</f>
        <v>9855.0039694670413</v>
      </c>
      <c r="AF26">
        <f>'Coûts annuels réseaux et stocka'!AI12+'Coûts annuels réseaux et stocka'!AI13+'Coûts annuels réseaux et stocka'!AI17+'Coûts annuels réseaux et stocka'!AI18+'Coûts annuels réseaux et stocka'!AI24+'Coûts annuels réseaux et stocka'!AI28+'Coûts annuels réseaux et stocka'!AI33+'Coûts annuels réseaux et stocka'!AI42+'Coûts annuels réseaux et stocka'!AI46</f>
        <v>9887.782273866078</v>
      </c>
      <c r="AG26">
        <f>'Coûts annuels réseaux et stocka'!AJ12+'Coûts annuels réseaux et stocka'!AJ13+'Coûts annuels réseaux et stocka'!AJ17+'Coûts annuels réseaux et stocka'!AJ18+'Coûts annuels réseaux et stocka'!AJ24+'Coûts annuels réseaux et stocka'!AJ28+'Coûts annuels réseaux et stocka'!AJ33+'Coûts annuels réseaux et stocka'!AJ42+'Coûts annuels réseaux et stocka'!AJ46</f>
        <v>9920.5142371458787</v>
      </c>
      <c r="AH26">
        <f>'Coûts annuels réseaux et stocka'!AK12+'Coûts annuels réseaux et stocka'!AK13+'Coûts annuels réseaux et stocka'!AK17+'Coûts annuels réseaux et stocka'!AK18+'Coûts annuels réseaux et stocka'!AK24+'Coûts annuels réseaux et stocka'!AK28+'Coûts annuels réseaux et stocka'!AK33+'Coûts annuels réseaux et stocka'!AK42+'Coûts annuels réseaux et stocka'!AK46</f>
        <v>9953.1998593064454</v>
      </c>
      <c r="AI26">
        <f>'Coûts annuels réseaux et stocka'!AL12+'Coûts annuels réseaux et stocka'!AL13+'Coûts annuels réseaux et stocka'!AL17+'Coûts annuels réseaux et stocka'!AL18+'Coûts annuels réseaux et stocka'!AL24+'Coûts annuels réseaux et stocka'!AL28+'Coûts annuels réseaux et stocka'!AL33+'Coûts annuels réseaux et stocka'!AL42+'Coûts annuels réseaux et stocka'!AL46</f>
        <v>9985.8391403477817</v>
      </c>
      <c r="AJ26">
        <f>'Coûts annuels réseaux et stocka'!AM12+'Coûts annuels réseaux et stocka'!AM13+'Coûts annuels réseaux et stocka'!AM17+'Coûts annuels réseaux et stocka'!AM18+'Coûts annuels réseaux et stocka'!AM24+'Coûts annuels réseaux et stocka'!AM28+'Coûts annuels réseaux et stocka'!AM33+'Coûts annuels réseaux et stocka'!AM42+'Coûts annuels réseaux et stocka'!AM46</f>
        <v>10018.432080269882</v>
      </c>
      <c r="AK26">
        <f>'Coûts annuels réseaux et stocka'!AN12+'Coûts annuels réseaux et stocka'!AN13+'Coûts annuels réseaux et stocka'!AN17+'Coûts annuels réseaux et stocka'!AN18+'Coûts annuels réseaux et stocka'!AN24+'Coûts annuels réseaux et stocka'!AN28+'Coûts annuels réseaux et stocka'!AN33+'Coûts annuels réseaux et stocka'!AN42+'Coûts annuels réseaux et stocka'!AN46</f>
        <v>10050.978679072752</v>
      </c>
      <c r="AL26">
        <f>'Coûts annuels réseaux et stocka'!AO12+'Coûts annuels réseaux et stocka'!AO13+'Coûts annuels réseaux et stocka'!AO17+'Coûts annuels réseaux et stocka'!AO18+'Coûts annuels réseaux et stocka'!AO24+'Coûts annuels réseaux et stocka'!AO28+'Coûts annuels réseaux et stocka'!AO33+'Coûts annuels réseaux et stocka'!AO42+'Coûts annuels réseaux et stocka'!AO46</f>
        <v>10086.980485635017</v>
      </c>
      <c r="AM26">
        <f>'Coûts annuels réseaux et stocka'!AP12+'Coûts annuels réseaux et stocka'!AP13+'Coûts annuels réseaux et stocka'!AP17+'Coûts annuels réseaux et stocka'!AP18+'Coûts annuels réseaux et stocka'!AP24+'Coûts annuels réseaux et stocka'!AP28+'Coûts annuels réseaux et stocka'!AP33+'Coûts annuels réseaux et stocka'!AP42+'Coûts annuels réseaux et stocka'!AP46</f>
        <v>10122.920592126</v>
      </c>
    </row>
    <row r="27" spans="1:39" ht="15.75" thickBot="1" x14ac:dyDescent="0.3"/>
    <row r="28" spans="1:39" x14ac:dyDescent="0.25">
      <c r="A28" s="157" t="s">
        <v>239</v>
      </c>
      <c r="B28" s="158">
        <f>B4</f>
        <v>2013</v>
      </c>
      <c r="C28" s="158">
        <f t="shared" ref="C28:AM28" si="4">C4</f>
        <v>2014</v>
      </c>
      <c r="D28" s="158">
        <f t="shared" si="4"/>
        <v>2015</v>
      </c>
      <c r="E28" s="158">
        <f t="shared" si="4"/>
        <v>2016</v>
      </c>
      <c r="F28" s="158">
        <f t="shared" si="4"/>
        <v>2017</v>
      </c>
      <c r="G28" s="158">
        <f t="shared" si="4"/>
        <v>2018</v>
      </c>
      <c r="H28" s="158">
        <f t="shared" si="4"/>
        <v>2019</v>
      </c>
      <c r="I28" s="158">
        <f t="shared" si="4"/>
        <v>2020</v>
      </c>
      <c r="J28" s="158">
        <f t="shared" si="4"/>
        <v>2021</v>
      </c>
      <c r="K28" s="158">
        <f t="shared" si="4"/>
        <v>2022</v>
      </c>
      <c r="L28" s="158">
        <f t="shared" si="4"/>
        <v>2023</v>
      </c>
      <c r="M28" s="158">
        <f t="shared" si="4"/>
        <v>2024</v>
      </c>
      <c r="N28" s="158">
        <f t="shared" si="4"/>
        <v>2025</v>
      </c>
      <c r="O28" s="158">
        <f t="shared" si="4"/>
        <v>2026</v>
      </c>
      <c r="P28" s="158">
        <f t="shared" si="4"/>
        <v>2027</v>
      </c>
      <c r="Q28" s="158">
        <f t="shared" si="4"/>
        <v>2028</v>
      </c>
      <c r="R28" s="158">
        <f t="shared" si="4"/>
        <v>2029</v>
      </c>
      <c r="S28" s="158">
        <f t="shared" si="4"/>
        <v>2030</v>
      </c>
      <c r="T28" s="158">
        <f t="shared" si="4"/>
        <v>2031</v>
      </c>
      <c r="U28" s="158">
        <f t="shared" si="4"/>
        <v>2032</v>
      </c>
      <c r="V28" s="158">
        <f t="shared" si="4"/>
        <v>2033</v>
      </c>
      <c r="W28" s="158">
        <f t="shared" si="4"/>
        <v>2034</v>
      </c>
      <c r="X28" s="158">
        <f t="shared" si="4"/>
        <v>2035</v>
      </c>
      <c r="Y28" s="158">
        <f t="shared" si="4"/>
        <v>2036</v>
      </c>
      <c r="Z28" s="158">
        <f t="shared" si="4"/>
        <v>2037</v>
      </c>
      <c r="AA28" s="158">
        <f t="shared" si="4"/>
        <v>2038</v>
      </c>
      <c r="AB28" s="158">
        <f t="shared" si="4"/>
        <v>2039</v>
      </c>
      <c r="AC28" s="158">
        <f t="shared" si="4"/>
        <v>2040</v>
      </c>
      <c r="AD28" s="158">
        <f t="shared" si="4"/>
        <v>2041</v>
      </c>
      <c r="AE28" s="158">
        <f t="shared" si="4"/>
        <v>2042</v>
      </c>
      <c r="AF28" s="158">
        <f t="shared" si="4"/>
        <v>2043</v>
      </c>
      <c r="AG28" s="158">
        <f t="shared" si="4"/>
        <v>2044</v>
      </c>
      <c r="AH28" s="158">
        <f t="shared" si="4"/>
        <v>2045</v>
      </c>
      <c r="AI28" s="158">
        <f t="shared" si="4"/>
        <v>2046</v>
      </c>
      <c r="AJ28" s="158">
        <f t="shared" si="4"/>
        <v>2047</v>
      </c>
      <c r="AK28" s="158">
        <f t="shared" si="4"/>
        <v>2048</v>
      </c>
      <c r="AL28" s="158">
        <f t="shared" si="4"/>
        <v>2049</v>
      </c>
      <c r="AM28" s="159">
        <f t="shared" si="4"/>
        <v>2050</v>
      </c>
    </row>
    <row r="29" spans="1:39" x14ac:dyDescent="0.25">
      <c r="A29" s="153" t="s">
        <v>228</v>
      </c>
      <c r="B29" s="98">
        <f t="shared" ref="B29:AM29" si="5">B5+B$25*B91</f>
        <v>0</v>
      </c>
      <c r="C29" s="98">
        <f t="shared" si="5"/>
        <v>0</v>
      </c>
      <c r="D29" s="98">
        <f t="shared" si="5"/>
        <v>0</v>
      </c>
      <c r="E29" s="98">
        <f t="shared" si="5"/>
        <v>0</v>
      </c>
      <c r="F29" s="98">
        <f t="shared" si="5"/>
        <v>0</v>
      </c>
      <c r="G29" s="98">
        <f t="shared" si="5"/>
        <v>0</v>
      </c>
      <c r="H29" s="98">
        <f t="shared" si="5"/>
        <v>0</v>
      </c>
      <c r="I29" s="98">
        <f t="shared" si="5"/>
        <v>0</v>
      </c>
      <c r="J29" s="98">
        <f t="shared" si="5"/>
        <v>0</v>
      </c>
      <c r="K29" s="98">
        <f t="shared" si="5"/>
        <v>0</v>
      </c>
      <c r="L29" s="98">
        <f t="shared" si="5"/>
        <v>0</v>
      </c>
      <c r="M29" s="98">
        <f t="shared" si="5"/>
        <v>0</v>
      </c>
      <c r="N29" s="98">
        <f t="shared" si="5"/>
        <v>0</v>
      </c>
      <c r="O29" s="98">
        <f t="shared" si="5"/>
        <v>0</v>
      </c>
      <c r="P29" s="98">
        <f t="shared" si="5"/>
        <v>0</v>
      </c>
      <c r="Q29" s="98">
        <f t="shared" si="5"/>
        <v>0</v>
      </c>
      <c r="R29" s="98">
        <f t="shared" si="5"/>
        <v>0</v>
      </c>
      <c r="S29" s="98">
        <f t="shared" si="5"/>
        <v>0</v>
      </c>
      <c r="T29" s="98">
        <f t="shared" si="5"/>
        <v>0</v>
      </c>
      <c r="U29" s="98">
        <f t="shared" si="5"/>
        <v>0</v>
      </c>
      <c r="V29" s="98">
        <f t="shared" si="5"/>
        <v>0</v>
      </c>
      <c r="W29" s="98">
        <f t="shared" si="5"/>
        <v>0</v>
      </c>
      <c r="X29" s="98">
        <f t="shared" si="5"/>
        <v>0</v>
      </c>
      <c r="Y29" s="98">
        <f t="shared" si="5"/>
        <v>0</v>
      </c>
      <c r="Z29" s="98">
        <f t="shared" si="5"/>
        <v>0</v>
      </c>
      <c r="AA29" s="98">
        <f t="shared" si="5"/>
        <v>0</v>
      </c>
      <c r="AB29" s="98">
        <f t="shared" si="5"/>
        <v>0</v>
      </c>
      <c r="AC29" s="98">
        <f t="shared" si="5"/>
        <v>0</v>
      </c>
      <c r="AD29" s="98">
        <f t="shared" si="5"/>
        <v>0</v>
      </c>
      <c r="AE29" s="98">
        <f t="shared" si="5"/>
        <v>229.2357668633519</v>
      </c>
      <c r="AF29" s="98">
        <f t="shared" si="5"/>
        <v>457.86105415133483</v>
      </c>
      <c r="AG29" s="98">
        <f t="shared" si="5"/>
        <v>685.87562248831978</v>
      </c>
      <c r="AH29" s="98">
        <f t="shared" si="5"/>
        <v>913.26976665560892</v>
      </c>
      <c r="AI29" s="98">
        <f t="shared" si="5"/>
        <v>1140.0480515012011</v>
      </c>
      <c r="AJ29" s="98">
        <f t="shared" si="5"/>
        <v>1366.2099593319431</v>
      </c>
      <c r="AK29" s="98">
        <f t="shared" si="5"/>
        <v>1591.754738358911</v>
      </c>
      <c r="AL29" s="98">
        <f t="shared" si="5"/>
        <v>1816.9890283861666</v>
      </c>
      <c r="AM29" s="150">
        <f t="shared" si="5"/>
        <v>2041.6791823827152</v>
      </c>
    </row>
    <row r="30" spans="1:39" x14ac:dyDescent="0.25">
      <c r="A30" s="153" t="s">
        <v>229</v>
      </c>
      <c r="B30" s="98">
        <f t="shared" ref="B30:AM30" si="6">B6+B$25*B92</f>
        <v>1034.5345077084226</v>
      </c>
      <c r="C30" s="98">
        <f t="shared" si="6"/>
        <v>1463.9153269467263</v>
      </c>
      <c r="D30" s="98">
        <f t="shared" si="6"/>
        <v>1893.3082890287524</v>
      </c>
      <c r="E30" s="98">
        <f t="shared" si="6"/>
        <v>2321.2231104803059</v>
      </c>
      <c r="F30" s="98">
        <f t="shared" si="6"/>
        <v>2748.1854273378276</v>
      </c>
      <c r="G30" s="98">
        <f t="shared" si="6"/>
        <v>3341.4054176947102</v>
      </c>
      <c r="H30" s="98">
        <f t="shared" si="6"/>
        <v>3929.9643540236502</v>
      </c>
      <c r="I30" s="98">
        <f t="shared" si="6"/>
        <v>4513.4388613268111</v>
      </c>
      <c r="J30" s="98">
        <f t="shared" si="6"/>
        <v>5088.7572880099424</v>
      </c>
      <c r="K30" s="98">
        <f t="shared" si="6"/>
        <v>5654.2309656818015</v>
      </c>
      <c r="L30" s="98">
        <f t="shared" si="6"/>
        <v>6213.3067439502556</v>
      </c>
      <c r="M30" s="98">
        <f t="shared" si="6"/>
        <v>6708.8750255463347</v>
      </c>
      <c r="N30" s="98">
        <f t="shared" si="6"/>
        <v>7201.7289404562571</v>
      </c>
      <c r="O30" s="98">
        <f t="shared" si="6"/>
        <v>7690.1132298076927</v>
      </c>
      <c r="P30" s="98">
        <f t="shared" si="6"/>
        <v>8174.031284959713</v>
      </c>
      <c r="Q30" s="98">
        <f t="shared" si="6"/>
        <v>8653.4865402214709</v>
      </c>
      <c r="R30" s="98">
        <f t="shared" si="6"/>
        <v>9128.4824735343191</v>
      </c>
      <c r="S30" s="98">
        <f t="shared" si="6"/>
        <v>9599.0226071669113</v>
      </c>
      <c r="T30" s="98">
        <f t="shared" si="6"/>
        <v>10072.42566306849</v>
      </c>
      <c r="U30" s="98">
        <f t="shared" si="6"/>
        <v>10545.321892747754</v>
      </c>
      <c r="V30" s="98">
        <f t="shared" si="6"/>
        <v>10974.022086704865</v>
      </c>
      <c r="W30" s="98">
        <f t="shared" si="6"/>
        <v>11393.606070570475</v>
      </c>
      <c r="X30" s="98">
        <f t="shared" si="6"/>
        <v>11835.49936833028</v>
      </c>
      <c r="Y30" s="98">
        <f t="shared" si="6"/>
        <v>12275.572810229092</v>
      </c>
      <c r="Z30" s="98">
        <f t="shared" si="6"/>
        <v>12713.186149665875</v>
      </c>
      <c r="AA30" s="98">
        <f t="shared" si="6"/>
        <v>13092.341570982191</v>
      </c>
      <c r="AB30" s="98">
        <f t="shared" si="6"/>
        <v>13476.067728667855</v>
      </c>
      <c r="AC30" s="98">
        <f t="shared" si="6"/>
        <v>13865.897304572467</v>
      </c>
      <c r="AD30" s="98">
        <f t="shared" si="6"/>
        <v>14271.466605797104</v>
      </c>
      <c r="AE30" s="98">
        <f t="shared" si="6"/>
        <v>14656.35832818776</v>
      </c>
      <c r="AF30" s="98">
        <f t="shared" si="6"/>
        <v>15054.330862927382</v>
      </c>
      <c r="AG30" s="98">
        <f t="shared" si="6"/>
        <v>15470.112821906949</v>
      </c>
      <c r="AH30" s="98">
        <f t="shared" si="6"/>
        <v>15888.626867840447</v>
      </c>
      <c r="AI30" s="98">
        <f t="shared" si="6"/>
        <v>16310.151626041215</v>
      </c>
      <c r="AJ30" s="98">
        <f t="shared" si="6"/>
        <v>16734.682700351404</v>
      </c>
      <c r="AK30" s="98">
        <f t="shared" si="6"/>
        <v>17162.215711969096</v>
      </c>
      <c r="AL30" s="98">
        <f t="shared" si="6"/>
        <v>17598.063003052986</v>
      </c>
      <c r="AM30" s="150">
        <f t="shared" si="6"/>
        <v>18037.156338444081</v>
      </c>
    </row>
    <row r="31" spans="1:39" x14ac:dyDescent="0.25">
      <c r="A31" s="153" t="s">
        <v>230</v>
      </c>
      <c r="B31" s="98">
        <f t="shared" ref="B31:AM31" si="7">B7+B$25*B93</f>
        <v>719.78595118658552</v>
      </c>
      <c r="C31" s="98">
        <f t="shared" si="7"/>
        <v>1040.7781617792075</v>
      </c>
      <c r="D31" s="98">
        <f t="shared" si="7"/>
        <v>1355.0041767219566</v>
      </c>
      <c r="E31" s="98">
        <f t="shared" si="7"/>
        <v>1662.7117565852666</v>
      </c>
      <c r="F31" s="98">
        <f t="shared" si="7"/>
        <v>1964.0667601074515</v>
      </c>
      <c r="G31" s="98">
        <f t="shared" si="7"/>
        <v>2259.1153451248583</v>
      </c>
      <c r="H31" s="98">
        <f t="shared" si="7"/>
        <v>2547.6644046373617</v>
      </c>
      <c r="I31" s="98">
        <f t="shared" si="7"/>
        <v>2829.5936931568181</v>
      </c>
      <c r="J31" s="98">
        <f t="shared" si="7"/>
        <v>3104.0508036545793</v>
      </c>
      <c r="K31" s="98">
        <f t="shared" si="7"/>
        <v>3370.6037301036167</v>
      </c>
      <c r="L31" s="98">
        <f t="shared" si="7"/>
        <v>3630.2291829899841</v>
      </c>
      <c r="M31" s="98">
        <f t="shared" si="7"/>
        <v>3883.2461424204289</v>
      </c>
      <c r="N31" s="98">
        <f t="shared" si="7"/>
        <v>4129.9479041060213</v>
      </c>
      <c r="O31" s="98">
        <f t="shared" si="7"/>
        <v>4369.855061872322</v>
      </c>
      <c r="P31" s="98">
        <f t="shared" si="7"/>
        <v>4602.9685311263747</v>
      </c>
      <c r="Q31" s="98">
        <f t="shared" si="7"/>
        <v>4829.2892388684522</v>
      </c>
      <c r="R31" s="98">
        <f t="shared" si="7"/>
        <v>5048.8181238761763</v>
      </c>
      <c r="S31" s="98">
        <f t="shared" si="7"/>
        <v>5261.5561368921462</v>
      </c>
      <c r="T31" s="98">
        <f t="shared" si="7"/>
        <v>5471.2464379437633</v>
      </c>
      <c r="U31" s="98">
        <f t="shared" si="7"/>
        <v>5676.9723759769649</v>
      </c>
      <c r="V31" s="98">
        <f t="shared" si="7"/>
        <v>5878.7368040310121</v>
      </c>
      <c r="W31" s="98">
        <f t="shared" si="7"/>
        <v>6076.4229366744748</v>
      </c>
      <c r="X31" s="98">
        <f t="shared" si="7"/>
        <v>6275.8063769608307</v>
      </c>
      <c r="Y31" s="98">
        <f t="shared" si="7"/>
        <v>6470.334338280908</v>
      </c>
      <c r="Z31" s="98">
        <f t="shared" si="7"/>
        <v>6659.8340031195885</v>
      </c>
      <c r="AA31" s="98">
        <f t="shared" si="7"/>
        <v>6842.9879654483284</v>
      </c>
      <c r="AB31" s="98">
        <f t="shared" si="7"/>
        <v>6883.4906346610733</v>
      </c>
      <c r="AC31" s="98">
        <f t="shared" si="7"/>
        <v>6923.5803351348322</v>
      </c>
      <c r="AD31" s="98">
        <f t="shared" si="7"/>
        <v>6965.8695607560967</v>
      </c>
      <c r="AE31" s="98">
        <f t="shared" si="7"/>
        <v>7000.4845014429438</v>
      </c>
      <c r="AF31" s="98">
        <f t="shared" si="7"/>
        <v>7036.5785006599617</v>
      </c>
      <c r="AG31" s="98">
        <f t="shared" si="7"/>
        <v>7071.7325997689477</v>
      </c>
      <c r="AH31" s="98">
        <f t="shared" si="7"/>
        <v>7105.8674473798956</v>
      </c>
      <c r="AI31" s="98">
        <f t="shared" si="7"/>
        <v>7139.0585705788935</v>
      </c>
      <c r="AJ31" s="98">
        <f t="shared" si="7"/>
        <v>7171.304783447823</v>
      </c>
      <c r="AK31" s="98">
        <f t="shared" si="7"/>
        <v>7202.6049047505494</v>
      </c>
      <c r="AL31" s="98">
        <f t="shared" si="7"/>
        <v>7234.3978054202089</v>
      </c>
      <c r="AM31" s="150">
        <f t="shared" si="7"/>
        <v>7265.310448487232</v>
      </c>
    </row>
    <row r="32" spans="1:39" x14ac:dyDescent="0.25">
      <c r="A32" s="153" t="s">
        <v>231</v>
      </c>
      <c r="B32" s="98">
        <f t="shared" ref="B32:AM32" si="8">B8+B$25*B94</f>
        <v>4623.0411823691775</v>
      </c>
      <c r="C32" s="98">
        <f t="shared" si="8"/>
        <v>4612.977081852122</v>
      </c>
      <c r="D32" s="98">
        <f t="shared" si="8"/>
        <v>4602.6169577414421</v>
      </c>
      <c r="E32" s="98">
        <f t="shared" si="8"/>
        <v>4593.2511332536824</v>
      </c>
      <c r="F32" s="98">
        <f t="shared" si="8"/>
        <v>4584.8919607733324</v>
      </c>
      <c r="G32" s="98">
        <f t="shared" si="8"/>
        <v>4576.9965383655253</v>
      </c>
      <c r="H32" s="98">
        <f t="shared" si="8"/>
        <v>4568.3401196255945</v>
      </c>
      <c r="I32" s="98">
        <f t="shared" si="8"/>
        <v>4558.494116485308</v>
      </c>
      <c r="J32" s="98">
        <f t="shared" si="8"/>
        <v>4544.8919773601638</v>
      </c>
      <c r="K32" s="98">
        <f t="shared" si="8"/>
        <v>4527.1170002391391</v>
      </c>
      <c r="L32" s="98">
        <f t="shared" si="8"/>
        <v>4508.5973545980314</v>
      </c>
      <c r="M32" s="98">
        <f t="shared" si="8"/>
        <v>4490.1047601053961</v>
      </c>
      <c r="N32" s="98">
        <f t="shared" si="8"/>
        <v>4472.1276148373126</v>
      </c>
      <c r="O32" s="98">
        <f t="shared" si="8"/>
        <v>4453.4060740184495</v>
      </c>
      <c r="P32" s="98">
        <f t="shared" si="8"/>
        <v>4433.9401452191878</v>
      </c>
      <c r="Q32" s="98">
        <f t="shared" si="8"/>
        <v>4413.7298356079036</v>
      </c>
      <c r="R32" s="98">
        <f t="shared" si="8"/>
        <v>4392.7751519348403</v>
      </c>
      <c r="S32" s="98">
        <f t="shared" si="8"/>
        <v>4371.0761005333607</v>
      </c>
      <c r="T32" s="98">
        <f t="shared" si="8"/>
        <v>4350.9602551072758</v>
      </c>
      <c r="U32" s="98">
        <f t="shared" si="8"/>
        <v>4330.839280995111</v>
      </c>
      <c r="V32" s="98">
        <f t="shared" si="8"/>
        <v>4310.7132524021044</v>
      </c>
      <c r="W32" s="98">
        <f t="shared" si="8"/>
        <v>4290.4224752110513</v>
      </c>
      <c r="X32" s="98">
        <f t="shared" si="8"/>
        <v>4277.3549328721983</v>
      </c>
      <c r="Y32" s="98">
        <f t="shared" si="8"/>
        <v>4262.5778494698861</v>
      </c>
      <c r="Z32" s="98">
        <f t="shared" si="8"/>
        <v>4246.0901768804351</v>
      </c>
      <c r="AA32" s="98">
        <f t="shared" si="8"/>
        <v>4226.6055925254759</v>
      </c>
      <c r="AB32" s="98">
        <f t="shared" si="8"/>
        <v>4207.1217741721139</v>
      </c>
      <c r="AC32" s="98">
        <f t="shared" si="8"/>
        <v>4188.0674870286703</v>
      </c>
      <c r="AD32" s="98">
        <f t="shared" si="8"/>
        <v>4172.0155537231431</v>
      </c>
      <c r="AE32" s="98">
        <f t="shared" si="8"/>
        <v>4149.079029790174</v>
      </c>
      <c r="AF32" s="98">
        <f t="shared" si="8"/>
        <v>4128.5223313337438</v>
      </c>
      <c r="AG32" s="98">
        <f t="shared" si="8"/>
        <v>4109.7362543233021</v>
      </c>
      <c r="AH32" s="98">
        <f t="shared" si="8"/>
        <v>4095.5427477350922</v>
      </c>
      <c r="AI32" s="98">
        <f t="shared" si="8"/>
        <v>4082.0373548299444</v>
      </c>
      <c r="AJ32" s="98">
        <f t="shared" si="8"/>
        <v>4069.2202648473162</v>
      </c>
      <c r="AK32" s="98">
        <f t="shared" si="8"/>
        <v>4057.0916528546568</v>
      </c>
      <c r="AL32" s="98">
        <f t="shared" si="8"/>
        <v>4046.7668303335568</v>
      </c>
      <c r="AM32" s="150">
        <f t="shared" si="8"/>
        <v>4037.1183647510197</v>
      </c>
    </row>
    <row r="33" spans="1:39" x14ac:dyDescent="0.25">
      <c r="A33" s="153" t="s">
        <v>232</v>
      </c>
      <c r="B33" s="98">
        <f t="shared" ref="B33:AM33" si="9">B9+B$25*B95</f>
        <v>377.3362960506218</v>
      </c>
      <c r="C33" s="98">
        <f t="shared" si="9"/>
        <v>429.6393354564139</v>
      </c>
      <c r="D33" s="98">
        <f t="shared" si="9"/>
        <v>481.94670427295955</v>
      </c>
      <c r="E33" s="98">
        <f t="shared" si="9"/>
        <v>534.01908094600083</v>
      </c>
      <c r="F33" s="98">
        <f t="shared" si="9"/>
        <v>585.92246147095636</v>
      </c>
      <c r="G33" s="98">
        <f t="shared" si="9"/>
        <v>637.64716003780541</v>
      </c>
      <c r="H33" s="98">
        <f t="shared" si="9"/>
        <v>689.05419124706373</v>
      </c>
      <c r="I33" s="98">
        <f t="shared" si="9"/>
        <v>740.07416230031095</v>
      </c>
      <c r="J33" s="98">
        <f t="shared" si="9"/>
        <v>790.23937400747207</v>
      </c>
      <c r="K33" s="98">
        <f t="shared" si="9"/>
        <v>839.35818478866338</v>
      </c>
      <c r="L33" s="98">
        <f t="shared" si="9"/>
        <v>887.99151951916201</v>
      </c>
      <c r="M33" s="98">
        <f t="shared" si="9"/>
        <v>936.30470665352527</v>
      </c>
      <c r="N33" s="98">
        <f t="shared" si="9"/>
        <v>984.43840559790829</v>
      </c>
      <c r="O33" s="98">
        <f t="shared" si="9"/>
        <v>1032.1390036307712</v>
      </c>
      <c r="P33" s="98">
        <f t="shared" si="9"/>
        <v>1079.4068618102494</v>
      </c>
      <c r="Q33" s="98">
        <f t="shared" si="9"/>
        <v>1126.2423457671232</v>
      </c>
      <c r="R33" s="98">
        <f t="shared" si="9"/>
        <v>1172.6458257774352</v>
      </c>
      <c r="S33" s="98">
        <f t="shared" si="9"/>
        <v>1218.6176768364983</v>
      </c>
      <c r="T33" s="98">
        <f t="shared" si="9"/>
        <v>1264.726307860037</v>
      </c>
      <c r="U33" s="98">
        <f t="shared" si="9"/>
        <v>1310.5289276173598</v>
      </c>
      <c r="V33" s="98">
        <f t="shared" si="9"/>
        <v>1348.3656379740694</v>
      </c>
      <c r="W33" s="98">
        <f t="shared" si="9"/>
        <v>1386.061906149509</v>
      </c>
      <c r="X33" s="98">
        <f t="shared" si="9"/>
        <v>1426.2677072288136</v>
      </c>
      <c r="Y33" s="98">
        <f t="shared" si="9"/>
        <v>1465.9420452211073</v>
      </c>
      <c r="Z33" s="98">
        <f t="shared" si="9"/>
        <v>1505.0167568209752</v>
      </c>
      <c r="AA33" s="98">
        <f t="shared" si="9"/>
        <v>1542.9066240193526</v>
      </c>
      <c r="AB33" s="98">
        <f t="shared" si="9"/>
        <v>1580.734000623311</v>
      </c>
      <c r="AC33" s="98">
        <f t="shared" si="9"/>
        <v>1618.6846809638023</v>
      </c>
      <c r="AD33" s="98">
        <f t="shared" si="9"/>
        <v>1657.9202982458951</v>
      </c>
      <c r="AE33" s="98">
        <f t="shared" si="9"/>
        <v>1694.0421095756826</v>
      </c>
      <c r="AF33" s="98">
        <f t="shared" si="9"/>
        <v>1731.1329609208558</v>
      </c>
      <c r="AG33" s="98">
        <f t="shared" si="9"/>
        <v>1768.1149574143485</v>
      </c>
      <c r="AH33" s="98">
        <f t="shared" si="9"/>
        <v>1804.9533371912423</v>
      </c>
      <c r="AI33" s="98">
        <f t="shared" si="9"/>
        <v>1841.6815587997728</v>
      </c>
      <c r="AJ33" s="98">
        <f t="shared" si="9"/>
        <v>1878.2991626085939</v>
      </c>
      <c r="AK33" s="98">
        <f t="shared" si="9"/>
        <v>1914.8056908009755</v>
      </c>
      <c r="AL33" s="98">
        <f t="shared" si="9"/>
        <v>1951.8254416239436</v>
      </c>
      <c r="AM33" s="150">
        <f t="shared" si="9"/>
        <v>1988.7594379420857</v>
      </c>
    </row>
    <row r="34" spans="1:39" x14ac:dyDescent="0.25">
      <c r="A34" s="160" t="s">
        <v>247</v>
      </c>
      <c r="B34" s="161">
        <f t="shared" ref="B34:AM34" si="10">B25*B96</f>
        <v>3230.1482107207685</v>
      </c>
      <c r="C34" s="161">
        <f t="shared" si="10"/>
        <v>3165.1385811340206</v>
      </c>
      <c r="D34" s="161">
        <f t="shared" si="10"/>
        <v>3101.7073182717918</v>
      </c>
      <c r="E34" s="161">
        <f t="shared" si="10"/>
        <v>3047.4141735806934</v>
      </c>
      <c r="F34" s="161">
        <f t="shared" si="10"/>
        <v>3001.48930614341</v>
      </c>
      <c r="G34" s="161">
        <f t="shared" si="10"/>
        <v>2959.9771430108353</v>
      </c>
      <c r="H34" s="161">
        <f t="shared" si="10"/>
        <v>2915.4854232076805</v>
      </c>
      <c r="I34" s="161">
        <f t="shared" si="10"/>
        <v>2865.6986082632634</v>
      </c>
      <c r="J34" s="161">
        <f t="shared" si="10"/>
        <v>2797.4321535195072</v>
      </c>
      <c r="K34" s="161">
        <f t="shared" si="10"/>
        <v>2710.0579371631825</v>
      </c>
      <c r="L34" s="161">
        <f t="shared" si="10"/>
        <v>2622.0204504879262</v>
      </c>
      <c r="M34" s="161">
        <f t="shared" si="10"/>
        <v>2536.9611742335319</v>
      </c>
      <c r="N34" s="161">
        <f t="shared" si="10"/>
        <v>2456.7137263244158</v>
      </c>
      <c r="O34" s="161">
        <f t="shared" si="10"/>
        <v>2375.1203579939006</v>
      </c>
      <c r="P34" s="161">
        <f t="shared" si="10"/>
        <v>2292.1763953197701</v>
      </c>
      <c r="Q34" s="161">
        <f t="shared" si="10"/>
        <v>2207.8771051866079</v>
      </c>
      <c r="R34" s="161">
        <f t="shared" si="10"/>
        <v>2122.217694345748</v>
      </c>
      <c r="S34" s="161">
        <f t="shared" si="10"/>
        <v>2035.1933084572609</v>
      </c>
      <c r="T34" s="161">
        <f t="shared" si="10"/>
        <v>1952.4180583332741</v>
      </c>
      <c r="U34" s="161">
        <f t="shared" si="10"/>
        <v>1867.7369083162362</v>
      </c>
      <c r="V34" s="161">
        <f t="shared" si="10"/>
        <v>1781.1352912431591</v>
      </c>
      <c r="W34" s="161">
        <f t="shared" si="10"/>
        <v>1692.1207588106308</v>
      </c>
      <c r="X34" s="161">
        <f t="shared" si="10"/>
        <v>1621.532632593221</v>
      </c>
      <c r="Y34" s="161">
        <f t="shared" si="10"/>
        <v>1541.9553070684599</v>
      </c>
      <c r="Z34" s="161">
        <f t="shared" si="10"/>
        <v>1454.2711608797526</v>
      </c>
      <c r="AA34" s="161">
        <f t="shared" si="10"/>
        <v>1356.4573159940201</v>
      </c>
      <c r="AB34" s="161">
        <f t="shared" si="10"/>
        <v>1256.3814776911995</v>
      </c>
      <c r="AC34" s="161">
        <f t="shared" si="10"/>
        <v>1154.8380473775269</v>
      </c>
      <c r="AD34" s="161">
        <f t="shared" si="10"/>
        <v>1055.9867341353604</v>
      </c>
      <c r="AE34" s="161">
        <f t="shared" si="10"/>
        <v>942.98587065677953</v>
      </c>
      <c r="AF34" s="161">
        <f t="shared" si="10"/>
        <v>832.12415985216592</v>
      </c>
      <c r="AG34" s="161">
        <f t="shared" si="10"/>
        <v>719.24113396824578</v>
      </c>
      <c r="AH34" s="161">
        <f t="shared" si="10"/>
        <v>604.27998063048653</v>
      </c>
      <c r="AI34" s="161">
        <f t="shared" si="10"/>
        <v>487.34438990452873</v>
      </c>
      <c r="AJ34" s="161">
        <f t="shared" si="10"/>
        <v>368.44150022960162</v>
      </c>
      <c r="AK34" s="161">
        <f t="shared" si="10"/>
        <v>247.57842186252574</v>
      </c>
      <c r="AL34" s="161">
        <f t="shared" si="10"/>
        <v>124.9804097844687</v>
      </c>
      <c r="AM34" s="161">
        <f t="shared" si="10"/>
        <v>0</v>
      </c>
    </row>
    <row r="35" spans="1:39" x14ac:dyDescent="0.25">
      <c r="A35" s="154" t="s">
        <v>218</v>
      </c>
      <c r="B35" s="98">
        <f>SUM(B29:B33)</f>
        <v>6754.6979373148079</v>
      </c>
      <c r="C35" s="98">
        <f t="shared" ref="C35:AM35" si="11">SUM(C29:C33)</f>
        <v>7547.3099060344703</v>
      </c>
      <c r="D35" s="98">
        <f t="shared" si="11"/>
        <v>8332.8761277651101</v>
      </c>
      <c r="E35" s="98">
        <f t="shared" si="11"/>
        <v>9111.205081265256</v>
      </c>
      <c r="F35" s="98">
        <f t="shared" si="11"/>
        <v>9883.0666096895693</v>
      </c>
      <c r="G35" s="98">
        <f t="shared" si="11"/>
        <v>10815.164461222899</v>
      </c>
      <c r="H35" s="98">
        <f t="shared" si="11"/>
        <v>11735.02306953367</v>
      </c>
      <c r="I35" s="98">
        <f t="shared" si="11"/>
        <v>12641.600833269247</v>
      </c>
      <c r="J35" s="98">
        <f t="shared" si="11"/>
        <v>13527.939443032157</v>
      </c>
      <c r="K35" s="98">
        <f t="shared" si="11"/>
        <v>14391.309880813222</v>
      </c>
      <c r="L35" s="98">
        <f t="shared" si="11"/>
        <v>15240.124801057433</v>
      </c>
      <c r="M35" s="98">
        <f t="shared" si="11"/>
        <v>16018.530634725685</v>
      </c>
      <c r="N35" s="98">
        <f t="shared" si="11"/>
        <v>16788.242864997501</v>
      </c>
      <c r="O35" s="98">
        <f t="shared" si="11"/>
        <v>17545.513369329237</v>
      </c>
      <c r="P35" s="98">
        <f t="shared" si="11"/>
        <v>18290.346823115528</v>
      </c>
      <c r="Q35" s="98">
        <f t="shared" si="11"/>
        <v>19022.747960464952</v>
      </c>
      <c r="R35" s="98">
        <f t="shared" si="11"/>
        <v>19742.72157512277</v>
      </c>
      <c r="S35" s="98">
        <f t="shared" si="11"/>
        <v>20450.272521428917</v>
      </c>
      <c r="T35" s="98">
        <f t="shared" si="11"/>
        <v>21159.358663979565</v>
      </c>
      <c r="U35" s="98">
        <f t="shared" si="11"/>
        <v>21863.662477337191</v>
      </c>
      <c r="V35" s="98">
        <f t="shared" si="11"/>
        <v>22511.837781112048</v>
      </c>
      <c r="W35" s="98">
        <f t="shared" si="11"/>
        <v>23146.513388605512</v>
      </c>
      <c r="X35" s="98">
        <f t="shared" si="11"/>
        <v>23814.928385392122</v>
      </c>
      <c r="Y35" s="98">
        <f t="shared" si="11"/>
        <v>24474.427043200994</v>
      </c>
      <c r="Z35" s="98">
        <f t="shared" si="11"/>
        <v>25124.127086486875</v>
      </c>
      <c r="AA35" s="98">
        <f t="shared" si="11"/>
        <v>25704.84175297535</v>
      </c>
      <c r="AB35" s="98">
        <f t="shared" si="11"/>
        <v>26147.41413812435</v>
      </c>
      <c r="AC35" s="98">
        <f t="shared" si="11"/>
        <v>26596.229807699772</v>
      </c>
      <c r="AD35" s="98">
        <f t="shared" si="11"/>
        <v>27067.272018522239</v>
      </c>
      <c r="AE35" s="98">
        <f t="shared" si="11"/>
        <v>27729.199735859911</v>
      </c>
      <c r="AF35" s="98">
        <f t="shared" si="11"/>
        <v>28408.425709993277</v>
      </c>
      <c r="AG35" s="98">
        <f t="shared" si="11"/>
        <v>29105.572255901869</v>
      </c>
      <c r="AH35" s="98">
        <f t="shared" si="11"/>
        <v>29808.260166802291</v>
      </c>
      <c r="AI35" s="98">
        <f t="shared" si="11"/>
        <v>30512.977161751027</v>
      </c>
      <c r="AJ35" s="98">
        <f t="shared" si="11"/>
        <v>31219.716870587083</v>
      </c>
      <c r="AK35" s="98">
        <f t="shared" si="11"/>
        <v>31928.472698734193</v>
      </c>
      <c r="AL35" s="98">
        <f t="shared" si="11"/>
        <v>32648.042108816862</v>
      </c>
      <c r="AM35" s="150">
        <f t="shared" si="11"/>
        <v>33370.023772007131</v>
      </c>
    </row>
    <row r="36" spans="1:39" x14ac:dyDescent="0.25">
      <c r="A36" s="134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150"/>
    </row>
    <row r="37" spans="1:39" x14ac:dyDescent="0.25">
      <c r="A37" s="155" t="s">
        <v>240</v>
      </c>
      <c r="B37" s="156">
        <f>B28</f>
        <v>2013</v>
      </c>
      <c r="C37" s="156">
        <f t="shared" ref="C37:AL37" si="12">C28</f>
        <v>2014</v>
      </c>
      <c r="D37" s="156">
        <f t="shared" si="12"/>
        <v>2015</v>
      </c>
      <c r="E37" s="156">
        <f t="shared" si="12"/>
        <v>2016</v>
      </c>
      <c r="F37" s="156">
        <f t="shared" si="12"/>
        <v>2017</v>
      </c>
      <c r="G37" s="156">
        <f t="shared" si="12"/>
        <v>2018</v>
      </c>
      <c r="H37" s="156">
        <f t="shared" si="12"/>
        <v>2019</v>
      </c>
      <c r="I37" s="156">
        <f t="shared" si="12"/>
        <v>2020</v>
      </c>
      <c r="J37" s="156">
        <f t="shared" si="12"/>
        <v>2021</v>
      </c>
      <c r="K37" s="156">
        <f t="shared" si="12"/>
        <v>2022</v>
      </c>
      <c r="L37" s="156">
        <f t="shared" si="12"/>
        <v>2023</v>
      </c>
      <c r="M37" s="156">
        <f t="shared" si="12"/>
        <v>2024</v>
      </c>
      <c r="N37" s="156">
        <f t="shared" si="12"/>
        <v>2025</v>
      </c>
      <c r="O37" s="156">
        <f t="shared" si="12"/>
        <v>2026</v>
      </c>
      <c r="P37" s="156">
        <f t="shared" si="12"/>
        <v>2027</v>
      </c>
      <c r="Q37" s="156">
        <f t="shared" si="12"/>
        <v>2028</v>
      </c>
      <c r="R37" s="156">
        <f t="shared" si="12"/>
        <v>2029</v>
      </c>
      <c r="S37" s="156">
        <f t="shared" si="12"/>
        <v>2030</v>
      </c>
      <c r="T37" s="156">
        <f t="shared" si="12"/>
        <v>2031</v>
      </c>
      <c r="U37" s="156">
        <f t="shared" si="12"/>
        <v>2032</v>
      </c>
      <c r="V37" s="156">
        <f t="shared" si="12"/>
        <v>2033</v>
      </c>
      <c r="W37" s="156">
        <f t="shared" si="12"/>
        <v>2034</v>
      </c>
      <c r="X37" s="156">
        <f t="shared" si="12"/>
        <v>2035</v>
      </c>
      <c r="Y37" s="156">
        <f t="shared" si="12"/>
        <v>2036</v>
      </c>
      <c r="Z37" s="156">
        <f t="shared" si="12"/>
        <v>2037</v>
      </c>
      <c r="AA37" s="156">
        <f t="shared" si="12"/>
        <v>2038</v>
      </c>
      <c r="AB37" s="156">
        <f t="shared" si="12"/>
        <v>2039</v>
      </c>
      <c r="AC37" s="156">
        <f t="shared" si="12"/>
        <v>2040</v>
      </c>
      <c r="AD37" s="156">
        <f t="shared" si="12"/>
        <v>2041</v>
      </c>
      <c r="AE37" s="156">
        <f t="shared" si="12"/>
        <v>2042</v>
      </c>
      <c r="AF37" s="156">
        <f t="shared" si="12"/>
        <v>2043</v>
      </c>
      <c r="AG37" s="156">
        <f t="shared" si="12"/>
        <v>2044</v>
      </c>
      <c r="AH37" s="156">
        <f t="shared" si="12"/>
        <v>2045</v>
      </c>
      <c r="AI37" s="156">
        <f t="shared" si="12"/>
        <v>2046</v>
      </c>
      <c r="AJ37" s="156">
        <f t="shared" si="12"/>
        <v>2047</v>
      </c>
      <c r="AK37" s="156">
        <f t="shared" si="12"/>
        <v>2048</v>
      </c>
      <c r="AL37" s="156">
        <f t="shared" si="12"/>
        <v>2049</v>
      </c>
      <c r="AM37" s="156">
        <f t="shared" ref="AM37" si="13">AM28</f>
        <v>2050</v>
      </c>
    </row>
    <row r="38" spans="1:39" x14ac:dyDescent="0.25">
      <c r="A38" s="153" t="s">
        <v>233</v>
      </c>
      <c r="B38" s="98">
        <f t="shared" ref="B38:AM38" si="14">B13+B$26*B91</f>
        <v>0</v>
      </c>
      <c r="C38" s="98">
        <f t="shared" si="14"/>
        <v>0</v>
      </c>
      <c r="D38" s="98">
        <f t="shared" si="14"/>
        <v>0</v>
      </c>
      <c r="E38" s="98">
        <f t="shared" si="14"/>
        <v>0</v>
      </c>
      <c r="F38" s="98">
        <f t="shared" si="14"/>
        <v>0</v>
      </c>
      <c r="G38" s="98">
        <f t="shared" si="14"/>
        <v>0</v>
      </c>
      <c r="H38" s="98">
        <f t="shared" si="14"/>
        <v>0</v>
      </c>
      <c r="I38" s="98">
        <f t="shared" si="14"/>
        <v>0</v>
      </c>
      <c r="J38" s="98">
        <f t="shared" si="14"/>
        <v>0</v>
      </c>
      <c r="K38" s="98">
        <f t="shared" si="14"/>
        <v>0</v>
      </c>
      <c r="L38" s="98">
        <f t="shared" si="14"/>
        <v>0</v>
      </c>
      <c r="M38" s="98">
        <f t="shared" si="14"/>
        <v>0</v>
      </c>
      <c r="N38" s="98">
        <f t="shared" si="14"/>
        <v>0</v>
      </c>
      <c r="O38" s="98">
        <f t="shared" si="14"/>
        <v>0</v>
      </c>
      <c r="P38" s="98">
        <f t="shared" si="14"/>
        <v>0</v>
      </c>
      <c r="Q38" s="98">
        <f t="shared" si="14"/>
        <v>0</v>
      </c>
      <c r="R38" s="98">
        <f t="shared" si="14"/>
        <v>0</v>
      </c>
      <c r="S38" s="98">
        <f t="shared" si="14"/>
        <v>0</v>
      </c>
      <c r="T38" s="98">
        <f t="shared" si="14"/>
        <v>0</v>
      </c>
      <c r="U38" s="98">
        <f t="shared" si="14"/>
        <v>0</v>
      </c>
      <c r="V38" s="98">
        <f t="shared" si="14"/>
        <v>0</v>
      </c>
      <c r="W38" s="98">
        <f t="shared" si="14"/>
        <v>0</v>
      </c>
      <c r="X38" s="98">
        <f t="shared" si="14"/>
        <v>0</v>
      </c>
      <c r="Y38" s="98">
        <f t="shared" si="14"/>
        <v>0</v>
      </c>
      <c r="Z38" s="98">
        <f t="shared" si="14"/>
        <v>0</v>
      </c>
      <c r="AA38" s="98">
        <f t="shared" si="14"/>
        <v>0</v>
      </c>
      <c r="AB38" s="98">
        <f t="shared" si="14"/>
        <v>0</v>
      </c>
      <c r="AC38" s="98">
        <f t="shared" si="14"/>
        <v>0</v>
      </c>
      <c r="AD38" s="98">
        <f t="shared" si="14"/>
        <v>0</v>
      </c>
      <c r="AE38" s="98">
        <f t="shared" si="14"/>
        <v>218.24463956088252</v>
      </c>
      <c r="AF38" s="98">
        <f t="shared" si="14"/>
        <v>437.6554312968542</v>
      </c>
      <c r="AG38" s="98">
        <f t="shared" si="14"/>
        <v>658.23135516774039</v>
      </c>
      <c r="AH38" s="98">
        <f t="shared" si="14"/>
        <v>879.9713737252705</v>
      </c>
      <c r="AI38" s="98">
        <f t="shared" si="14"/>
        <v>1102.8744292180209</v>
      </c>
      <c r="AJ38" s="98">
        <f t="shared" si="14"/>
        <v>1326.9394413776279</v>
      </c>
      <c r="AK38" s="98">
        <f t="shared" si="14"/>
        <v>1552.1653059231962</v>
      </c>
      <c r="AL38" s="98">
        <f t="shared" si="14"/>
        <v>1778.6702834019552</v>
      </c>
      <c r="AM38" s="98">
        <f t="shared" si="14"/>
        <v>2006.3628245950299</v>
      </c>
    </row>
    <row r="39" spans="1:39" x14ac:dyDescent="0.25">
      <c r="A39" s="153" t="s">
        <v>234</v>
      </c>
      <c r="B39" s="98">
        <f t="shared" ref="B39:AM39" si="15">B14+B$26*B92</f>
        <v>632.63781913364824</v>
      </c>
      <c r="C39" s="98">
        <f t="shared" si="15"/>
        <v>901.15598806043511</v>
      </c>
      <c r="D39" s="98">
        <f t="shared" si="15"/>
        <v>1167.3241924361828</v>
      </c>
      <c r="E39" s="98">
        <f t="shared" si="15"/>
        <v>1433.2905385732679</v>
      </c>
      <c r="F39" s="98">
        <f t="shared" si="15"/>
        <v>1699.0692413002635</v>
      </c>
      <c r="G39" s="98">
        <f t="shared" si="15"/>
        <v>2095.4955014034035</v>
      </c>
      <c r="H39" s="98">
        <f t="shared" si="15"/>
        <v>2488.4947957734985</v>
      </c>
      <c r="I39" s="98">
        <f t="shared" si="15"/>
        <v>2878.0661219739923</v>
      </c>
      <c r="J39" s="98">
        <f t="shared" si="15"/>
        <v>3264.2084708368466</v>
      </c>
      <c r="K39" s="98">
        <f t="shared" si="15"/>
        <v>3646.920826405948</v>
      </c>
      <c r="L39" s="98">
        <f t="shared" si="15"/>
        <v>4026.2021658799331</v>
      </c>
      <c r="M39" s="98">
        <f t="shared" si="15"/>
        <v>4356.8420137272069</v>
      </c>
      <c r="N39" s="98">
        <f t="shared" si="15"/>
        <v>4689.9638592441215</v>
      </c>
      <c r="O39" s="98">
        <f t="shared" si="15"/>
        <v>5021.7029255583639</v>
      </c>
      <c r="P39" s="98">
        <f t="shared" si="15"/>
        <v>5352.0682506475659</v>
      </c>
      <c r="Q39" s="98">
        <f t="shared" si="15"/>
        <v>5681.0689869514308</v>
      </c>
      <c r="R39" s="98">
        <f t="shared" si="15"/>
        <v>6008.7144031895104</v>
      </c>
      <c r="S39" s="98">
        <f t="shared" si="15"/>
        <v>6335.0138862137201</v>
      </c>
      <c r="T39" s="98">
        <f t="shared" si="15"/>
        <v>6663.6933460488417</v>
      </c>
      <c r="U39" s="98">
        <f t="shared" si="15"/>
        <v>6993.0674752849372</v>
      </c>
      <c r="V39" s="98">
        <f t="shared" si="15"/>
        <v>7306.4295230805337</v>
      </c>
      <c r="W39" s="98">
        <f t="shared" si="15"/>
        <v>7617.379759480762</v>
      </c>
      <c r="X39" s="98">
        <f t="shared" si="15"/>
        <v>7929.8155975196987</v>
      </c>
      <c r="Y39" s="98">
        <f t="shared" si="15"/>
        <v>8243.7510372240031</v>
      </c>
      <c r="Z39" s="98">
        <f t="shared" si="15"/>
        <v>8559.2002611251355</v>
      </c>
      <c r="AA39" s="98">
        <f t="shared" si="15"/>
        <v>8842.7639287847487</v>
      </c>
      <c r="AB39" s="98">
        <f t="shared" si="15"/>
        <v>9129.7229681807985</v>
      </c>
      <c r="AC39" s="98">
        <f t="shared" si="15"/>
        <v>9420.0921274972789</v>
      </c>
      <c r="AD39" s="98">
        <f t="shared" si="15"/>
        <v>9713.8863497153761</v>
      </c>
      <c r="AE39" s="98">
        <f t="shared" si="15"/>
        <v>9990.5534737721973</v>
      </c>
      <c r="AF39" s="98">
        <f t="shared" si="15"/>
        <v>10277.035599761823</v>
      </c>
      <c r="AG39" s="98">
        <f t="shared" si="15"/>
        <v>10574.85949492134</v>
      </c>
      <c r="AH39" s="98">
        <f t="shared" si="15"/>
        <v>10874.360852897677</v>
      </c>
      <c r="AI39" s="98">
        <f t="shared" si="15"/>
        <v>11175.535541195324</v>
      </c>
      <c r="AJ39" s="98">
        <f t="shared" si="15"/>
        <v>11478.379443649883</v>
      </c>
      <c r="AK39" s="98">
        <f t="shared" si="15"/>
        <v>11782.888460347483</v>
      </c>
      <c r="AL39" s="98">
        <f t="shared" si="15"/>
        <v>12091.121880052517</v>
      </c>
      <c r="AM39" s="98">
        <f t="shared" si="15"/>
        <v>12401.107271582739</v>
      </c>
    </row>
    <row r="40" spans="1:39" x14ac:dyDescent="0.25">
      <c r="A40" s="153" t="s">
        <v>235</v>
      </c>
      <c r="B40" s="98">
        <f t="shared" ref="B40:AM40" si="16">B15+B$26*B93</f>
        <v>220.10255930259791</v>
      </c>
      <c r="C40" s="98">
        <f t="shared" si="16"/>
        <v>320.64245452568457</v>
      </c>
      <c r="D40" s="98">
        <f t="shared" si="16"/>
        <v>419.19970947447882</v>
      </c>
      <c r="E40" s="98">
        <f t="shared" si="16"/>
        <v>516.65074867637964</v>
      </c>
      <c r="F40" s="98">
        <f t="shared" si="16"/>
        <v>613.00005746604677</v>
      </c>
      <c r="G40" s="98">
        <f t="shared" si="16"/>
        <v>707.27749443790935</v>
      </c>
      <c r="H40" s="98">
        <f t="shared" si="16"/>
        <v>800.17846615161784</v>
      </c>
      <c r="I40" s="98">
        <f t="shared" si="16"/>
        <v>891.70272561294723</v>
      </c>
      <c r="J40" s="98">
        <f t="shared" si="16"/>
        <v>981.85002416907719</v>
      </c>
      <c r="K40" s="98">
        <f t="shared" si="16"/>
        <v>1070.6201114946457</v>
      </c>
      <c r="L40" s="98">
        <f t="shared" si="16"/>
        <v>1158.0127355776649</v>
      </c>
      <c r="M40" s="98">
        <f t="shared" si="16"/>
        <v>1244.751006864281</v>
      </c>
      <c r="N40" s="98">
        <f t="shared" si="16"/>
        <v>1331.4644743899673</v>
      </c>
      <c r="O40" s="98">
        <f t="shared" si="16"/>
        <v>1417.0975636027085</v>
      </c>
      <c r="P40" s="98">
        <f t="shared" si="16"/>
        <v>1501.6527140638141</v>
      </c>
      <c r="Q40" s="98">
        <f t="shared" si="16"/>
        <v>1585.1323962305798</v>
      </c>
      <c r="R40" s="98">
        <f t="shared" si="16"/>
        <v>1667.5391119469487</v>
      </c>
      <c r="S40" s="98">
        <f t="shared" si="16"/>
        <v>1748.87539494355</v>
      </c>
      <c r="T40" s="98">
        <f t="shared" si="16"/>
        <v>1830.2111512587994</v>
      </c>
      <c r="U40" s="98">
        <f t="shared" si="16"/>
        <v>1911.0879206181967</v>
      </c>
      <c r="V40" s="98">
        <f t="shared" si="16"/>
        <v>1991.5093388479836</v>
      </c>
      <c r="W40" s="98">
        <f t="shared" si="16"/>
        <v>2071.4790887122399</v>
      </c>
      <c r="X40" s="98">
        <f t="shared" si="16"/>
        <v>2151.0009006727814</v>
      </c>
      <c r="Y40" s="98">
        <f t="shared" si="16"/>
        <v>2230.0785536638723</v>
      </c>
      <c r="Z40" s="98">
        <f t="shared" si="16"/>
        <v>2308.7158758820879</v>
      </c>
      <c r="AA40" s="98">
        <f t="shared" si="16"/>
        <v>2386.9167455916677</v>
      </c>
      <c r="AB40" s="98">
        <f t="shared" si="16"/>
        <v>2436.6125116193562</v>
      </c>
      <c r="AC40" s="98">
        <f t="shared" si="16"/>
        <v>2486.498721609486</v>
      </c>
      <c r="AD40" s="98">
        <f t="shared" si="16"/>
        <v>2536.5794090217773</v>
      </c>
      <c r="AE40" s="98">
        <f t="shared" si="16"/>
        <v>2581.2830668215747</v>
      </c>
      <c r="AF40" s="98">
        <f t="shared" si="16"/>
        <v>2627.9148126420901</v>
      </c>
      <c r="AG40" s="98">
        <f t="shared" si="16"/>
        <v>2674.4703487705074</v>
      </c>
      <c r="AH40" s="98">
        <f t="shared" si="16"/>
        <v>2720.9485559875011</v>
      </c>
      <c r="AI40" s="98">
        <f t="shared" si="16"/>
        <v>2767.3483195011386</v>
      </c>
      <c r="AJ40" s="98">
        <f t="shared" si="16"/>
        <v>2813.6685289250104</v>
      </c>
      <c r="AK40" s="98">
        <f t="shared" si="16"/>
        <v>2859.9080782564906</v>
      </c>
      <c r="AL40" s="98">
        <f t="shared" si="16"/>
        <v>2906.6247374071245</v>
      </c>
      <c r="AM40" s="98">
        <f t="shared" si="16"/>
        <v>2953.2841575010666</v>
      </c>
    </row>
    <row r="41" spans="1:39" x14ac:dyDescent="0.25">
      <c r="A41" s="153" t="s">
        <v>236</v>
      </c>
      <c r="B41" s="98">
        <f t="shared" ref="B41:AM41" si="17">B16+B$26*B94</f>
        <v>2341.8265040394026</v>
      </c>
      <c r="C41" s="98">
        <f t="shared" si="17"/>
        <v>2353.2808870746667</v>
      </c>
      <c r="D41" s="98">
        <f t="shared" si="17"/>
        <v>2351.479766200021</v>
      </c>
      <c r="E41" s="98">
        <f t="shared" si="17"/>
        <v>2349.4924961507741</v>
      </c>
      <c r="F41" s="98">
        <f t="shared" si="17"/>
        <v>2347.3194115129054</v>
      </c>
      <c r="G41" s="98">
        <f t="shared" si="17"/>
        <v>2340.5649901897614</v>
      </c>
      <c r="H41" s="98">
        <f t="shared" si="17"/>
        <v>2333.5988407684722</v>
      </c>
      <c r="I41" s="98">
        <f t="shared" si="17"/>
        <v>2326.4209734790311</v>
      </c>
      <c r="J41" s="98">
        <f t="shared" si="17"/>
        <v>2319.0313986289966</v>
      </c>
      <c r="K41" s="98">
        <f t="shared" si="17"/>
        <v>2311.4301265756067</v>
      </c>
      <c r="L41" s="98">
        <f t="shared" si="17"/>
        <v>2303.6171676993226</v>
      </c>
      <c r="M41" s="98">
        <f t="shared" si="17"/>
        <v>2297.3410500032733</v>
      </c>
      <c r="N41" s="98">
        <f t="shared" si="17"/>
        <v>2293.6291174443641</v>
      </c>
      <c r="O41" s="98">
        <f t="shared" si="17"/>
        <v>2289.7062972346903</v>
      </c>
      <c r="P41" s="98">
        <f t="shared" si="17"/>
        <v>2285.5726060200263</v>
      </c>
      <c r="Q41" s="98">
        <f t="shared" si="17"/>
        <v>2281.2280605235046</v>
      </c>
      <c r="R41" s="98">
        <f t="shared" si="17"/>
        <v>2276.6726775442348</v>
      </c>
      <c r="S41" s="98">
        <f t="shared" si="17"/>
        <v>2271.9064739606347</v>
      </c>
      <c r="T41" s="98">
        <f t="shared" si="17"/>
        <v>2267.9370350367153</v>
      </c>
      <c r="U41" s="98">
        <f t="shared" si="17"/>
        <v>2263.9661982563307</v>
      </c>
      <c r="V41" s="98">
        <f t="shared" si="17"/>
        <v>2259.9940026352756</v>
      </c>
      <c r="W41" s="98">
        <f t="shared" si="17"/>
        <v>2256.0204916266157</v>
      </c>
      <c r="X41" s="98">
        <f t="shared" si="17"/>
        <v>2252.0457125617986</v>
      </c>
      <c r="Y41" s="98">
        <f t="shared" si="17"/>
        <v>2248.0697160185291</v>
      </c>
      <c r="Z41" s="98">
        <f t="shared" si="17"/>
        <v>2244.0925551328032</v>
      </c>
      <c r="AA41" s="98">
        <f t="shared" si="17"/>
        <v>2240.1142848734307</v>
      </c>
      <c r="AB41" s="98">
        <f t="shared" si="17"/>
        <v>2236.1349612978629</v>
      </c>
      <c r="AC41" s="98">
        <f t="shared" si="17"/>
        <v>2232.154640808124</v>
      </c>
      <c r="AD41" s="98">
        <f t="shared" si="17"/>
        <v>2228.1733794252041</v>
      </c>
      <c r="AE41" s="98">
        <f t="shared" si="17"/>
        <v>2218.7886702594533</v>
      </c>
      <c r="AF41" s="98">
        <f t="shared" si="17"/>
        <v>2211.3858053248232</v>
      </c>
      <c r="AG41" s="98">
        <f t="shared" si="17"/>
        <v>2204.4330013922977</v>
      </c>
      <c r="AH41" s="98">
        <f t="shared" si="17"/>
        <v>2198.7595558800799</v>
      </c>
      <c r="AI41" s="98">
        <f t="shared" si="17"/>
        <v>2193.261617806505</v>
      </c>
      <c r="AJ41" s="98">
        <f t="shared" si="17"/>
        <v>2187.9393383345227</v>
      </c>
      <c r="AK41" s="98">
        <f t="shared" si="17"/>
        <v>2182.7928644318772</v>
      </c>
      <c r="AL41" s="98">
        <f t="shared" si="17"/>
        <v>2178.2551204162464</v>
      </c>
      <c r="AM41" s="98">
        <f t="shared" si="17"/>
        <v>2173.8880071895596</v>
      </c>
    </row>
    <row r="42" spans="1:39" x14ac:dyDescent="0.25">
      <c r="A42" s="153" t="s">
        <v>237</v>
      </c>
      <c r="B42" s="98">
        <f t="shared" ref="B42:AM42" si="18">B17+B$26*B95</f>
        <v>228.86199704887292</v>
      </c>
      <c r="C42" s="98">
        <f t="shared" si="18"/>
        <v>268.39474798430297</v>
      </c>
      <c r="D42" s="98">
        <f t="shared" si="18"/>
        <v>306.98702362405982</v>
      </c>
      <c r="E42" s="98">
        <f t="shared" si="18"/>
        <v>345.49422868307397</v>
      </c>
      <c r="F42" s="98">
        <f t="shared" si="18"/>
        <v>383.91814789773389</v>
      </c>
      <c r="G42" s="98">
        <f t="shared" si="18"/>
        <v>421.6507756569888</v>
      </c>
      <c r="H42" s="98">
        <f t="shared" si="18"/>
        <v>459.19051901616018</v>
      </c>
      <c r="I42" s="98">
        <f t="shared" si="18"/>
        <v>496.53728112289105</v>
      </c>
      <c r="J42" s="98">
        <f t="shared" si="18"/>
        <v>533.69096447444906</v>
      </c>
      <c r="K42" s="98">
        <f t="shared" si="18"/>
        <v>570.6514709122589</v>
      </c>
      <c r="L42" s="98">
        <f t="shared" si="18"/>
        <v>607.41870161637792</v>
      </c>
      <c r="M42" s="98">
        <f t="shared" si="18"/>
        <v>644.36740026811322</v>
      </c>
      <c r="N42" s="98">
        <f t="shared" si="18"/>
        <v>681.79841009590973</v>
      </c>
      <c r="O42" s="98">
        <f t="shared" si="18"/>
        <v>719.15326082081185</v>
      </c>
      <c r="P42" s="98">
        <f t="shared" si="18"/>
        <v>756.43291466335893</v>
      </c>
      <c r="Q42" s="98">
        <f t="shared" si="18"/>
        <v>793.63834603019632</v>
      </c>
      <c r="R42" s="98">
        <f t="shared" si="18"/>
        <v>830.77054170760357</v>
      </c>
      <c r="S42" s="98">
        <f t="shared" si="18"/>
        <v>867.83050105872167</v>
      </c>
      <c r="T42" s="98">
        <f t="shared" si="18"/>
        <v>905.09671806437677</v>
      </c>
      <c r="U42" s="98">
        <f t="shared" si="18"/>
        <v>942.3475393255917</v>
      </c>
      <c r="V42" s="98">
        <f t="shared" si="18"/>
        <v>976.52479230631434</v>
      </c>
      <c r="W42" s="98">
        <f t="shared" si="18"/>
        <v>1010.7750977284393</v>
      </c>
      <c r="X42" s="98">
        <f t="shared" si="18"/>
        <v>1045.0995854277774</v>
      </c>
      <c r="Y42" s="98">
        <f t="shared" si="18"/>
        <v>1079.4997459051629</v>
      </c>
      <c r="Z42" s="98">
        <f t="shared" si="18"/>
        <v>1113.9770890916473</v>
      </c>
      <c r="AA42" s="98">
        <f t="shared" si="18"/>
        <v>1148.5331446661505</v>
      </c>
      <c r="AB42" s="98">
        <f t="shared" si="18"/>
        <v>1183.1694623793642</v>
      </c>
      <c r="AC42" s="98">
        <f t="shared" si="18"/>
        <v>1217.8876123840519</v>
      </c>
      <c r="AD42" s="98">
        <f t="shared" si="18"/>
        <v>1252.6891855718929</v>
      </c>
      <c r="AE42" s="98">
        <f t="shared" si="18"/>
        <v>1285.1011573747533</v>
      </c>
      <c r="AF42" s="98">
        <f t="shared" si="18"/>
        <v>1318.3815408833236</v>
      </c>
      <c r="AG42" s="98">
        <f t="shared" si="18"/>
        <v>1351.6372078965414</v>
      </c>
      <c r="AH42" s="98">
        <f t="shared" si="18"/>
        <v>1384.8677246337957</v>
      </c>
      <c r="AI42" s="98">
        <f t="shared" si="18"/>
        <v>1418.0726590304207</v>
      </c>
      <c r="AJ42" s="98">
        <f t="shared" si="18"/>
        <v>1451.251580729217</v>
      </c>
      <c r="AK42" s="98">
        <f t="shared" si="18"/>
        <v>1484.4040610720285</v>
      </c>
      <c r="AL42" s="98">
        <f t="shared" si="18"/>
        <v>1517.7721354957753</v>
      </c>
      <c r="AM42" s="98">
        <f t="shared" si="18"/>
        <v>1551.122732531785</v>
      </c>
    </row>
    <row r="43" spans="1:39" x14ac:dyDescent="0.25">
      <c r="A43" s="160" t="s">
        <v>248</v>
      </c>
      <c r="B43" s="161">
        <f t="shared" ref="B43:AM43" si="19">B26*B96</f>
        <v>7914.2084783348582</v>
      </c>
      <c r="C43" s="161">
        <f t="shared" si="19"/>
        <v>7815.032395704493</v>
      </c>
      <c r="D43" s="161">
        <f t="shared" si="19"/>
        <v>7629.3625210500659</v>
      </c>
      <c r="E43" s="161">
        <f t="shared" si="19"/>
        <v>7442.1825069821789</v>
      </c>
      <c r="F43" s="161">
        <f t="shared" si="19"/>
        <v>7253.4715346149314</v>
      </c>
      <c r="G43" s="161">
        <f t="shared" si="19"/>
        <v>7038.1268482262876</v>
      </c>
      <c r="H43" s="161">
        <f t="shared" si="19"/>
        <v>6822.4890236301135</v>
      </c>
      <c r="I43" s="161">
        <f t="shared" si="19"/>
        <v>6606.559397692753</v>
      </c>
      <c r="J43" s="161">
        <f t="shared" si="19"/>
        <v>6390.3393162577513</v>
      </c>
      <c r="K43" s="161">
        <f t="shared" si="19"/>
        <v>6173.830134221359</v>
      </c>
      <c r="L43" s="161">
        <f t="shared" si="19"/>
        <v>5957.0332156087625</v>
      </c>
      <c r="M43" s="161">
        <f t="shared" si="19"/>
        <v>5748.19734589171</v>
      </c>
      <c r="N43" s="161">
        <f t="shared" si="19"/>
        <v>5551.1146437130683</v>
      </c>
      <c r="O43" s="161">
        <f t="shared" si="19"/>
        <v>5352.2192445238989</v>
      </c>
      <c r="P43" s="161">
        <f t="shared" si="19"/>
        <v>5151.498692313613</v>
      </c>
      <c r="Q43" s="161">
        <f t="shared" si="19"/>
        <v>4948.940373321645</v>
      </c>
      <c r="R43" s="161">
        <f t="shared" si="19"/>
        <v>4744.5315135322162</v>
      </c>
      <c r="S43" s="161">
        <f t="shared" si="19"/>
        <v>4538.2591761212225</v>
      </c>
      <c r="T43" s="161">
        <f t="shared" si="19"/>
        <v>4332.9361627436929</v>
      </c>
      <c r="U43" s="161">
        <f t="shared" si="19"/>
        <v>4125.4583512421914</v>
      </c>
      <c r="V43" s="161">
        <f t="shared" si="19"/>
        <v>3915.8071776683478</v>
      </c>
      <c r="W43" s="161">
        <f t="shared" si="19"/>
        <v>3703.9638384166974</v>
      </c>
      <c r="X43" s="161">
        <f t="shared" si="19"/>
        <v>3489.9092863447418</v>
      </c>
      <c r="Y43" s="161">
        <f t="shared" si="19"/>
        <v>3273.6242268173974</v>
      </c>
      <c r="Z43" s="161">
        <f t="shared" si="19"/>
        <v>3055.0891136740952</v>
      </c>
      <c r="AA43" s="161">
        <f t="shared" si="19"/>
        <v>2834.2841451167565</v>
      </c>
      <c r="AB43" s="161">
        <f t="shared" si="19"/>
        <v>2611.1892595168438</v>
      </c>
      <c r="AC43" s="161">
        <f t="shared" si="19"/>
        <v>2385.7841311396073</v>
      </c>
      <c r="AD43" s="161">
        <f t="shared" si="19"/>
        <v>2158.0481657836231</v>
      </c>
      <c r="AE43" s="161">
        <f t="shared" si="19"/>
        <v>1919.686365089236</v>
      </c>
      <c r="AF43" s="161">
        <f t="shared" si="19"/>
        <v>1683.6407882863627</v>
      </c>
      <c r="AG43" s="161">
        <f t="shared" si="19"/>
        <v>1446.4631699799058</v>
      </c>
      <c r="AH43" s="161">
        <f t="shared" si="19"/>
        <v>1208.1602471266804</v>
      </c>
      <c r="AI43" s="161">
        <f t="shared" si="19"/>
        <v>968.73873003353026</v>
      </c>
      <c r="AJ43" s="161">
        <f t="shared" si="19"/>
        <v>728.20530248897455</v>
      </c>
      <c r="AK43" s="161">
        <f t="shared" si="19"/>
        <v>486.56662189407564</v>
      </c>
      <c r="AL43" s="161">
        <f t="shared" si="19"/>
        <v>243.91399059433095</v>
      </c>
      <c r="AM43" s="161">
        <f t="shared" si="19"/>
        <v>0</v>
      </c>
    </row>
    <row r="44" spans="1:39" x14ac:dyDescent="0.25">
      <c r="A44" s="134" t="s">
        <v>217</v>
      </c>
      <c r="B44" s="98">
        <f>SUM(B38:B42)</f>
        <v>3423.4288795245216</v>
      </c>
      <c r="C44" s="98">
        <f t="shared" ref="C44:AL44" si="20">SUM(C38:C42)</f>
        <v>3843.474077645089</v>
      </c>
      <c r="D44" s="98">
        <f t="shared" si="20"/>
        <v>4244.9906917347425</v>
      </c>
      <c r="E44" s="98">
        <f t="shared" si="20"/>
        <v>4644.9280120834956</v>
      </c>
      <c r="F44" s="98">
        <f t="shared" si="20"/>
        <v>5043.3068581769494</v>
      </c>
      <c r="G44" s="98">
        <f t="shared" si="20"/>
        <v>5564.9887616880633</v>
      </c>
      <c r="H44" s="98">
        <f t="shared" si="20"/>
        <v>6081.4626217097493</v>
      </c>
      <c r="I44" s="98">
        <f t="shared" si="20"/>
        <v>6592.7271021888619</v>
      </c>
      <c r="J44" s="98">
        <f t="shared" si="20"/>
        <v>7098.7808581093695</v>
      </c>
      <c r="K44" s="98">
        <f t="shared" si="20"/>
        <v>7599.6225353884602</v>
      </c>
      <c r="L44" s="98">
        <f t="shared" si="20"/>
        <v>8095.2507707732984</v>
      </c>
      <c r="M44" s="98">
        <f t="shared" si="20"/>
        <v>8543.3014708628743</v>
      </c>
      <c r="N44" s="98">
        <f t="shared" si="20"/>
        <v>8996.8558611743629</v>
      </c>
      <c r="O44" s="98">
        <f t="shared" si="20"/>
        <v>9447.6600472165755</v>
      </c>
      <c r="P44" s="98">
        <f t="shared" si="20"/>
        <v>9895.7264853947654</v>
      </c>
      <c r="Q44" s="98">
        <f t="shared" si="20"/>
        <v>10341.067789735711</v>
      </c>
      <c r="R44" s="98">
        <f t="shared" si="20"/>
        <v>10783.696734388297</v>
      </c>
      <c r="S44" s="98">
        <f t="shared" si="20"/>
        <v>11223.626256176625</v>
      </c>
      <c r="T44" s="98">
        <f t="shared" si="20"/>
        <v>11666.938250408733</v>
      </c>
      <c r="U44" s="98">
        <f t="shared" si="20"/>
        <v>12110.469133485056</v>
      </c>
      <c r="V44" s="98">
        <f t="shared" si="20"/>
        <v>12534.457656870107</v>
      </c>
      <c r="W44" s="98">
        <f t="shared" si="20"/>
        <v>12955.654437548057</v>
      </c>
      <c r="X44" s="98">
        <f t="shared" si="20"/>
        <v>13377.961796182057</v>
      </c>
      <c r="Y44" s="98">
        <f t="shared" si="20"/>
        <v>13801.399052811568</v>
      </c>
      <c r="Z44" s="98">
        <f t="shared" si="20"/>
        <v>14225.985781231675</v>
      </c>
      <c r="AA44" s="98">
        <f t="shared" si="20"/>
        <v>14618.328103915999</v>
      </c>
      <c r="AB44" s="98">
        <f t="shared" si="20"/>
        <v>14985.639903477382</v>
      </c>
      <c r="AC44" s="98">
        <f t="shared" si="20"/>
        <v>15356.63310229894</v>
      </c>
      <c r="AD44" s="98">
        <f t="shared" si="20"/>
        <v>15731.328323734251</v>
      </c>
      <c r="AE44" s="98">
        <f t="shared" si="20"/>
        <v>16293.971007788861</v>
      </c>
      <c r="AF44" s="98">
        <f t="shared" si="20"/>
        <v>16872.373189908914</v>
      </c>
      <c r="AG44" s="98">
        <f t="shared" si="20"/>
        <v>17463.631408148427</v>
      </c>
      <c r="AH44" s="98">
        <f t="shared" si="20"/>
        <v>18058.908063124327</v>
      </c>
      <c r="AI44" s="98">
        <f t="shared" si="20"/>
        <v>18657.092566751409</v>
      </c>
      <c r="AJ44" s="98">
        <f t="shared" si="20"/>
        <v>19258.178333016262</v>
      </c>
      <c r="AK44" s="98">
        <f t="shared" si="20"/>
        <v>19862.158770031077</v>
      </c>
      <c r="AL44" s="98">
        <f t="shared" si="20"/>
        <v>20472.444156773621</v>
      </c>
      <c r="AM44" s="98">
        <f t="shared" ref="AM44" si="21">SUM(AM38:AM42)</f>
        <v>21085.764993400178</v>
      </c>
    </row>
    <row r="45" spans="1:39" x14ac:dyDescent="0.25">
      <c r="A45" s="134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</row>
    <row r="46" spans="1:39" x14ac:dyDescent="0.25">
      <c r="A46" s="134" t="s">
        <v>244</v>
      </c>
      <c r="B46" s="98">
        <f>B44+B35</f>
        <v>10178.126816839329</v>
      </c>
      <c r="C46" s="98">
        <f t="shared" ref="C46:AL46" si="22">C44+C35</f>
        <v>11390.783983679559</v>
      </c>
      <c r="D46" s="98">
        <f t="shared" si="22"/>
        <v>12577.866819499854</v>
      </c>
      <c r="E46" s="98">
        <f t="shared" si="22"/>
        <v>13756.133093348752</v>
      </c>
      <c r="F46" s="98">
        <f t="shared" si="22"/>
        <v>14926.373467866519</v>
      </c>
      <c r="G46" s="98">
        <f t="shared" si="22"/>
        <v>16380.153222910962</v>
      </c>
      <c r="H46" s="98">
        <f t="shared" si="22"/>
        <v>17816.485691243419</v>
      </c>
      <c r="I46" s="98">
        <f t="shared" si="22"/>
        <v>19234.32793545811</v>
      </c>
      <c r="J46" s="98">
        <f t="shared" si="22"/>
        <v>20626.720301141526</v>
      </c>
      <c r="K46" s="98">
        <f t="shared" si="22"/>
        <v>21990.932416201682</v>
      </c>
      <c r="L46" s="98">
        <f t="shared" si="22"/>
        <v>23335.375571830729</v>
      </c>
      <c r="M46" s="98">
        <f t="shared" si="22"/>
        <v>24561.832105588561</v>
      </c>
      <c r="N46" s="98">
        <f t="shared" si="22"/>
        <v>25785.098726171862</v>
      </c>
      <c r="O46" s="98">
        <f t="shared" si="22"/>
        <v>26993.173416545811</v>
      </c>
      <c r="P46" s="98">
        <f t="shared" si="22"/>
        <v>28186.073308510291</v>
      </c>
      <c r="Q46" s="98">
        <f t="shared" si="22"/>
        <v>29363.815750200665</v>
      </c>
      <c r="R46" s="98">
        <f t="shared" si="22"/>
        <v>30526.418309511067</v>
      </c>
      <c r="S46" s="98">
        <f t="shared" si="22"/>
        <v>31673.898777605544</v>
      </c>
      <c r="T46" s="98">
        <f t="shared" si="22"/>
        <v>32826.296914388295</v>
      </c>
      <c r="U46" s="98">
        <f t="shared" si="22"/>
        <v>33974.131610822245</v>
      </c>
      <c r="V46" s="98">
        <f t="shared" si="22"/>
        <v>35046.295437982153</v>
      </c>
      <c r="W46" s="98">
        <f t="shared" si="22"/>
        <v>36102.167826153571</v>
      </c>
      <c r="X46" s="98">
        <f t="shared" si="22"/>
        <v>37192.890181574177</v>
      </c>
      <c r="Y46" s="98">
        <f t="shared" si="22"/>
        <v>38275.826096012563</v>
      </c>
      <c r="Z46" s="98">
        <f t="shared" si="22"/>
        <v>39350.112867718548</v>
      </c>
      <c r="AA46" s="98">
        <f t="shared" si="22"/>
        <v>40323.169856891349</v>
      </c>
      <c r="AB46" s="98">
        <f t="shared" si="22"/>
        <v>41133.054041601732</v>
      </c>
      <c r="AC46" s="98">
        <f t="shared" si="22"/>
        <v>41952.862909998716</v>
      </c>
      <c r="AD46" s="98">
        <f t="shared" si="22"/>
        <v>42798.60034225649</v>
      </c>
      <c r="AE46" s="98">
        <f t="shared" si="22"/>
        <v>44023.17074364877</v>
      </c>
      <c r="AF46" s="98">
        <f t="shared" si="22"/>
        <v>45280.798899902191</v>
      </c>
      <c r="AG46" s="98">
        <f t="shared" si="22"/>
        <v>46569.203664050292</v>
      </c>
      <c r="AH46" s="98">
        <f t="shared" si="22"/>
        <v>47867.168229926618</v>
      </c>
      <c r="AI46" s="98">
        <f t="shared" si="22"/>
        <v>49170.069728502436</v>
      </c>
      <c r="AJ46" s="98">
        <f t="shared" si="22"/>
        <v>50477.895203603344</v>
      </c>
      <c r="AK46" s="98">
        <f t="shared" si="22"/>
        <v>51790.63146876527</v>
      </c>
      <c r="AL46" s="98">
        <f t="shared" si="22"/>
        <v>53120.486265590487</v>
      </c>
      <c r="AM46" s="98">
        <f t="shared" ref="AM46" si="23">AM44+AM35</f>
        <v>54455.788765407313</v>
      </c>
    </row>
    <row r="47" spans="1:39" x14ac:dyDescent="0.25">
      <c r="A47" s="153" t="s">
        <v>245</v>
      </c>
      <c r="B47" s="98">
        <f>B34+B43</f>
        <v>11144.356689055627</v>
      </c>
      <c r="C47" s="98">
        <f t="shared" ref="C47:AL47" si="24">C34+C43</f>
        <v>10980.170976838514</v>
      </c>
      <c r="D47" s="98">
        <f t="shared" si="24"/>
        <v>10731.069839321857</v>
      </c>
      <c r="E47" s="98">
        <f t="shared" si="24"/>
        <v>10489.596680562872</v>
      </c>
      <c r="F47" s="98">
        <f t="shared" si="24"/>
        <v>10254.960840758342</v>
      </c>
      <c r="G47" s="98">
        <f t="shared" si="24"/>
        <v>9998.1039912371234</v>
      </c>
      <c r="H47" s="98">
        <f t="shared" si="24"/>
        <v>9737.9744468377939</v>
      </c>
      <c r="I47" s="98">
        <f t="shared" si="24"/>
        <v>9472.2580059560169</v>
      </c>
      <c r="J47" s="98">
        <f t="shared" si="24"/>
        <v>9187.771469777259</v>
      </c>
      <c r="K47" s="98">
        <f t="shared" si="24"/>
        <v>8883.888071384541</v>
      </c>
      <c r="L47" s="98">
        <f t="shared" si="24"/>
        <v>8579.0536660966882</v>
      </c>
      <c r="M47" s="98">
        <f t="shared" si="24"/>
        <v>8285.1585201252419</v>
      </c>
      <c r="N47" s="98">
        <f t="shared" si="24"/>
        <v>8007.8283700374841</v>
      </c>
      <c r="O47" s="98">
        <f t="shared" si="24"/>
        <v>7727.339602517799</v>
      </c>
      <c r="P47" s="98">
        <f t="shared" si="24"/>
        <v>7443.6750876333826</v>
      </c>
      <c r="Q47" s="98">
        <f t="shared" si="24"/>
        <v>7156.8174785082529</v>
      </c>
      <c r="R47" s="98">
        <f t="shared" si="24"/>
        <v>6866.7492078779642</v>
      </c>
      <c r="S47" s="98">
        <f t="shared" si="24"/>
        <v>6573.4524845784836</v>
      </c>
      <c r="T47" s="98">
        <f t="shared" si="24"/>
        <v>6285.3542210769665</v>
      </c>
      <c r="U47" s="98">
        <f t="shared" si="24"/>
        <v>5993.195259558428</v>
      </c>
      <c r="V47" s="98">
        <f t="shared" si="24"/>
        <v>5696.9424689115067</v>
      </c>
      <c r="W47" s="98">
        <f t="shared" si="24"/>
        <v>5396.0845972273282</v>
      </c>
      <c r="X47" s="98">
        <f t="shared" si="24"/>
        <v>5111.4419189379623</v>
      </c>
      <c r="Y47" s="98">
        <f t="shared" si="24"/>
        <v>4815.579533885857</v>
      </c>
      <c r="Z47" s="98">
        <f t="shared" si="24"/>
        <v>4509.3602745538483</v>
      </c>
      <c r="AA47" s="98">
        <f t="shared" si="24"/>
        <v>4190.7414611107761</v>
      </c>
      <c r="AB47" s="98">
        <f t="shared" si="24"/>
        <v>3867.5707372080433</v>
      </c>
      <c r="AC47" s="98">
        <f t="shared" si="24"/>
        <v>3540.6221785171342</v>
      </c>
      <c r="AD47" s="98">
        <f t="shared" si="24"/>
        <v>3214.0348999189837</v>
      </c>
      <c r="AE47" s="98">
        <f t="shared" si="24"/>
        <v>2862.6722357460158</v>
      </c>
      <c r="AF47" s="98">
        <f t="shared" si="24"/>
        <v>2515.7649481385288</v>
      </c>
      <c r="AG47" s="98">
        <f t="shared" si="24"/>
        <v>2165.7043039481514</v>
      </c>
      <c r="AH47" s="98">
        <f t="shared" si="24"/>
        <v>1812.4402277571669</v>
      </c>
      <c r="AI47" s="98">
        <f t="shared" si="24"/>
        <v>1456.0831199380591</v>
      </c>
      <c r="AJ47" s="98">
        <f t="shared" si="24"/>
        <v>1096.6468027185761</v>
      </c>
      <c r="AK47" s="98">
        <f t="shared" si="24"/>
        <v>734.14504375660135</v>
      </c>
      <c r="AL47" s="98">
        <f t="shared" si="24"/>
        <v>368.89440037879967</v>
      </c>
      <c r="AM47" s="98">
        <f t="shared" ref="AM47" si="25">AM34+AM43</f>
        <v>0</v>
      </c>
    </row>
    <row r="48" spans="1:39" ht="15.75" thickBot="1" x14ac:dyDescent="0.3">
      <c r="A48" s="135" t="s">
        <v>219</v>
      </c>
      <c r="B48" s="151">
        <f>B46+B47-('Coûts annuel génération élec'!E4+'Coûts annuel génération élec'!E5+'Coûts annuels réseaux et stocka'!E4+'Coûts annuels réseaux et stocka'!E5+'Coûts annuels réseaux et stocka'!E6)</f>
        <v>-102.97398596491257</v>
      </c>
      <c r="C48" s="151">
        <f>C46+C47-('Coûts annuel génération élec'!F4+'Coûts annuel génération élec'!F5+'Coûts annuels réseaux et stocka'!F4+'Coûts annuels réseaux et stocka'!F5+'Coûts annuels réseaux et stocka'!F6)</f>
        <v>0</v>
      </c>
      <c r="D48" s="151">
        <f>D46+D47-('Coûts annuel génération élec'!G4+'Coûts annuel génération élec'!G5+'Coûts annuels réseaux et stocka'!G4+'Coûts annuels réseaux et stocka'!G5+'Coûts annuels réseaux et stocka'!G6)</f>
        <v>0</v>
      </c>
      <c r="E48" s="151">
        <f>E46+E47-('Coûts annuel génération élec'!H4+'Coûts annuel génération élec'!H5+'Coûts annuels réseaux et stocka'!H4+'Coûts annuels réseaux et stocka'!H5+'Coûts annuels réseaux et stocka'!H6)</f>
        <v>0</v>
      </c>
      <c r="F48" s="151">
        <f>F46+F47-('Coûts annuel génération élec'!I4+'Coûts annuel génération élec'!I5+'Coûts annuels réseaux et stocka'!I4+'Coûts annuels réseaux et stocka'!I5+'Coûts annuels réseaux et stocka'!I6)</f>
        <v>0</v>
      </c>
      <c r="G48" s="151">
        <f>G46+G47-('Coûts annuel génération élec'!J4+'Coûts annuel génération élec'!J5+'Coûts annuels réseaux et stocka'!J4+'Coûts annuels réseaux et stocka'!J5+'Coûts annuels réseaux et stocka'!J6)</f>
        <v>0</v>
      </c>
      <c r="H48" s="151">
        <f>H46+H47-('Coûts annuel génération élec'!K4+'Coûts annuel génération élec'!K5+'Coûts annuels réseaux et stocka'!K4+'Coûts annuels réseaux et stocka'!K5+'Coûts annuels réseaux et stocka'!K6)</f>
        <v>0</v>
      </c>
      <c r="I48" s="151">
        <f>I46+I47-('Coûts annuel génération élec'!L4+'Coûts annuel génération élec'!L5+'Coûts annuels réseaux et stocka'!L4+'Coûts annuels réseaux et stocka'!L5+'Coûts annuels réseaux et stocka'!L6)</f>
        <v>0</v>
      </c>
      <c r="J48" s="151">
        <f>J46+J47-('Coûts annuel génération élec'!M4+'Coûts annuel génération élec'!M5+'Coûts annuels réseaux et stocka'!M4+'Coûts annuels réseaux et stocka'!M5+'Coûts annuels réseaux et stocka'!M6)</f>
        <v>0</v>
      </c>
      <c r="K48" s="151">
        <f>K46+K47-('Coûts annuel génération élec'!N4+'Coûts annuel génération élec'!N5+'Coûts annuels réseaux et stocka'!N4+'Coûts annuels réseaux et stocka'!N5+'Coûts annuels réseaux et stocka'!N6)</f>
        <v>0</v>
      </c>
      <c r="L48" s="151">
        <f>L46+L47-('Coûts annuel génération élec'!O4+'Coûts annuel génération élec'!O5+'Coûts annuels réseaux et stocka'!O4+'Coûts annuels réseaux et stocka'!O5+'Coûts annuels réseaux et stocka'!O6)</f>
        <v>0</v>
      </c>
      <c r="M48" s="151">
        <f>M46+M47-('Coûts annuel génération élec'!P4+'Coûts annuel génération élec'!P5+'Coûts annuels réseaux et stocka'!P4+'Coûts annuels réseaux et stocka'!P5+'Coûts annuels réseaux et stocka'!P6)</f>
        <v>0</v>
      </c>
      <c r="N48" s="151">
        <f>N46+N47-('Coûts annuel génération élec'!Q4+'Coûts annuel génération élec'!Q5+'Coûts annuels réseaux et stocka'!Q4+'Coûts annuels réseaux et stocka'!Q5+'Coûts annuels réseaux et stocka'!Q6)</f>
        <v>0</v>
      </c>
      <c r="O48" s="151">
        <f>O46+O47-('Coûts annuel génération élec'!R4+'Coûts annuel génération élec'!R5+'Coûts annuels réseaux et stocka'!R4+'Coûts annuels réseaux et stocka'!R5+'Coûts annuels réseaux et stocka'!R6)</f>
        <v>0</v>
      </c>
      <c r="P48" s="151">
        <f>P46+P47-('Coûts annuel génération élec'!S4+'Coûts annuel génération élec'!S5+'Coûts annuels réseaux et stocka'!S4+'Coûts annuels réseaux et stocka'!S5+'Coûts annuels réseaux et stocka'!S6)</f>
        <v>0</v>
      </c>
      <c r="Q48" s="151">
        <f>Q46+Q47-('Coûts annuel génération élec'!T4+'Coûts annuel génération élec'!T5+'Coûts annuels réseaux et stocka'!T4+'Coûts annuels réseaux et stocka'!T5+'Coûts annuels réseaux et stocka'!T6)</f>
        <v>0</v>
      </c>
      <c r="R48" s="151">
        <f>R46+R47-('Coûts annuel génération élec'!U4+'Coûts annuel génération élec'!U5+'Coûts annuels réseaux et stocka'!U4+'Coûts annuels réseaux et stocka'!U5+'Coûts annuels réseaux et stocka'!U6)</f>
        <v>0</v>
      </c>
      <c r="S48" s="151">
        <f>S46+S47-('Coûts annuel génération élec'!V4+'Coûts annuel génération élec'!V5+'Coûts annuels réseaux et stocka'!V4+'Coûts annuels réseaux et stocka'!V5+'Coûts annuels réseaux et stocka'!V6)</f>
        <v>0</v>
      </c>
      <c r="T48" s="151">
        <f>T46+T47-('Coûts annuel génération élec'!W4+'Coûts annuel génération élec'!W5+'Coûts annuels réseaux et stocka'!W4+'Coûts annuels réseaux et stocka'!W5+'Coûts annuels réseaux et stocka'!W6)</f>
        <v>0</v>
      </c>
      <c r="U48" s="151">
        <f>U46+U47-('Coûts annuel génération élec'!X4+'Coûts annuel génération élec'!X5+'Coûts annuels réseaux et stocka'!X4+'Coûts annuels réseaux et stocka'!X5+'Coûts annuels réseaux et stocka'!X6)</f>
        <v>0</v>
      </c>
      <c r="V48" s="151">
        <f>V46+V47-('Coûts annuel génération élec'!Y4+'Coûts annuel génération élec'!Y5+'Coûts annuels réseaux et stocka'!Y4+'Coûts annuels réseaux et stocka'!Y5+'Coûts annuels réseaux et stocka'!Y6)</f>
        <v>0</v>
      </c>
      <c r="W48" s="151">
        <f>W46+W47-('Coûts annuel génération élec'!Z4+'Coûts annuel génération élec'!Z5+'Coûts annuels réseaux et stocka'!Z4+'Coûts annuels réseaux et stocka'!Z5+'Coûts annuels réseaux et stocka'!Z6)</f>
        <v>0</v>
      </c>
      <c r="X48" s="151">
        <f>X46+X47-('Coûts annuel génération élec'!AA4+'Coûts annuel génération élec'!AA5+'Coûts annuels réseaux et stocka'!AA4+'Coûts annuels réseaux et stocka'!AA5+'Coûts annuels réseaux et stocka'!AA6)</f>
        <v>0</v>
      </c>
      <c r="Y48" s="151">
        <f>Y46+Y47-('Coûts annuel génération élec'!AB4+'Coûts annuel génération élec'!AB5+'Coûts annuels réseaux et stocka'!AB4+'Coûts annuels réseaux et stocka'!AB5+'Coûts annuels réseaux et stocka'!AB6)</f>
        <v>0</v>
      </c>
      <c r="Z48" s="151">
        <f>Z46+Z47-('Coûts annuel génération élec'!AC4+'Coûts annuel génération élec'!AC5+'Coûts annuels réseaux et stocka'!AC4+'Coûts annuels réseaux et stocka'!AC5+'Coûts annuels réseaux et stocka'!AC6)</f>
        <v>0</v>
      </c>
      <c r="AA48" s="151">
        <f>AA46+AA47-('Coûts annuel génération élec'!AD4+'Coûts annuel génération élec'!AD5+'Coûts annuels réseaux et stocka'!AD4+'Coûts annuels réseaux et stocka'!AD5+'Coûts annuels réseaux et stocka'!AD6)</f>
        <v>0</v>
      </c>
      <c r="AB48" s="151">
        <f>AB46+AB47-('Coûts annuel génération élec'!AE4+'Coûts annuel génération élec'!AE5+'Coûts annuels réseaux et stocka'!AE4+'Coûts annuels réseaux et stocka'!AE5+'Coûts annuels réseaux et stocka'!AE6)</f>
        <v>0</v>
      </c>
      <c r="AC48" s="151">
        <f>AC46+AC47-('Coûts annuel génération élec'!AF4+'Coûts annuel génération élec'!AF5+'Coûts annuels réseaux et stocka'!AF4+'Coûts annuels réseaux et stocka'!AF5+'Coûts annuels réseaux et stocka'!AF6)</f>
        <v>0</v>
      </c>
      <c r="AD48" s="151">
        <f>AD46+AD47-('Coûts annuel génération élec'!AG4+'Coûts annuel génération élec'!AG5+'Coûts annuels réseaux et stocka'!AG4+'Coûts annuels réseaux et stocka'!AG5+'Coûts annuels réseaux et stocka'!AG6)</f>
        <v>0</v>
      </c>
      <c r="AE48" s="151">
        <f>AE46+AE47-('Coûts annuel génération élec'!AH4+'Coûts annuel génération élec'!AH5+'Coûts annuels réseaux et stocka'!AH4+'Coûts annuels réseaux et stocka'!AH5+'Coûts annuels réseaux et stocka'!AH6)</f>
        <v>0</v>
      </c>
      <c r="AF48" s="151">
        <f>AF46+AF47-('Coûts annuel génération élec'!AI4+'Coûts annuel génération élec'!AI5+'Coûts annuels réseaux et stocka'!AI4+'Coûts annuels réseaux et stocka'!AI5+'Coûts annuels réseaux et stocka'!AI6)</f>
        <v>0</v>
      </c>
      <c r="AG48" s="151">
        <f>AG46+AG47-('Coûts annuel génération élec'!AJ4+'Coûts annuel génération élec'!AJ5+'Coûts annuels réseaux et stocka'!AJ4+'Coûts annuels réseaux et stocka'!AJ5+'Coûts annuels réseaux et stocka'!AJ6)</f>
        <v>0</v>
      </c>
      <c r="AH48" s="151">
        <f>AH46+AH47-('Coûts annuel génération élec'!AK4+'Coûts annuel génération élec'!AK5+'Coûts annuels réseaux et stocka'!AK4+'Coûts annuels réseaux et stocka'!AK5+'Coûts annuels réseaux et stocka'!AK6)</f>
        <v>0</v>
      </c>
      <c r="AI48" s="151">
        <f>AI46+AI47-('Coûts annuel génération élec'!AL4+'Coûts annuel génération élec'!AL5+'Coûts annuels réseaux et stocka'!AL4+'Coûts annuels réseaux et stocka'!AL5+'Coûts annuels réseaux et stocka'!AL6)</f>
        <v>0</v>
      </c>
      <c r="AJ48" s="151">
        <f>AJ46+AJ47-('Coûts annuel génération élec'!AM4+'Coûts annuel génération élec'!AM5+'Coûts annuels réseaux et stocka'!AM4+'Coûts annuels réseaux et stocka'!AM5+'Coûts annuels réseaux et stocka'!AM6)</f>
        <v>0</v>
      </c>
      <c r="AK48" s="151">
        <f>AK46+AK47-('Coûts annuel génération élec'!AN4+'Coûts annuel génération élec'!AN5+'Coûts annuels réseaux et stocka'!AN4+'Coûts annuels réseaux et stocka'!AN5+'Coûts annuels réseaux et stocka'!AN6)</f>
        <v>0</v>
      </c>
      <c r="AL48" s="151">
        <f>AL46+AL47-('Coûts annuel génération élec'!AO4+'Coûts annuel génération élec'!AO5+'Coûts annuels réseaux et stocka'!AO4+'Coûts annuels réseaux et stocka'!AO5+'Coûts annuels réseaux et stocka'!AO6)</f>
        <v>0</v>
      </c>
      <c r="AM48" s="151">
        <f>AM46+AM47-('Coûts annuel génération élec'!AP4+'Coûts annuel génération élec'!AP5+'Coûts annuels réseaux et stocka'!AP4+'Coûts annuels réseaux et stocka'!AP5+'Coûts annuels réseaux et stocka'!AP6)</f>
        <v>0</v>
      </c>
    </row>
    <row r="54" spans="1:39" ht="15.75" thickBot="1" x14ac:dyDescent="0.3"/>
    <row r="55" spans="1:39" x14ac:dyDescent="0.25">
      <c r="A55" s="157" t="s">
        <v>246</v>
      </c>
      <c r="B55" s="158">
        <f t="shared" ref="B55:AM55" si="26">B101</f>
        <v>2013</v>
      </c>
      <c r="C55" s="158">
        <f t="shared" si="26"/>
        <v>2014</v>
      </c>
      <c r="D55" s="158">
        <f t="shared" si="26"/>
        <v>2015</v>
      </c>
      <c r="E55" s="158">
        <f t="shared" si="26"/>
        <v>2016</v>
      </c>
      <c r="F55" s="158">
        <f t="shared" si="26"/>
        <v>2017</v>
      </c>
      <c r="G55" s="158">
        <f t="shared" si="26"/>
        <v>2018</v>
      </c>
      <c r="H55" s="158">
        <f t="shared" si="26"/>
        <v>2019</v>
      </c>
      <c r="I55" s="158">
        <f t="shared" si="26"/>
        <v>2020</v>
      </c>
      <c r="J55" s="158">
        <f t="shared" si="26"/>
        <v>2021</v>
      </c>
      <c r="K55" s="158">
        <f t="shared" si="26"/>
        <v>2022</v>
      </c>
      <c r="L55" s="158">
        <f t="shared" si="26"/>
        <v>2023</v>
      </c>
      <c r="M55" s="158">
        <f t="shared" si="26"/>
        <v>2024</v>
      </c>
      <c r="N55" s="158">
        <f t="shared" si="26"/>
        <v>2025</v>
      </c>
      <c r="O55" s="158">
        <f t="shared" si="26"/>
        <v>2026</v>
      </c>
      <c r="P55" s="158">
        <f t="shared" si="26"/>
        <v>2027</v>
      </c>
      <c r="Q55" s="158">
        <f t="shared" si="26"/>
        <v>2028</v>
      </c>
      <c r="R55" s="158">
        <f t="shared" si="26"/>
        <v>2029</v>
      </c>
      <c r="S55" s="158">
        <f t="shared" si="26"/>
        <v>2030</v>
      </c>
      <c r="T55" s="158">
        <f t="shared" si="26"/>
        <v>2031</v>
      </c>
      <c r="U55" s="158">
        <f t="shared" si="26"/>
        <v>2032</v>
      </c>
      <c r="V55" s="158">
        <f t="shared" si="26"/>
        <v>2033</v>
      </c>
      <c r="W55" s="158">
        <f t="shared" si="26"/>
        <v>2034</v>
      </c>
      <c r="X55" s="158">
        <f t="shared" si="26"/>
        <v>2035</v>
      </c>
      <c r="Y55" s="158">
        <f t="shared" si="26"/>
        <v>2036</v>
      </c>
      <c r="Z55" s="158">
        <f t="shared" si="26"/>
        <v>2037</v>
      </c>
      <c r="AA55" s="158">
        <f t="shared" si="26"/>
        <v>2038</v>
      </c>
      <c r="AB55" s="158">
        <f t="shared" si="26"/>
        <v>2039</v>
      </c>
      <c r="AC55" s="158">
        <f t="shared" si="26"/>
        <v>2040</v>
      </c>
      <c r="AD55" s="158">
        <f t="shared" si="26"/>
        <v>2041</v>
      </c>
      <c r="AE55" s="158">
        <f t="shared" si="26"/>
        <v>2042</v>
      </c>
      <c r="AF55" s="158">
        <f t="shared" si="26"/>
        <v>2043</v>
      </c>
      <c r="AG55" s="158">
        <f t="shared" si="26"/>
        <v>2044</v>
      </c>
      <c r="AH55" s="158">
        <f t="shared" si="26"/>
        <v>2045</v>
      </c>
      <c r="AI55" s="158">
        <f t="shared" si="26"/>
        <v>2046</v>
      </c>
      <c r="AJ55" s="158">
        <f t="shared" si="26"/>
        <v>2047</v>
      </c>
      <c r="AK55" s="158">
        <f t="shared" si="26"/>
        <v>2048</v>
      </c>
      <c r="AL55" s="158">
        <f t="shared" si="26"/>
        <v>2049</v>
      </c>
      <c r="AM55" s="159">
        <f t="shared" si="26"/>
        <v>2050</v>
      </c>
    </row>
    <row r="56" spans="1:39" x14ac:dyDescent="0.25">
      <c r="A56" s="153" t="s">
        <v>215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8">
        <f t="shared" ref="AE56:AM56" si="27">(AE29+AE38)/AE102</f>
        <v>225.26120904685445</v>
      </c>
      <c r="AF56" s="98">
        <f t="shared" si="27"/>
        <v>225.40107157474415</v>
      </c>
      <c r="AG56" s="98">
        <f t="shared" si="27"/>
        <v>225.5407227730631</v>
      </c>
      <c r="AH56" s="98">
        <f t="shared" si="27"/>
        <v>225.67896917691735</v>
      </c>
      <c r="AI56" s="98">
        <f t="shared" si="27"/>
        <v>225.81700675679883</v>
      </c>
      <c r="AJ56" s="98">
        <f t="shared" si="27"/>
        <v>225.95480585597701</v>
      </c>
      <c r="AK56" s="98">
        <f t="shared" si="27"/>
        <v>226.09233520278579</v>
      </c>
      <c r="AL56" s="98">
        <f t="shared" si="27"/>
        <v>226.25643275822196</v>
      </c>
      <c r="AM56" s="150">
        <f t="shared" si="27"/>
        <v>226.42005317702376</v>
      </c>
    </row>
    <row r="57" spans="1:39" x14ac:dyDescent="0.25">
      <c r="A57" s="153" t="s">
        <v>212</v>
      </c>
      <c r="B57" s="98">
        <f t="shared" ref="B57:AD57" si="28">(B30+B39)/B103</f>
        <v>112.74581232447899</v>
      </c>
      <c r="C57" s="98">
        <f t="shared" si="28"/>
        <v>112.87504530931329</v>
      </c>
      <c r="D57" s="98">
        <f t="shared" si="28"/>
        <v>112.85930529590068</v>
      </c>
      <c r="E57" s="98">
        <f t="shared" si="28"/>
        <v>112.79892378317136</v>
      </c>
      <c r="F57" s="98">
        <f t="shared" si="28"/>
        <v>112.72851660594942</v>
      </c>
      <c r="G57" s="98">
        <f t="shared" si="28"/>
        <v>114.77201984641199</v>
      </c>
      <c r="H57" s="98">
        <f t="shared" si="28"/>
        <v>116.08379702349164</v>
      </c>
      <c r="I57" s="98">
        <f t="shared" si="28"/>
        <v>116.93218491080778</v>
      </c>
      <c r="J57" s="98">
        <f t="shared" si="28"/>
        <v>117.42877680645846</v>
      </c>
      <c r="K57" s="98">
        <f t="shared" si="28"/>
        <v>117.65793814880037</v>
      </c>
      <c r="L57" s="98">
        <f t="shared" si="28"/>
        <v>117.73235031103931</v>
      </c>
      <c r="M57" s="98">
        <f t="shared" si="28"/>
        <v>117.48124513821632</v>
      </c>
      <c r="N57" s="98">
        <f t="shared" si="28"/>
        <v>117.26359699725225</v>
      </c>
      <c r="O57" s="98">
        <f t="shared" si="28"/>
        <v>117.02099974234827</v>
      </c>
      <c r="P57" s="98">
        <f t="shared" si="28"/>
        <v>116.75822449633591</v>
      </c>
      <c r="Q57" s="98">
        <f t="shared" si="28"/>
        <v>116.47892423532635</v>
      </c>
      <c r="R57" s="98">
        <f t="shared" si="28"/>
        <v>116.18594357018104</v>
      </c>
      <c r="S57" s="98">
        <f t="shared" si="28"/>
        <v>115.88153095149849</v>
      </c>
      <c r="T57" s="98">
        <f t="shared" si="28"/>
        <v>115.64371354074694</v>
      </c>
      <c r="U57" s="98">
        <f t="shared" si="28"/>
        <v>115.42972955535342</v>
      </c>
      <c r="V57" s="98">
        <f t="shared" si="28"/>
        <v>114.85686570355114</v>
      </c>
      <c r="W57" s="98">
        <f t="shared" si="28"/>
        <v>114.26442285242693</v>
      </c>
      <c r="X57" s="98">
        <f t="shared" si="28"/>
        <v>113.85832162511076</v>
      </c>
      <c r="Y57" s="98">
        <f t="shared" si="28"/>
        <v>113.48287445932405</v>
      </c>
      <c r="Z57" s="98">
        <f t="shared" si="28"/>
        <v>113.13122138258716</v>
      </c>
      <c r="AA57" s="98">
        <f t="shared" si="28"/>
        <v>112.34286674565054</v>
      </c>
      <c r="AB57" s="98">
        <f t="shared" si="28"/>
        <v>111.65007048770947</v>
      </c>
      <c r="AC57" s="98">
        <f t="shared" si="28"/>
        <v>111.05034340991355</v>
      </c>
      <c r="AD57" s="98">
        <f t="shared" si="28"/>
        <v>110.57888844787639</v>
      </c>
      <c r="AE57" s="98">
        <f t="shared" ref="AE57:AM57" si="29">(AE30+AE39)/AE103</f>
        <v>109.96912626207005</v>
      </c>
      <c r="AF57" s="98">
        <f t="shared" si="29"/>
        <v>109.49638514309949</v>
      </c>
      <c r="AG57" s="98">
        <f t="shared" si="29"/>
        <v>109.17444798738235</v>
      </c>
      <c r="AH57" s="98">
        <f t="shared" si="29"/>
        <v>108.88936229226486</v>
      </c>
      <c r="AI57" s="98">
        <f t="shared" si="29"/>
        <v>108.63905868057206</v>
      </c>
      <c r="AJ57" s="98">
        <f t="shared" si="29"/>
        <v>108.42060982999503</v>
      </c>
      <c r="AK57" s="98">
        <f t="shared" si="29"/>
        <v>108.23140459717881</v>
      </c>
      <c r="AL57" s="98">
        <f t="shared" si="29"/>
        <v>108.09597674203515</v>
      </c>
      <c r="AM57" s="150">
        <f t="shared" si="29"/>
        <v>107.98521664684361</v>
      </c>
    </row>
    <row r="58" spans="1:39" x14ac:dyDescent="0.25">
      <c r="A58" s="153" t="s">
        <v>213</v>
      </c>
      <c r="B58" s="98">
        <f t="shared" ref="B58:AD58" si="30">(B31+B40)/B104</f>
        <v>219.70278412556885</v>
      </c>
      <c r="C58" s="98">
        <f t="shared" si="30"/>
        <v>218.6811616707823</v>
      </c>
      <c r="D58" s="98">
        <f t="shared" si="30"/>
        <v>217.07599492099348</v>
      </c>
      <c r="E58" s="98">
        <f t="shared" si="30"/>
        <v>215.33524413353373</v>
      </c>
      <c r="F58" s="98">
        <f t="shared" si="30"/>
        <v>213.53866587578602</v>
      </c>
      <c r="G58" s="98">
        <f t="shared" si="30"/>
        <v>211.64360915887346</v>
      </c>
      <c r="H58" s="98">
        <f t="shared" si="30"/>
        <v>209.71758318583809</v>
      </c>
      <c r="I58" s="98">
        <f t="shared" si="30"/>
        <v>207.76396318705616</v>
      </c>
      <c r="J58" s="98">
        <f t="shared" si="30"/>
        <v>205.74793181863154</v>
      </c>
      <c r="K58" s="98">
        <f t="shared" si="30"/>
        <v>203.66638907266412</v>
      </c>
      <c r="L58" s="98">
        <f t="shared" si="30"/>
        <v>201.5765560389064</v>
      </c>
      <c r="M58" s="98">
        <f t="shared" si="30"/>
        <v>199.52086317736641</v>
      </c>
      <c r="N58" s="98">
        <f t="shared" si="30"/>
        <v>197.5254729852164</v>
      </c>
      <c r="O58" s="98">
        <f t="shared" si="30"/>
        <v>195.52661777120207</v>
      </c>
      <c r="P58" s="98">
        <f t="shared" si="30"/>
        <v>193.52504569976466</v>
      </c>
      <c r="Q58" s="98">
        <f t="shared" si="30"/>
        <v>191.52133217738728</v>
      </c>
      <c r="R58" s="98">
        <f t="shared" si="30"/>
        <v>189.51592734160096</v>
      </c>
      <c r="S58" s="98">
        <f t="shared" si="30"/>
        <v>187.50918870735723</v>
      </c>
      <c r="T58" s="98">
        <f t="shared" si="30"/>
        <v>185.62367613205652</v>
      </c>
      <c r="U58" s="98">
        <f t="shared" si="30"/>
        <v>183.80892226913141</v>
      </c>
      <c r="V58" s="98">
        <f t="shared" si="30"/>
        <v>182.05551374711018</v>
      </c>
      <c r="W58" s="98">
        <f t="shared" si="30"/>
        <v>180.3530132838533</v>
      </c>
      <c r="X58" s="98">
        <f t="shared" si="30"/>
        <v>178.817747136343</v>
      </c>
      <c r="Y58" s="98">
        <f t="shared" si="30"/>
        <v>177.29634855694772</v>
      </c>
      <c r="Z58" s="98">
        <f t="shared" si="30"/>
        <v>175.78391725025935</v>
      </c>
      <c r="AA58" s="98">
        <f t="shared" si="30"/>
        <v>174.25466549402003</v>
      </c>
      <c r="AB58" s="98">
        <f t="shared" si="30"/>
        <v>169.71716177439865</v>
      </c>
      <c r="AC58" s="98">
        <f t="shared" si="30"/>
        <v>165.48656932150391</v>
      </c>
      <c r="AD58" s="98">
        <f t="shared" si="30"/>
        <v>161.57688745420424</v>
      </c>
      <c r="AE58" s="98">
        <f t="shared" ref="AE58:AM58" si="31">(AE31+AE40)/AE104</f>
        <v>157.70304676642553</v>
      </c>
      <c r="AF58" s="98">
        <f t="shared" si="31"/>
        <v>154.12417840900329</v>
      </c>
      <c r="AG58" s="98">
        <f t="shared" si="31"/>
        <v>150.74521066974015</v>
      </c>
      <c r="AH58" s="98">
        <f t="shared" si="31"/>
        <v>147.54739839176725</v>
      </c>
      <c r="AI58" s="98">
        <f t="shared" si="31"/>
        <v>144.51638621696961</v>
      </c>
      <c r="AJ58" s="98">
        <f t="shared" si="31"/>
        <v>141.63831704289743</v>
      </c>
      <c r="AK58" s="98">
        <f t="shared" si="31"/>
        <v>138.90082404130416</v>
      </c>
      <c r="AL58" s="98">
        <f t="shared" si="31"/>
        <v>136.31970585229641</v>
      </c>
      <c r="AM58" s="150">
        <f t="shared" si="31"/>
        <v>133.85800825073261</v>
      </c>
    </row>
    <row r="59" spans="1:39" x14ac:dyDescent="0.25">
      <c r="A59" s="153" t="s">
        <v>214</v>
      </c>
      <c r="B59" s="98">
        <f t="shared" ref="B59:AD59" si="32">(B32+B41)/B105</f>
        <v>108.6327212303424</v>
      </c>
      <c r="C59" s="98">
        <f t="shared" si="32"/>
        <v>108.96155666583749</v>
      </c>
      <c r="D59" s="98">
        <f t="shared" si="32"/>
        <v>109.07969167792102</v>
      </c>
      <c r="E59" s="98">
        <f t="shared" si="32"/>
        <v>109.21121081234844</v>
      </c>
      <c r="F59" s="98">
        <f t="shared" si="32"/>
        <v>109.35642868350153</v>
      </c>
      <c r="G59" s="98">
        <f t="shared" si="32"/>
        <v>109.43733584536425</v>
      </c>
      <c r="H59" s="98">
        <f t="shared" si="32"/>
        <v>109.503274153276</v>
      </c>
      <c r="I59" s="98">
        <f t="shared" si="32"/>
        <v>109.54729528253146</v>
      </c>
      <c r="J59" s="98">
        <f t="shared" si="32"/>
        <v>109.52825507580647</v>
      </c>
      <c r="K59" s="98">
        <f t="shared" si="32"/>
        <v>109.43893794387601</v>
      </c>
      <c r="L59" s="98">
        <f t="shared" si="32"/>
        <v>109.33375347313638</v>
      </c>
      <c r="M59" s="98">
        <f t="shared" si="32"/>
        <v>109.25312998320953</v>
      </c>
      <c r="N59" s="98">
        <f t="shared" si="32"/>
        <v>109.22175155349643</v>
      </c>
      <c r="O59" s="98">
        <f t="shared" si="32"/>
        <v>109.17472292561825</v>
      </c>
      <c r="P59" s="98">
        <f t="shared" si="32"/>
        <v>109.11190670647515</v>
      </c>
      <c r="Q59" s="98">
        <f t="shared" si="32"/>
        <v>109.03316388009804</v>
      </c>
      <c r="R59" s="98">
        <f t="shared" si="32"/>
        <v>108.93835378340876</v>
      </c>
      <c r="S59" s="98">
        <f t="shared" si="32"/>
        <v>108.82733408191156</v>
      </c>
      <c r="T59" s="98">
        <f t="shared" si="32"/>
        <v>108.75476019411612</v>
      </c>
      <c r="U59" s="98">
        <f t="shared" si="32"/>
        <v>108.68164643966404</v>
      </c>
      <c r="V59" s="98">
        <f t="shared" si="32"/>
        <v>108.60798985175164</v>
      </c>
      <c r="W59" s="98">
        <f t="shared" si="32"/>
        <v>108.53113875965288</v>
      </c>
      <c r="X59" s="98">
        <f t="shared" si="32"/>
        <v>108.57391598029048</v>
      </c>
      <c r="Y59" s="98">
        <f t="shared" si="32"/>
        <v>108.58841805032361</v>
      </c>
      <c r="Z59" s="98">
        <f t="shared" si="32"/>
        <v>108.5743718601004</v>
      </c>
      <c r="AA59" s="98">
        <f t="shared" si="32"/>
        <v>108.50993443543022</v>
      </c>
      <c r="AB59" s="98">
        <f t="shared" si="32"/>
        <v>108.44510015945362</v>
      </c>
      <c r="AC59" s="98">
        <f t="shared" si="32"/>
        <v>108.38710482718848</v>
      </c>
      <c r="AD59" s="98">
        <f t="shared" si="32"/>
        <v>108.37957986616684</v>
      </c>
      <c r="AE59" s="98">
        <f t="shared" ref="AE59:AM59" si="33">(AE32+AE41)/AE105</f>
        <v>108.16328661965096</v>
      </c>
      <c r="AF59" s="98">
        <f t="shared" si="33"/>
        <v>108.01997586600794</v>
      </c>
      <c r="AG59" s="98">
        <f t="shared" si="33"/>
        <v>107.91373286699523</v>
      </c>
      <c r="AH59" s="98">
        <f t="shared" si="33"/>
        <v>107.90749796856937</v>
      </c>
      <c r="AI59" s="98">
        <f t="shared" si="33"/>
        <v>107.91607597323036</v>
      </c>
      <c r="AJ59" s="98">
        <f t="shared" si="33"/>
        <v>107.93961129966311</v>
      </c>
      <c r="AK59" s="98">
        <f t="shared" si="33"/>
        <v>107.97824985536555</v>
      </c>
      <c r="AL59" s="98">
        <f t="shared" si="33"/>
        <v>108.05900932872424</v>
      </c>
      <c r="AM59" s="150">
        <f t="shared" si="33"/>
        <v>108.15502609936098</v>
      </c>
    </row>
    <row r="60" spans="1:39" x14ac:dyDescent="0.25">
      <c r="A60" s="153" t="s">
        <v>216</v>
      </c>
      <c r="B60" s="98">
        <f t="shared" ref="B60:AD60" si="34">(B33+B42)/B106</f>
        <v>121.77918928013169</v>
      </c>
      <c r="C60" s="98">
        <f t="shared" si="34"/>
        <v>121.69183093593628</v>
      </c>
      <c r="D60" s="98">
        <f t="shared" si="34"/>
        <v>121.48072275051835</v>
      </c>
      <c r="E60" s="98">
        <f t="shared" si="34"/>
        <v>121.26962494239048</v>
      </c>
      <c r="F60" s="98">
        <f t="shared" si="34"/>
        <v>121.06699575890022</v>
      </c>
      <c r="G60" s="98">
        <f t="shared" si="34"/>
        <v>120.80019814122527</v>
      </c>
      <c r="H60" s="98">
        <f t="shared" si="34"/>
        <v>120.52227844171347</v>
      </c>
      <c r="I60" s="98">
        <f t="shared" si="34"/>
        <v>120.22894028074093</v>
      </c>
      <c r="J60" s="98">
        <f t="shared" si="34"/>
        <v>119.88100075725617</v>
      </c>
      <c r="K60" s="98">
        <f t="shared" si="34"/>
        <v>119.47273723168463</v>
      </c>
      <c r="L60" s="98">
        <f t="shared" si="34"/>
        <v>119.05972577607773</v>
      </c>
      <c r="M60" s="98">
        <f t="shared" si="34"/>
        <v>118.68332813132449</v>
      </c>
      <c r="N60" s="98">
        <f t="shared" si="34"/>
        <v>118.36899195587895</v>
      </c>
      <c r="O60" s="98">
        <f t="shared" si="34"/>
        <v>118.05245956986377</v>
      </c>
      <c r="P60" s="98">
        <f t="shared" si="34"/>
        <v>117.73413621609433</v>
      </c>
      <c r="Q60" s="98">
        <f t="shared" si="34"/>
        <v>117.41435299578981</v>
      </c>
      <c r="R60" s="98">
        <f t="shared" si="34"/>
        <v>117.09338331252651</v>
      </c>
      <c r="S60" s="98">
        <f t="shared" si="34"/>
        <v>116.77145512961317</v>
      </c>
      <c r="T60" s="98">
        <f t="shared" si="34"/>
        <v>116.49415429769361</v>
      </c>
      <c r="U60" s="98">
        <f t="shared" si="34"/>
        <v>116.22196636475529</v>
      </c>
      <c r="V60" s="98">
        <f t="shared" si="34"/>
        <v>115.42220140728122</v>
      </c>
      <c r="W60" s="98">
        <f t="shared" si="34"/>
        <v>114.67723958821814</v>
      </c>
      <c r="X60" s="98">
        <f t="shared" si="34"/>
        <v>114.10372756226174</v>
      </c>
      <c r="Y60" s="98">
        <f t="shared" si="34"/>
        <v>113.54867994606013</v>
      </c>
      <c r="Z60" s="98">
        <f t="shared" si="34"/>
        <v>113.00740839700372</v>
      </c>
      <c r="AA60" s="98">
        <f t="shared" si="34"/>
        <v>112.45421584363928</v>
      </c>
      <c r="AB60" s="98">
        <f t="shared" si="34"/>
        <v>111.93571761681963</v>
      </c>
      <c r="AC60" s="98">
        <f t="shared" si="34"/>
        <v>111.45617481473333</v>
      </c>
      <c r="AD60" s="98">
        <f t="shared" si="34"/>
        <v>111.05659011500569</v>
      </c>
      <c r="AE60" s="98">
        <f t="shared" ref="AE60:AM60" si="35">(AE33+AE42)/AE106</f>
        <v>110.47539351171365</v>
      </c>
      <c r="AF60" s="98">
        <f t="shared" si="35"/>
        <v>109.99226126117593</v>
      </c>
      <c r="AG60" s="98">
        <f t="shared" si="35"/>
        <v>109.53016192479232</v>
      </c>
      <c r="AH60" s="98">
        <f t="shared" si="35"/>
        <v>109.08625571058168</v>
      </c>
      <c r="AI60" s="98">
        <f t="shared" si="35"/>
        <v>108.66026403590114</v>
      </c>
      <c r="AJ60" s="98">
        <f t="shared" si="35"/>
        <v>108.25083309108216</v>
      </c>
      <c r="AK60" s="98">
        <f t="shared" si="35"/>
        <v>107.8567394613391</v>
      </c>
      <c r="AL60" s="98">
        <f t="shared" si="35"/>
        <v>107.50374508352809</v>
      </c>
      <c r="AM60" s="150">
        <f t="shared" si="35"/>
        <v>107.16383092292924</v>
      </c>
    </row>
    <row r="61" spans="1:39" x14ac:dyDescent="0.25">
      <c r="A61" s="160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50"/>
    </row>
    <row r="62" spans="1:39" x14ac:dyDescent="0.25">
      <c r="A62" s="134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50"/>
    </row>
    <row r="63" spans="1:39" x14ac:dyDescent="0.25">
      <c r="A63" s="134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150"/>
    </row>
    <row r="64" spans="1:39" x14ac:dyDescent="0.25">
      <c r="A64" s="134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150"/>
    </row>
    <row r="65" spans="1:39" x14ac:dyDescent="0.25">
      <c r="A65" s="134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150"/>
    </row>
    <row r="66" spans="1:39" x14ac:dyDescent="0.25">
      <c r="A66" s="134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150"/>
    </row>
    <row r="67" spans="1:39" x14ac:dyDescent="0.25">
      <c r="A67" s="134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150"/>
    </row>
    <row r="68" spans="1:39" x14ac:dyDescent="0.25">
      <c r="A68" s="134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150"/>
    </row>
    <row r="69" spans="1:39" x14ac:dyDescent="0.25">
      <c r="A69" s="134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150"/>
    </row>
    <row r="70" spans="1:39" x14ac:dyDescent="0.25">
      <c r="A70" s="134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150"/>
    </row>
    <row r="71" spans="1:39" x14ac:dyDescent="0.25">
      <c r="A71" s="134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50"/>
    </row>
    <row r="72" spans="1:39" x14ac:dyDescent="0.25">
      <c r="A72" s="134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150"/>
    </row>
    <row r="73" spans="1:39" x14ac:dyDescent="0.25">
      <c r="A73" s="134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150"/>
    </row>
    <row r="74" spans="1:39" x14ac:dyDescent="0.25">
      <c r="A74" s="134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150"/>
    </row>
    <row r="75" spans="1:39" x14ac:dyDescent="0.25">
      <c r="A75" s="134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150"/>
    </row>
    <row r="76" spans="1:39" x14ac:dyDescent="0.25">
      <c r="A76" s="134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150"/>
    </row>
    <row r="77" spans="1:39" x14ac:dyDescent="0.25">
      <c r="A77" s="134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150"/>
    </row>
    <row r="78" spans="1:39" ht="15.75" thickBot="1" x14ac:dyDescent="0.3">
      <c r="A78" s="169" t="s">
        <v>222</v>
      </c>
      <c r="B78" s="170"/>
      <c r="C78" s="170"/>
      <c r="D78" s="170"/>
      <c r="E78" s="170"/>
      <c r="F78" s="170"/>
      <c r="G78" s="170"/>
      <c r="H78" s="170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2"/>
    </row>
    <row r="80" spans="1:39" x14ac:dyDescent="0.25">
      <c r="A80" s="2" t="s">
        <v>226</v>
      </c>
      <c r="B80">
        <f t="shared" ref="B80:AM80" si="36">B37</f>
        <v>2013</v>
      </c>
      <c r="C80">
        <f t="shared" si="36"/>
        <v>2014</v>
      </c>
      <c r="D80">
        <f t="shared" si="36"/>
        <v>2015</v>
      </c>
      <c r="E80">
        <f t="shared" si="36"/>
        <v>2016</v>
      </c>
      <c r="F80">
        <f t="shared" si="36"/>
        <v>2017</v>
      </c>
      <c r="G80">
        <f t="shared" si="36"/>
        <v>2018</v>
      </c>
      <c r="H80">
        <f t="shared" si="36"/>
        <v>2019</v>
      </c>
      <c r="I80">
        <f t="shared" si="36"/>
        <v>2020</v>
      </c>
      <c r="J80">
        <f t="shared" si="36"/>
        <v>2021</v>
      </c>
      <c r="K80">
        <f t="shared" si="36"/>
        <v>2022</v>
      </c>
      <c r="L80">
        <f t="shared" si="36"/>
        <v>2023</v>
      </c>
      <c r="M80">
        <f t="shared" si="36"/>
        <v>2024</v>
      </c>
      <c r="N80">
        <f t="shared" si="36"/>
        <v>2025</v>
      </c>
      <c r="O80">
        <f t="shared" si="36"/>
        <v>2026</v>
      </c>
      <c r="P80">
        <f t="shared" si="36"/>
        <v>2027</v>
      </c>
      <c r="Q80">
        <f t="shared" si="36"/>
        <v>2028</v>
      </c>
      <c r="R80">
        <f t="shared" si="36"/>
        <v>2029</v>
      </c>
      <c r="S80">
        <f t="shared" si="36"/>
        <v>2030</v>
      </c>
      <c r="T80">
        <f t="shared" si="36"/>
        <v>2031</v>
      </c>
      <c r="U80">
        <f t="shared" si="36"/>
        <v>2032</v>
      </c>
      <c r="V80">
        <f t="shared" si="36"/>
        <v>2033</v>
      </c>
      <c r="W80">
        <f t="shared" si="36"/>
        <v>2034</v>
      </c>
      <c r="X80">
        <f t="shared" si="36"/>
        <v>2035</v>
      </c>
      <c r="Y80">
        <f t="shared" si="36"/>
        <v>2036</v>
      </c>
      <c r="Z80">
        <f t="shared" si="36"/>
        <v>2037</v>
      </c>
      <c r="AA80">
        <f t="shared" si="36"/>
        <v>2038</v>
      </c>
      <c r="AB80">
        <f t="shared" si="36"/>
        <v>2039</v>
      </c>
      <c r="AC80">
        <f t="shared" si="36"/>
        <v>2040</v>
      </c>
      <c r="AD80">
        <f t="shared" si="36"/>
        <v>2041</v>
      </c>
      <c r="AE80">
        <f t="shared" si="36"/>
        <v>2042</v>
      </c>
      <c r="AF80">
        <f t="shared" si="36"/>
        <v>2043</v>
      </c>
      <c r="AG80">
        <f t="shared" si="36"/>
        <v>2044</v>
      </c>
      <c r="AH80">
        <f t="shared" si="36"/>
        <v>2045</v>
      </c>
      <c r="AI80">
        <f t="shared" si="36"/>
        <v>2046</v>
      </c>
      <c r="AJ80">
        <f t="shared" si="36"/>
        <v>2047</v>
      </c>
      <c r="AK80">
        <f t="shared" si="36"/>
        <v>2048</v>
      </c>
      <c r="AL80">
        <f t="shared" si="36"/>
        <v>2049</v>
      </c>
      <c r="AM80">
        <f t="shared" si="36"/>
        <v>2050</v>
      </c>
    </row>
    <row r="81" spans="1:39" x14ac:dyDescent="0.25">
      <c r="A81" t="s">
        <v>215</v>
      </c>
      <c r="B81">
        <f>'Données capacités de stockage'!B48/1000000</f>
        <v>0</v>
      </c>
      <c r="C81">
        <f>'Données capacités de stockage'!C48/1000000</f>
        <v>0</v>
      </c>
      <c r="D81">
        <f>'Données capacités de stockage'!D48/1000000</f>
        <v>0</v>
      </c>
      <c r="E81">
        <f>'Données capacités de stockage'!E48/1000000</f>
        <v>0</v>
      </c>
      <c r="F81">
        <f>'Données capacités de stockage'!F48/1000000</f>
        <v>0</v>
      </c>
      <c r="G81">
        <f>'Données capacités de stockage'!G48/1000000</f>
        <v>0</v>
      </c>
      <c r="H81">
        <f>'Données capacités de stockage'!H48/1000000</f>
        <v>0</v>
      </c>
      <c r="I81">
        <f>'Données capacités de stockage'!I48/1000000</f>
        <v>0</v>
      </c>
      <c r="J81">
        <f>'Données capacités de stockage'!J48/1000000</f>
        <v>0</v>
      </c>
      <c r="K81">
        <f>'Données capacités de stockage'!K48/1000000</f>
        <v>0</v>
      </c>
      <c r="L81">
        <f>'Données capacités de stockage'!L48/1000000</f>
        <v>0</v>
      </c>
      <c r="M81">
        <f>'Données capacités de stockage'!M48/1000000</f>
        <v>0</v>
      </c>
      <c r="N81">
        <f>'Données capacités de stockage'!N48/1000000</f>
        <v>0</v>
      </c>
      <c r="O81">
        <f>'Données capacités de stockage'!O48/1000000</f>
        <v>0</v>
      </c>
      <c r="P81">
        <f>'Données capacités de stockage'!P48/1000000</f>
        <v>0</v>
      </c>
      <c r="Q81">
        <f>'Données capacités de stockage'!Q48/1000000</f>
        <v>0</v>
      </c>
      <c r="R81">
        <f>'Données capacités de stockage'!R48/1000000</f>
        <v>0</v>
      </c>
      <c r="S81">
        <f>'Données capacités de stockage'!S48/1000000</f>
        <v>0</v>
      </c>
      <c r="T81">
        <f>'Données capacités de stockage'!T48/1000000</f>
        <v>0</v>
      </c>
      <c r="U81">
        <f>'Données capacités de stockage'!U48/1000000</f>
        <v>0</v>
      </c>
      <c r="V81">
        <f>'Données capacités de stockage'!V48/1000000</f>
        <v>0</v>
      </c>
      <c r="W81">
        <f>'Données capacités de stockage'!W48/1000000</f>
        <v>0</v>
      </c>
      <c r="X81">
        <f>'Données capacités de stockage'!X48/1000000</f>
        <v>0</v>
      </c>
      <c r="Y81">
        <f>'Données capacités de stockage'!Y48/1000000</f>
        <v>0</v>
      </c>
      <c r="Z81">
        <f>'Données capacités de stockage'!Z48/1000000</f>
        <v>0</v>
      </c>
      <c r="AA81">
        <f>'Données capacités de stockage'!AA48/1000000</f>
        <v>0</v>
      </c>
      <c r="AB81">
        <f>'Données capacités de stockage'!AB48/1000000</f>
        <v>0</v>
      </c>
      <c r="AC81">
        <f>'Données capacités de stockage'!AC48/1000000</f>
        <v>0</v>
      </c>
      <c r="AD81">
        <f>'Données capacités de stockage'!AD48/1000000</f>
        <v>0</v>
      </c>
      <c r="AE81">
        <f>'Données capacités de stockage'!AE48/1000000</f>
        <v>2.1360168018888888</v>
      </c>
      <c r="AF81">
        <f>'Données capacités de stockage'!AF48/1000000</f>
        <v>4.2720336037777775</v>
      </c>
      <c r="AG81">
        <f>'Données capacités de stockage'!AG48/1000000</f>
        <v>6.4080504056666658</v>
      </c>
      <c r="AH81">
        <f>'Données capacités de stockage'!AH48/1000000</f>
        <v>8.544067207555555</v>
      </c>
      <c r="AI81">
        <f>'Données capacités de stockage'!AI48/1000000</f>
        <v>10.680084009444444</v>
      </c>
      <c r="AJ81">
        <f>'Données capacités de stockage'!AJ48/1000000</f>
        <v>12.816100811333332</v>
      </c>
      <c r="AK81">
        <f>'Données capacités de stockage'!AK48/1000000</f>
        <v>14.952117613222221</v>
      </c>
      <c r="AL81">
        <f>'Données capacités de stockage'!AL48/1000000</f>
        <v>17.08813441511111</v>
      </c>
      <c r="AM81">
        <f>'Données capacités de stockage'!AM48/1000000</f>
        <v>19.224151216999999</v>
      </c>
    </row>
    <row r="82" spans="1:39" x14ac:dyDescent="0.25">
      <c r="A82" t="s">
        <v>212</v>
      </c>
      <c r="B82">
        <f>Synthèse!B2+Synthèse!B3</f>
        <v>15.9</v>
      </c>
      <c r="C82">
        <f>Synthèse!C2+Synthèse!C3</f>
        <v>22.530112200820906</v>
      </c>
      <c r="D82">
        <f>Synthèse!D2+Synthèse!D3</f>
        <v>29.160224401641813</v>
      </c>
      <c r="E82">
        <f>Synthèse!E2+Synthèse!E3</f>
        <v>35.790336602462723</v>
      </c>
      <c r="F82">
        <f>Synthèse!F2+Synthèse!F3</f>
        <v>42.420448803283634</v>
      </c>
      <c r="G82">
        <f>Synthèse!G2+Synthèse!G3</f>
        <v>50.936892357204329</v>
      </c>
      <c r="H82">
        <f>Synthèse!H2+Synthèse!H3</f>
        <v>59.453335911125031</v>
      </c>
      <c r="I82">
        <f>Synthèse!I2+Synthèse!I3</f>
        <v>67.969779465045733</v>
      </c>
      <c r="J82">
        <f>Synthèse!J2+Synthèse!J3</f>
        <v>76.486223018966442</v>
      </c>
      <c r="K82">
        <f>Synthèse!K2+Synthèse!K3</f>
        <v>85.002666572887165</v>
      </c>
      <c r="L82">
        <f>Synthèse!L2+Synthèse!L3</f>
        <v>93.519110126807888</v>
      </c>
      <c r="M82">
        <f>Synthèse!M2+Synthèse!M3</f>
        <v>101.28102113948871</v>
      </c>
      <c r="N82">
        <f>Synthèse!N2+Synthèse!N3</f>
        <v>109.04293215216956</v>
      </c>
      <c r="O82">
        <f>Synthèse!O2+Synthèse!O3</f>
        <v>116.8048431648504</v>
      </c>
      <c r="P82">
        <f>Synthèse!P2+Synthèse!P3</f>
        <v>124.56675417753127</v>
      </c>
      <c r="Q82">
        <f>Synthèse!Q2+Synthèse!Q3</f>
        <v>132.32866519021212</v>
      </c>
      <c r="R82">
        <f>Synthèse!R2+Synthèse!R3</f>
        <v>140.090576202893</v>
      </c>
      <c r="S82">
        <f>Synthèse!S2+Synthèse!S3</f>
        <v>147.85248721557389</v>
      </c>
      <c r="T82">
        <f>Synthèse!T2+Synthèse!T3</f>
        <v>155.6143982282548</v>
      </c>
      <c r="U82">
        <f>Synthèse!U2+Synthèse!U3</f>
        <v>163.37630924093577</v>
      </c>
      <c r="V82">
        <f>Synthèse!V2+Synthèse!V3</f>
        <v>171.13822025361671</v>
      </c>
      <c r="W82">
        <f>Synthèse!W2+Synthèse!W3</f>
        <v>178.90013126629768</v>
      </c>
      <c r="X82">
        <f>Synthèse!X2+Synthèse!X3</f>
        <v>186.6620422789787</v>
      </c>
      <c r="Y82">
        <f>Synthèse!Y2+Synthèse!Y3</f>
        <v>194.4239532916597</v>
      </c>
      <c r="Z82">
        <f>Synthèse!Z2+Synthèse!Z3</f>
        <v>202.18586430434075</v>
      </c>
      <c r="AA82">
        <f>Synthèse!AA2+Synthèse!AA3</f>
        <v>209.94777531702181</v>
      </c>
      <c r="AB82">
        <f>Synthèse!AB2+Synthèse!AB3</f>
        <v>217.70968632970289</v>
      </c>
      <c r="AC82">
        <f>Synthèse!AC2+Synthèse!AC3</f>
        <v>225.471597342384</v>
      </c>
      <c r="AD82">
        <f>Synthèse!AD2+Synthèse!AD3</f>
        <v>233.23350835506514</v>
      </c>
      <c r="AE82">
        <f>Synthèse!AE2+Synthèse!AE3</f>
        <v>240.99541936774628</v>
      </c>
      <c r="AF82">
        <f>Synthèse!AF2+Synthèse!AF3</f>
        <v>248.75733038042745</v>
      </c>
      <c r="AG82">
        <f>Synthèse!AG2+Synthèse!AG3</f>
        <v>256.51924139310864</v>
      </c>
      <c r="AH82">
        <f>Synthèse!AH2+Synthèse!AH3</f>
        <v>264.28115240578984</v>
      </c>
      <c r="AI82">
        <f>Synthèse!AI2+Synthèse!AI3</f>
        <v>272.04306341847109</v>
      </c>
      <c r="AJ82">
        <f>Synthèse!AJ2+Synthèse!AJ3</f>
        <v>279.8049744311524</v>
      </c>
      <c r="AK82">
        <f>Synthèse!AK2+Synthèse!AK3</f>
        <v>287.56688544383366</v>
      </c>
      <c r="AL82">
        <f>Synthèse!AL2+Synthèse!AL3</f>
        <v>295.32879645651497</v>
      </c>
      <c r="AM82">
        <f>Synthèse!AM2+Synthèse!AM3</f>
        <v>303.09070746919627</v>
      </c>
    </row>
    <row r="83" spans="1:39" x14ac:dyDescent="0.25">
      <c r="A83" t="s">
        <v>213</v>
      </c>
      <c r="B83">
        <f>Synthèse!B4</f>
        <v>4.5999999999999996</v>
      </c>
      <c r="C83">
        <f>Synthèse!C4</f>
        <v>6.6941894977472165</v>
      </c>
      <c r="D83">
        <f>Synthèse!D4</f>
        <v>8.7883789954944334</v>
      </c>
      <c r="E83">
        <f>Synthèse!E4</f>
        <v>10.882568493241649</v>
      </c>
      <c r="F83">
        <f>Synthèse!F4</f>
        <v>12.976757990988867</v>
      </c>
      <c r="G83">
        <f>Synthèse!G4</f>
        <v>15.070947488736085</v>
      </c>
      <c r="H83">
        <f>Synthèse!H4</f>
        <v>17.165136986483304</v>
      </c>
      <c r="I83">
        <f>Synthèse!I4</f>
        <v>19.259326484230527</v>
      </c>
      <c r="J83">
        <f>Synthèse!J4</f>
        <v>21.353515981977754</v>
      </c>
      <c r="K83">
        <f>Synthèse!K4</f>
        <v>23.447705479724981</v>
      </c>
      <c r="L83">
        <f>Synthèse!L4</f>
        <v>25.541894977472211</v>
      </c>
      <c r="M83">
        <f>Synthèse!M4</f>
        <v>27.636084475219441</v>
      </c>
      <c r="N83">
        <f>Synthèse!N4</f>
        <v>29.730273972966675</v>
      </c>
      <c r="O83">
        <f>Synthèse!O4</f>
        <v>31.824463470713908</v>
      </c>
      <c r="P83">
        <f>Synthèse!P4</f>
        <v>33.918652968461146</v>
      </c>
      <c r="Q83">
        <f>Synthèse!Q4</f>
        <v>36.01284246620839</v>
      </c>
      <c r="R83">
        <f>Synthèse!R4</f>
        <v>38.107031963955635</v>
      </c>
      <c r="S83">
        <f>Synthèse!S4</f>
        <v>40.201221461702886</v>
      </c>
      <c r="T83">
        <f>Synthèse!T4</f>
        <v>42.295410959450145</v>
      </c>
      <c r="U83">
        <f>Synthèse!U4</f>
        <v>44.389600457197403</v>
      </c>
      <c r="V83">
        <f>Synthèse!V4</f>
        <v>46.483789954944669</v>
      </c>
      <c r="W83">
        <f>Synthèse!W4</f>
        <v>48.577979452691942</v>
      </c>
      <c r="X83">
        <f>Synthèse!X4</f>
        <v>50.672168950439215</v>
      </c>
      <c r="Y83">
        <f>Synthèse!Y4</f>
        <v>52.766358448186494</v>
      </c>
      <c r="Z83">
        <f>Synthèse!Z4</f>
        <v>54.860547945933781</v>
      </c>
      <c r="AA83">
        <f>Synthèse!AA4</f>
        <v>56.954737443681068</v>
      </c>
      <c r="AB83">
        <f>Synthèse!AB4</f>
        <v>59.048926941428363</v>
      </c>
      <c r="AC83">
        <f>Synthèse!AC4</f>
        <v>61.143116439175664</v>
      </c>
      <c r="AD83">
        <f>Synthèse!AD4</f>
        <v>63.237305936922965</v>
      </c>
      <c r="AE83">
        <f>Synthèse!AE4</f>
        <v>65.331495434670273</v>
      </c>
      <c r="AF83">
        <f>Synthèse!AF4</f>
        <v>67.425684932417596</v>
      </c>
      <c r="AG83">
        <f>Synthèse!AG4</f>
        <v>69.519874430164919</v>
      </c>
      <c r="AH83">
        <f>Synthèse!AH4</f>
        <v>71.614063927912255</v>
      </c>
      <c r="AI83">
        <f>Synthèse!AI4</f>
        <v>73.708253425659592</v>
      </c>
      <c r="AJ83">
        <f>Synthèse!AJ4</f>
        <v>75.802442923406943</v>
      </c>
      <c r="AK83">
        <f>Synthèse!AK4</f>
        <v>77.896632421154308</v>
      </c>
      <c r="AL83">
        <f>Synthèse!AL4</f>
        <v>79.990821918901673</v>
      </c>
      <c r="AM83">
        <f>Synthèse!AM4</f>
        <v>82.085011416649053</v>
      </c>
    </row>
    <row r="84" spans="1:39" x14ac:dyDescent="0.25">
      <c r="A84" t="s">
        <v>214</v>
      </c>
      <c r="B84">
        <f>Synthèse!B9+Synthèse!B11</f>
        <v>68.93968000000001</v>
      </c>
      <c r="C84">
        <f>Synthèse!C9+Synthèse!C11</f>
        <v>68.745346485458739</v>
      </c>
      <c r="D84">
        <f>Synthèse!D9+Synthèse!D11</f>
        <v>68.551012970917469</v>
      </c>
      <c r="E84">
        <f>Synthèse!E9+Synthèse!E11</f>
        <v>68.356679456376185</v>
      </c>
      <c r="F84">
        <f>Synthèse!F9+Synthèse!F11</f>
        <v>68.1623459418349</v>
      </c>
      <c r="G84">
        <f>Synthèse!G9+Synthèse!G11</f>
        <v>67.968012427293601</v>
      </c>
      <c r="H84">
        <f>Synthèse!H9+Synthèse!H11</f>
        <v>67.773678912752274</v>
      </c>
      <c r="I84">
        <f>Synthèse!I9+Synthèse!I11</f>
        <v>67.579345398210961</v>
      </c>
      <c r="J84">
        <f>Synthèse!J9+Synthèse!J11</f>
        <v>67.385011883669634</v>
      </c>
      <c r="K84">
        <f>Synthèse!K9+Synthèse!K11</f>
        <v>67.190678369128293</v>
      </c>
      <c r="L84">
        <f>Synthèse!L9+Synthèse!L11</f>
        <v>66.996344854586951</v>
      </c>
      <c r="M84">
        <f>Synthèse!M9+Synthèse!M11</f>
        <v>66.802011340045595</v>
      </c>
      <c r="N84">
        <f>Synthèse!N9+Synthèse!N11</f>
        <v>66.607677825504226</v>
      </c>
      <c r="O84">
        <f>Synthèse!O9+Synthèse!O11</f>
        <v>66.413344310962842</v>
      </c>
      <c r="P84">
        <f>Synthèse!P9+Synthèse!P11</f>
        <v>66.219010796421458</v>
      </c>
      <c r="Q84">
        <f>Synthèse!Q9+Synthèse!Q11</f>
        <v>66.024677281880074</v>
      </c>
      <c r="R84">
        <f>Synthèse!R9+Synthèse!R11</f>
        <v>65.830343767338675</v>
      </c>
      <c r="S84">
        <f>Synthèse!S9+Synthèse!S11</f>
        <v>65.636010252797277</v>
      </c>
      <c r="T84">
        <f>Synthèse!T9+Synthèse!T11</f>
        <v>65.441676738255865</v>
      </c>
      <c r="U84">
        <f>Synthèse!U9+Synthèse!U11</f>
        <v>65.247343223714438</v>
      </c>
      <c r="V84">
        <f>Synthèse!V9+Synthèse!V11</f>
        <v>65.053009709173011</v>
      </c>
      <c r="W84">
        <f>Synthèse!W9+Synthèse!W11</f>
        <v>64.85867619463157</v>
      </c>
      <c r="X84">
        <f>Synthèse!X9+Synthèse!X11</f>
        <v>64.664342680090101</v>
      </c>
      <c r="Y84">
        <f>Synthèse!Y9+Synthèse!Y11</f>
        <v>64.470009165548646</v>
      </c>
      <c r="Z84">
        <f>Synthèse!Z9+Synthèse!Z11</f>
        <v>64.275675651007177</v>
      </c>
      <c r="AA84">
        <f>Synthèse!AA9+Synthèse!AA11</f>
        <v>64.081342136465707</v>
      </c>
      <c r="AB84">
        <f>Synthèse!AB9+Synthèse!AB11</f>
        <v>63.887008621924224</v>
      </c>
      <c r="AC84">
        <f>Synthèse!AC9+Synthèse!AC11</f>
        <v>63.69267510738274</v>
      </c>
      <c r="AD84">
        <f>Synthèse!AD9+Synthèse!AD11</f>
        <v>63.49834159284125</v>
      </c>
      <c r="AE84">
        <f>Synthèse!AE9+Synthèse!AE11</f>
        <v>63.304008078299759</v>
      </c>
      <c r="AF84">
        <f>Synthèse!AF9+Synthèse!AF11</f>
        <v>63.109674563758254</v>
      </c>
      <c r="AG84">
        <f>Synthèse!AG9+Synthèse!AG11</f>
        <v>62.91534104921675</v>
      </c>
      <c r="AH84">
        <f>Synthèse!AH9+Synthèse!AH11</f>
        <v>62.721007534675245</v>
      </c>
      <c r="AI84">
        <f>Synthèse!AI9+Synthèse!AI11</f>
        <v>62.526674020133733</v>
      </c>
      <c r="AJ84">
        <f>Synthèse!AJ9+Synthèse!AJ11</f>
        <v>62.332340505592214</v>
      </c>
      <c r="AK84">
        <f>Synthèse!AK9+Synthèse!AK11</f>
        <v>62.138006991050695</v>
      </c>
      <c r="AL84">
        <f>Synthèse!AL9+Synthèse!AL11</f>
        <v>61.943673476509161</v>
      </c>
      <c r="AM84">
        <f>Synthèse!AM9+Synthèse!AM11</f>
        <v>61.749339961967635</v>
      </c>
    </row>
    <row r="85" spans="1:39" x14ac:dyDescent="0.25">
      <c r="A85" t="s">
        <v>216</v>
      </c>
      <c r="B85">
        <f>Synthèse!B10+Synthèse!B7+Synthèse!B8+Synthèse!B5+Synthèse!B12</f>
        <v>5.3525247250000012</v>
      </c>
      <c r="C85">
        <f>Synthèse!C10+Synthèse!C7+Synthèse!C8+Synthèse!C5+Synthèse!C12</f>
        <v>6.1678280086419441</v>
      </c>
      <c r="D85">
        <f>Synthèse!D10+Synthèse!D7+Synthèse!D8+Synthèse!D5+Synthèse!D12</f>
        <v>6.983131292283888</v>
      </c>
      <c r="E85">
        <f>Synthèse!E10+Synthèse!E7+Synthèse!E8+Synthèse!E5+Synthèse!E12</f>
        <v>7.7984345759258318</v>
      </c>
      <c r="F85">
        <f>Synthèse!F10+Synthèse!F7+Synthèse!F8+Synthèse!F5+Synthèse!F12</f>
        <v>8.6137378595677756</v>
      </c>
      <c r="G85">
        <f>Synthèse!G10+Synthèse!G7+Synthèse!G8+Synthèse!G5+Synthèse!G12</f>
        <v>9.4290411432097194</v>
      </c>
      <c r="H85">
        <f>Synthèse!H10+Synthèse!H7+Synthèse!H8+Synthèse!H5+Synthèse!H12</f>
        <v>10.244344426851667</v>
      </c>
      <c r="I85">
        <f>Synthèse!I10+Synthèse!I7+Synthèse!I8+Synthèse!I5+Synthèse!I12</f>
        <v>11.059647710493614</v>
      </c>
      <c r="J85">
        <f>Synthèse!J10+Synthèse!J7+Synthèse!J8+Synthèse!J5+Synthèse!J12</f>
        <v>11.874950994135563</v>
      </c>
      <c r="K85">
        <f>Synthèse!K10+Synthèse!K7+Synthèse!K8+Synthèse!K5+Synthèse!K12</f>
        <v>12.690254277777512</v>
      </c>
      <c r="L85">
        <f>Synthèse!L10+Synthèse!L7+Synthèse!L8+Synthèse!L5+Synthèse!L12</f>
        <v>13.505557561419463</v>
      </c>
      <c r="M85">
        <f>Synthèse!M10+Synthèse!M7+Synthèse!M8+Synthèse!M5+Synthèse!M12</f>
        <v>14.320860845061416</v>
      </c>
      <c r="N85">
        <f>Synthèse!N10+Synthèse!N7+Synthèse!N8+Synthèse!N5+Synthèse!N12</f>
        <v>15.136164128703371</v>
      </c>
      <c r="O85">
        <f>Synthèse!O10+Synthèse!O7+Synthèse!O8+Synthèse!O5+Synthèse!O12</f>
        <v>15.951467412345323</v>
      </c>
      <c r="P85">
        <f>Synthèse!P10+Synthèse!P7+Synthèse!P8+Synthèse!P5+Synthèse!P12</f>
        <v>16.766770695987283</v>
      </c>
      <c r="Q85">
        <f>Synthèse!Q10+Synthèse!Q7+Synthèse!Q8+Synthèse!Q5+Synthèse!Q12</f>
        <v>17.582073979629243</v>
      </c>
      <c r="R85">
        <f>Synthèse!R10+Synthèse!R7+Synthèse!R8+Synthèse!R5+Synthèse!R12</f>
        <v>18.397377263271203</v>
      </c>
      <c r="S85">
        <f>Synthèse!S10+Synthèse!S7+Synthèse!S8+Synthèse!S5+Synthèse!S12</f>
        <v>19.212680546913163</v>
      </c>
      <c r="T85">
        <f>Synthèse!T10+Synthèse!T7+Synthèse!T8+Synthèse!T5+Synthèse!T12</f>
        <v>20.027983830555129</v>
      </c>
      <c r="U85">
        <f>Synthèse!U10+Synthèse!U7+Synthèse!U8+Synthèse!U5+Synthèse!U12</f>
        <v>20.843287114197096</v>
      </c>
      <c r="V85">
        <f>Synthèse!V10+Synthèse!V7+Synthèse!V8+Synthèse!V5+Synthèse!V12</f>
        <v>21.658590397839063</v>
      </c>
      <c r="W85">
        <f>Synthèse!W10+Synthèse!W7+Synthèse!W8+Synthèse!W5+Synthèse!W12</f>
        <v>22.473893681481037</v>
      </c>
      <c r="X85">
        <f>Synthèse!X10+Synthèse!X7+Synthèse!X8+Synthèse!X5+Synthèse!X12</f>
        <v>23.289196965123008</v>
      </c>
      <c r="Y85">
        <f>Synthèse!Y10+Synthèse!Y7+Synthèse!Y8+Synthèse!Y5+Synthèse!Y12</f>
        <v>24.104500248764982</v>
      </c>
      <c r="Z85">
        <f>Synthèse!Z10+Synthèse!Z7+Synthèse!Z8+Synthèse!Z5+Synthèse!Z12</f>
        <v>24.919803532406959</v>
      </c>
      <c r="AA85">
        <f>Synthèse!AA10+Synthèse!AA7+Synthèse!AA8+Synthèse!AA5+Synthèse!AA12</f>
        <v>25.735106816048933</v>
      </c>
      <c r="AB85">
        <f>Synthèse!AB10+Synthèse!AB7+Synthèse!AB8+Synthèse!AB5+Synthèse!AB12</f>
        <v>26.550410099690918</v>
      </c>
      <c r="AC85">
        <f>Synthèse!AC10+Synthèse!AC7+Synthèse!AC8+Synthèse!AC5+Synthèse!AC12</f>
        <v>27.365713383332899</v>
      </c>
      <c r="AD85">
        <f>Synthèse!AD10+Synthèse!AD7+Synthèse!AD8+Synthèse!AD5+Synthèse!AD12</f>
        <v>28.181016666974891</v>
      </c>
      <c r="AE85">
        <f>Synthèse!AE10+Synthèse!AE7+Synthèse!AE8+Synthèse!AE5+Synthèse!AE12</f>
        <v>28.996319950616876</v>
      </c>
      <c r="AF85">
        <f>Synthèse!AF10+Synthèse!AF7+Synthèse!AF8+Synthèse!AF5+Synthèse!AF12</f>
        <v>29.811623234258867</v>
      </c>
      <c r="AG85">
        <f>Synthèse!AG10+Synthèse!AG7+Synthèse!AG8+Synthèse!AG5+Synthèse!AG12</f>
        <v>30.626926517900866</v>
      </c>
      <c r="AH85">
        <f>Synthèse!AH10+Synthèse!AH7+Synthèse!AH8+Synthèse!AH5+Synthèse!AH12</f>
        <v>31.442229801542862</v>
      </c>
      <c r="AI85">
        <f>Synthèse!AI10+Synthèse!AI7+Synthèse!AI8+Synthèse!AI5+Synthèse!AI12</f>
        <v>32.257533085184868</v>
      </c>
      <c r="AJ85">
        <f>Synthèse!AJ10+Synthèse!AJ7+Synthèse!AJ8+Synthèse!AJ5+Synthèse!AJ12</f>
        <v>33.07283636882687</v>
      </c>
      <c r="AK85">
        <f>Synthèse!AK10+Synthèse!AK7+Synthèse!AK8+Synthèse!AK5+Synthèse!AK12</f>
        <v>33.888139652468887</v>
      </c>
      <c r="AL85">
        <f>Synthèse!AL10+Synthèse!AL7+Synthèse!AL8+Synthèse!AL5+Synthèse!AL12</f>
        <v>34.703442936110896</v>
      </c>
      <c r="AM85">
        <f>Synthèse!AM10+Synthèse!AM7+Synthèse!AM8+Synthèse!AM5+Synthèse!AM12</f>
        <v>35.518746219752913</v>
      </c>
    </row>
    <row r="86" spans="1:39" x14ac:dyDescent="0.25">
      <c r="A86" s="148" t="s">
        <v>225</v>
      </c>
      <c r="B86">
        <f>Synthèse!B13+Synthèse!B14+Synthèse!B15+Synthèse!B16</f>
        <v>448.4</v>
      </c>
      <c r="C86">
        <f>Synthèse!C13+Synthèse!C14+Synthèse!C15+Synthèse!C16</f>
        <v>436.2810810810816</v>
      </c>
      <c r="D86">
        <f>Synthèse!D13+Synthèse!D14+Synthèse!D15+Synthèse!D16</f>
        <v>424.16216216216321</v>
      </c>
      <c r="E86">
        <f>Synthèse!E13+Synthèse!E14+Synthèse!E15+Synthèse!E16</f>
        <v>412.04324324324477</v>
      </c>
      <c r="F86">
        <f>Synthèse!F13+Synthèse!F14+Synthèse!F15+Synthèse!F16</f>
        <v>399.92432432432628</v>
      </c>
      <c r="G86">
        <f>Synthèse!G13+Synthèse!G14+Synthèse!G15+Synthèse!G16</f>
        <v>387.80540540540778</v>
      </c>
      <c r="H86">
        <f>Synthèse!H13+Synthèse!H14+Synthèse!H15+Synthèse!H16</f>
        <v>375.68648648648923</v>
      </c>
      <c r="I86">
        <f>Synthèse!I13+Synthèse!I14+Synthèse!I15+Synthèse!I16</f>
        <v>363.56756756757068</v>
      </c>
      <c r="J86">
        <f>Synthèse!J13+Synthèse!J14+Synthèse!J15+Synthèse!J16</f>
        <v>351.44864864865195</v>
      </c>
      <c r="K86">
        <f>Synthèse!K13+Synthèse!K14+Synthèse!K15+Synthèse!K16</f>
        <v>339.32972972973329</v>
      </c>
      <c r="L86">
        <f>Synthèse!L13+Synthèse!L14+Synthèse!L15+Synthèse!L16</f>
        <v>327.21081081081462</v>
      </c>
      <c r="M86">
        <f>Synthèse!M13+Synthèse!M14+Synthèse!M15+Synthèse!M16</f>
        <v>315.09189189189584</v>
      </c>
      <c r="N86">
        <f>Synthèse!N13+Synthèse!N14+Synthèse!N15+Synthèse!N16</f>
        <v>302.97297297297706</v>
      </c>
      <c r="O86">
        <f>Synthèse!O13+Synthèse!O14+Synthèse!O15+Synthèse!O16</f>
        <v>290.85405405405822</v>
      </c>
      <c r="P86">
        <f>Synthèse!P13+Synthèse!P14+Synthèse!P15+Synthèse!P16</f>
        <v>278.73513513513927</v>
      </c>
      <c r="Q86">
        <f>Synthèse!Q13+Synthèse!Q14+Synthèse!Q15+Synthèse!Q16</f>
        <v>266.61621621622038</v>
      </c>
      <c r="R86">
        <f>Synthèse!R13+Synthèse!R14+Synthèse!R15+Synthèse!R16</f>
        <v>254.49729729730146</v>
      </c>
      <c r="S86">
        <f>Synthèse!S13+Synthèse!S14+Synthèse!S15+Synthèse!S16</f>
        <v>242.37837837838251</v>
      </c>
      <c r="T86">
        <f>Synthèse!T13+Synthèse!T14+Synthèse!T15+Synthèse!T16</f>
        <v>230.25945945946353</v>
      </c>
      <c r="U86">
        <f>Synthèse!U13+Synthèse!U14+Synthèse!U15+Synthèse!U16</f>
        <v>218.14054054054455</v>
      </c>
      <c r="V86">
        <f>Synthèse!V13+Synthèse!V14+Synthèse!V15+Synthèse!V16</f>
        <v>206.02162162162554</v>
      </c>
      <c r="W86">
        <f>Synthèse!W13+Synthèse!W14+Synthèse!W15+Synthèse!W16</f>
        <v>193.90270270270651</v>
      </c>
      <c r="X86">
        <f>Synthèse!X13+Synthèse!X14+Synthèse!X15+Synthèse!X16</f>
        <v>181.78378378378744</v>
      </c>
      <c r="Y86">
        <f>Synthèse!Y13+Synthèse!Y14+Synthèse!Y15+Synthèse!Y16</f>
        <v>169.66486486486838</v>
      </c>
      <c r="Z86">
        <f>Synthèse!Z13+Synthèse!Z14+Synthèse!Z15+Synthèse!Z16</f>
        <v>157.54594594594928</v>
      </c>
      <c r="AA86">
        <f>Synthèse!AA13+Synthèse!AA14+Synthèse!AA15+Synthèse!AA16</f>
        <v>145.42702702703016</v>
      </c>
      <c r="AB86">
        <f>Synthèse!AB13+Synthèse!AB14+Synthèse!AB15+Synthèse!AB16</f>
        <v>133.30810810811101</v>
      </c>
      <c r="AC86">
        <f>Synthèse!AC13+Synthèse!AC14+Synthèse!AC15+Synthèse!AC16</f>
        <v>121.18918918919188</v>
      </c>
      <c r="AD86">
        <f>Synthèse!AD13+Synthèse!AD14+Synthèse!AD15+Synthèse!AD16</f>
        <v>109.07027027027272</v>
      </c>
      <c r="AE86">
        <f>Synthèse!AE13+Synthèse!AE14+Synthèse!AE15+Synthèse!AE16</f>
        <v>96.951351351353566</v>
      </c>
      <c r="AF86">
        <f>Synthèse!AF13+Synthèse!AF14+Synthèse!AF15+Synthèse!AF16</f>
        <v>84.832432432434402</v>
      </c>
      <c r="AG86">
        <f>Synthèse!AG13+Synthèse!AG14+Synthèse!AG15+Synthèse!AG16</f>
        <v>72.71351351351521</v>
      </c>
      <c r="AH86">
        <f>Synthèse!AH13+Synthèse!AH14+Synthèse!AH15+Synthèse!AH16</f>
        <v>60.594594594596018</v>
      </c>
      <c r="AI86">
        <f>Synthèse!AI13+Synthèse!AI14+Synthèse!AI15+Synthèse!AI16</f>
        <v>48.475675675676818</v>
      </c>
      <c r="AJ86">
        <f>Synthèse!AJ13+Synthèse!AJ14+Synthèse!AJ15+Synthèse!AJ16</f>
        <v>36.356756756757619</v>
      </c>
      <c r="AK86">
        <f>Synthèse!AK13+Synthèse!AK14+Synthèse!AK15+Synthèse!AK16</f>
        <v>24.237837837838416</v>
      </c>
      <c r="AL86">
        <f>Synthèse!AL13+Synthèse!AL14+Synthèse!AL15+Synthèse!AL16</f>
        <v>12.118918918919208</v>
      </c>
      <c r="AM86">
        <f>Synthèse!AM13+Synthèse!AM14+Synthèse!AM15+Synthèse!AM16</f>
        <v>0</v>
      </c>
    </row>
    <row r="87" spans="1:39" x14ac:dyDescent="0.25">
      <c r="A87" t="s">
        <v>223</v>
      </c>
      <c r="B87">
        <f>SUM(B81:B86)</f>
        <v>543.19220472500001</v>
      </c>
      <c r="C87">
        <f t="shared" ref="C87:AK87" si="37">SUM(C81:C86)</f>
        <v>540.41855727375037</v>
      </c>
      <c r="D87">
        <f t="shared" si="37"/>
        <v>537.64490982250084</v>
      </c>
      <c r="E87">
        <f t="shared" si="37"/>
        <v>534.87126237125119</v>
      </c>
      <c r="F87">
        <f t="shared" si="37"/>
        <v>532.09761492000143</v>
      </c>
      <c r="G87">
        <f t="shared" si="37"/>
        <v>531.21029882185155</v>
      </c>
      <c r="H87">
        <f t="shared" si="37"/>
        <v>530.32298272370144</v>
      </c>
      <c r="I87">
        <f t="shared" si="37"/>
        <v>529.43566662555145</v>
      </c>
      <c r="J87">
        <f t="shared" si="37"/>
        <v>528.54835052740134</v>
      </c>
      <c r="K87">
        <f t="shared" si="37"/>
        <v>527.66103442925123</v>
      </c>
      <c r="L87">
        <f t="shared" si="37"/>
        <v>526.77371833110112</v>
      </c>
      <c r="M87">
        <f t="shared" si="37"/>
        <v>525.13186969171102</v>
      </c>
      <c r="N87">
        <f t="shared" si="37"/>
        <v>523.49002105232091</v>
      </c>
      <c r="O87">
        <f t="shared" si="37"/>
        <v>521.84817241293069</v>
      </c>
      <c r="P87">
        <f t="shared" si="37"/>
        <v>520.20632377354036</v>
      </c>
      <c r="Q87">
        <f t="shared" si="37"/>
        <v>518.56447513415014</v>
      </c>
      <c r="R87">
        <f t="shared" si="37"/>
        <v>516.92262649475992</v>
      </c>
      <c r="S87">
        <f t="shared" si="37"/>
        <v>515.28077785536971</v>
      </c>
      <c r="T87">
        <f t="shared" si="37"/>
        <v>513.63892921597949</v>
      </c>
      <c r="U87">
        <f t="shared" si="37"/>
        <v>511.99708057658927</v>
      </c>
      <c r="V87">
        <f t="shared" si="37"/>
        <v>510.35523193719905</v>
      </c>
      <c r="W87">
        <f t="shared" si="37"/>
        <v>508.71338329780878</v>
      </c>
      <c r="X87">
        <f t="shared" si="37"/>
        <v>507.07153465841844</v>
      </c>
      <c r="Y87">
        <f t="shared" si="37"/>
        <v>505.42968601902822</v>
      </c>
      <c r="Z87">
        <f t="shared" si="37"/>
        <v>503.78783737963795</v>
      </c>
      <c r="AA87">
        <f t="shared" si="37"/>
        <v>502.14598874024762</v>
      </c>
      <c r="AB87">
        <f t="shared" si="37"/>
        <v>500.5041401008574</v>
      </c>
      <c r="AC87">
        <f t="shared" si="37"/>
        <v>498.86229146146718</v>
      </c>
      <c r="AD87">
        <f t="shared" si="37"/>
        <v>497.22044282207696</v>
      </c>
      <c r="AE87">
        <f t="shared" si="37"/>
        <v>497.71461098457564</v>
      </c>
      <c r="AF87">
        <f t="shared" si="37"/>
        <v>498.20877914707432</v>
      </c>
      <c r="AG87">
        <f t="shared" si="37"/>
        <v>498.70294730957301</v>
      </c>
      <c r="AH87">
        <f t="shared" si="37"/>
        <v>499.19711547207174</v>
      </c>
      <c r="AI87">
        <f t="shared" si="37"/>
        <v>499.6912836345706</v>
      </c>
      <c r="AJ87">
        <f t="shared" si="37"/>
        <v>500.18545179706939</v>
      </c>
      <c r="AK87">
        <f t="shared" si="37"/>
        <v>500.67961995956824</v>
      </c>
      <c r="AL87">
        <f>SUM(AL81:AL86)</f>
        <v>501.17378812206704</v>
      </c>
      <c r="AM87">
        <f t="shared" ref="AM87" si="38">SUM(AM81:AM86)</f>
        <v>501.66795628456583</v>
      </c>
    </row>
    <row r="90" spans="1:39" x14ac:dyDescent="0.25">
      <c r="A90" t="s">
        <v>224</v>
      </c>
      <c r="B90">
        <f>B80</f>
        <v>2013</v>
      </c>
      <c r="C90">
        <f t="shared" ref="C90:AM90" si="39">C80</f>
        <v>2014</v>
      </c>
      <c r="D90">
        <f t="shared" si="39"/>
        <v>2015</v>
      </c>
      <c r="E90">
        <f t="shared" si="39"/>
        <v>2016</v>
      </c>
      <c r="F90">
        <f t="shared" si="39"/>
        <v>2017</v>
      </c>
      <c r="G90">
        <f t="shared" si="39"/>
        <v>2018</v>
      </c>
      <c r="H90">
        <f t="shared" si="39"/>
        <v>2019</v>
      </c>
      <c r="I90">
        <f t="shared" si="39"/>
        <v>2020</v>
      </c>
      <c r="J90">
        <f t="shared" si="39"/>
        <v>2021</v>
      </c>
      <c r="K90">
        <f t="shared" si="39"/>
        <v>2022</v>
      </c>
      <c r="L90">
        <f t="shared" si="39"/>
        <v>2023</v>
      </c>
      <c r="M90">
        <f t="shared" si="39"/>
        <v>2024</v>
      </c>
      <c r="N90">
        <f t="shared" si="39"/>
        <v>2025</v>
      </c>
      <c r="O90">
        <f t="shared" si="39"/>
        <v>2026</v>
      </c>
      <c r="P90">
        <f t="shared" si="39"/>
        <v>2027</v>
      </c>
      <c r="Q90">
        <f t="shared" si="39"/>
        <v>2028</v>
      </c>
      <c r="R90">
        <f t="shared" si="39"/>
        <v>2029</v>
      </c>
      <c r="S90">
        <f t="shared" si="39"/>
        <v>2030</v>
      </c>
      <c r="T90">
        <f t="shared" si="39"/>
        <v>2031</v>
      </c>
      <c r="U90">
        <f t="shared" si="39"/>
        <v>2032</v>
      </c>
      <c r="V90">
        <f t="shared" si="39"/>
        <v>2033</v>
      </c>
      <c r="W90">
        <f t="shared" si="39"/>
        <v>2034</v>
      </c>
      <c r="X90">
        <f t="shared" si="39"/>
        <v>2035</v>
      </c>
      <c r="Y90">
        <f t="shared" si="39"/>
        <v>2036</v>
      </c>
      <c r="Z90">
        <f t="shared" si="39"/>
        <v>2037</v>
      </c>
      <c r="AA90">
        <f t="shared" si="39"/>
        <v>2038</v>
      </c>
      <c r="AB90">
        <f t="shared" si="39"/>
        <v>2039</v>
      </c>
      <c r="AC90">
        <f t="shared" si="39"/>
        <v>2040</v>
      </c>
      <c r="AD90">
        <f t="shared" si="39"/>
        <v>2041</v>
      </c>
      <c r="AE90">
        <f t="shared" si="39"/>
        <v>2042</v>
      </c>
      <c r="AF90">
        <f t="shared" si="39"/>
        <v>2043</v>
      </c>
      <c r="AG90">
        <f t="shared" si="39"/>
        <v>2044</v>
      </c>
      <c r="AH90">
        <f t="shared" si="39"/>
        <v>2045</v>
      </c>
      <c r="AI90">
        <f t="shared" si="39"/>
        <v>2046</v>
      </c>
      <c r="AJ90">
        <f t="shared" si="39"/>
        <v>2047</v>
      </c>
      <c r="AK90">
        <f t="shared" si="39"/>
        <v>2048</v>
      </c>
      <c r="AL90">
        <f t="shared" si="39"/>
        <v>2049</v>
      </c>
      <c r="AM90">
        <f t="shared" si="39"/>
        <v>2050</v>
      </c>
    </row>
    <row r="91" spans="1:39" x14ac:dyDescent="0.25">
      <c r="A91" t="s">
        <v>215</v>
      </c>
      <c r="B91" s="81">
        <f t="shared" ref="B91:AM91" si="40">B81/B$87</f>
        <v>0</v>
      </c>
      <c r="C91" s="81">
        <f t="shared" si="40"/>
        <v>0</v>
      </c>
      <c r="D91" s="81">
        <f t="shared" si="40"/>
        <v>0</v>
      </c>
      <c r="E91" s="81">
        <f t="shared" si="40"/>
        <v>0</v>
      </c>
      <c r="F91" s="81">
        <f t="shared" si="40"/>
        <v>0</v>
      </c>
      <c r="G91" s="81">
        <f t="shared" si="40"/>
        <v>0</v>
      </c>
      <c r="H91" s="81">
        <f t="shared" si="40"/>
        <v>0</v>
      </c>
      <c r="I91" s="81">
        <f t="shared" si="40"/>
        <v>0</v>
      </c>
      <c r="J91" s="81">
        <f t="shared" si="40"/>
        <v>0</v>
      </c>
      <c r="K91" s="81">
        <f t="shared" si="40"/>
        <v>0</v>
      </c>
      <c r="L91" s="81">
        <f t="shared" si="40"/>
        <v>0</v>
      </c>
      <c r="M91" s="81">
        <f t="shared" si="40"/>
        <v>0</v>
      </c>
      <c r="N91" s="81">
        <f t="shared" si="40"/>
        <v>0</v>
      </c>
      <c r="O91" s="81">
        <f t="shared" si="40"/>
        <v>0</v>
      </c>
      <c r="P91" s="81">
        <f t="shared" si="40"/>
        <v>0</v>
      </c>
      <c r="Q91" s="81">
        <f t="shared" si="40"/>
        <v>0</v>
      </c>
      <c r="R91" s="81">
        <f t="shared" si="40"/>
        <v>0</v>
      </c>
      <c r="S91" s="81">
        <f t="shared" si="40"/>
        <v>0</v>
      </c>
      <c r="T91" s="81">
        <f t="shared" si="40"/>
        <v>0</v>
      </c>
      <c r="U91" s="81">
        <f t="shared" si="40"/>
        <v>0</v>
      </c>
      <c r="V91" s="81">
        <f t="shared" si="40"/>
        <v>0</v>
      </c>
      <c r="W91" s="81">
        <f t="shared" si="40"/>
        <v>0</v>
      </c>
      <c r="X91" s="81">
        <f t="shared" si="40"/>
        <v>0</v>
      </c>
      <c r="Y91" s="81">
        <f t="shared" si="40"/>
        <v>0</v>
      </c>
      <c r="Z91" s="81">
        <f t="shared" si="40"/>
        <v>0</v>
      </c>
      <c r="AA91" s="81">
        <f t="shared" si="40"/>
        <v>0</v>
      </c>
      <c r="AB91" s="81">
        <f t="shared" si="40"/>
        <v>0</v>
      </c>
      <c r="AC91" s="81">
        <f t="shared" si="40"/>
        <v>0</v>
      </c>
      <c r="AD91" s="81">
        <f t="shared" si="40"/>
        <v>0</v>
      </c>
      <c r="AE91" s="81">
        <f t="shared" si="40"/>
        <v>4.291649782318897E-3</v>
      </c>
      <c r="AF91" s="81">
        <f t="shared" si="40"/>
        <v>8.5747858781040198E-3</v>
      </c>
      <c r="AG91" s="81">
        <f t="shared" si="40"/>
        <v>1.2849433596166072E-2</v>
      </c>
      <c r="AH91" s="81">
        <f t="shared" si="40"/>
        <v>1.7115618145100368E-2</v>
      </c>
      <c r="AI91" s="81">
        <f t="shared" si="40"/>
        <v>2.1373364633782366E-2</v>
      </c>
      <c r="AJ91" s="81">
        <f t="shared" si="40"/>
        <v>2.5622698071860277E-2</v>
      </c>
      <c r="AK91" s="81">
        <f t="shared" si="40"/>
        <v>2.986364337024475E-2</v>
      </c>
      <c r="AL91" s="81">
        <f t="shared" si="40"/>
        <v>3.4096225341595648E-2</v>
      </c>
      <c r="AM91" s="81">
        <f t="shared" si="40"/>
        <v>3.8320468700805965E-2</v>
      </c>
    </row>
    <row r="92" spans="1:39" x14ac:dyDescent="0.25">
      <c r="A92" t="s">
        <v>212</v>
      </c>
      <c r="B92" s="81">
        <f>B82/B$87</f>
        <v>2.9271406809031137E-2</v>
      </c>
      <c r="C92" s="81">
        <f t="shared" ref="C92:AM92" si="41">C82/C$87</f>
        <v>4.1690115740063718E-2</v>
      </c>
      <c r="D92" s="81">
        <f t="shared" si="41"/>
        <v>5.4236958016153872E-2</v>
      </c>
      <c r="E92" s="81">
        <f t="shared" si="41"/>
        <v>6.6913926995802675E-2</v>
      </c>
      <c r="F92" s="81">
        <f t="shared" si="41"/>
        <v>7.9723057600364106E-2</v>
      </c>
      <c r="G92" s="81">
        <f t="shared" si="41"/>
        <v>9.5888375037485291E-2</v>
      </c>
      <c r="H92" s="81">
        <f t="shared" si="41"/>
        <v>0.11210778685429941</v>
      </c>
      <c r="I92" s="81">
        <f t="shared" si="41"/>
        <v>0.12838156503180589</v>
      </c>
      <c r="J92" s="81">
        <f t="shared" si="41"/>
        <v>0.14470998337738866</v>
      </c>
      <c r="K92" s="81">
        <f t="shared" si="41"/>
        <v>0.16109331754017231</v>
      </c>
      <c r="L92" s="81">
        <f t="shared" si="41"/>
        <v>0.17753184502653357</v>
      </c>
      <c r="M92" s="81">
        <f t="shared" si="41"/>
        <v>0.19286778614093206</v>
      </c>
      <c r="N92" s="81">
        <f t="shared" si="41"/>
        <v>0.20829992505486769</v>
      </c>
      <c r="O92" s="81">
        <f t="shared" si="41"/>
        <v>0.22382916974637684</v>
      </c>
      <c r="P92" s="81">
        <f t="shared" si="41"/>
        <v>0.23945643965635158</v>
      </c>
      <c r="Q92" s="81">
        <f t="shared" si="41"/>
        <v>0.25518266587000454</v>
      </c>
      <c r="R92" s="81">
        <f t="shared" si="41"/>
        <v>0.27100879130179284</v>
      </c>
      <c r="S92" s="81">
        <f t="shared" si="41"/>
        <v>0.28693577088387623</v>
      </c>
      <c r="T92" s="81">
        <f t="shared" si="41"/>
        <v>0.30296457175819058</v>
      </c>
      <c r="U92" s="81">
        <f t="shared" si="41"/>
        <v>0.31909617347221658</v>
      </c>
      <c r="V92" s="81">
        <f t="shared" si="41"/>
        <v>0.33533156817852677</v>
      </c>
      <c r="W92" s="81">
        <f t="shared" si="41"/>
        <v>0.35167176083819823</v>
      </c>
      <c r="X92" s="81">
        <f t="shared" si="41"/>
        <v>0.36811776942817537</v>
      </c>
      <c r="Y92" s="81">
        <f t="shared" si="41"/>
        <v>0.38467062515267475</v>
      </c>
      <c r="Z92" s="81">
        <f t="shared" si="41"/>
        <v>0.40133137265872526</v>
      </c>
      <c r="AA92" s="81">
        <f t="shared" si="41"/>
        <v>0.41810107025593418</v>
      </c>
      <c r="AB92" s="81">
        <f t="shared" si="41"/>
        <v>0.43498079014058078</v>
      </c>
      <c r="AC92" s="81">
        <f t="shared" si="41"/>
        <v>0.45197161862413437</v>
      </c>
      <c r="AD92" s="81">
        <f t="shared" si="41"/>
        <v>0.46907465636629975</v>
      </c>
      <c r="AE92" s="81">
        <f t="shared" si="41"/>
        <v>0.48420402786852246</v>
      </c>
      <c r="AF92" s="81">
        <f t="shared" si="41"/>
        <v>0.49930338603485896</v>
      </c>
      <c r="AG92" s="81">
        <f t="shared" si="41"/>
        <v>0.51437282008656893</v>
      </c>
      <c r="AH92" s="81">
        <f t="shared" si="41"/>
        <v>0.52941241889162194</v>
      </c>
      <c r="AI92" s="81">
        <f t="shared" si="41"/>
        <v>0.54442227096644535</v>
      </c>
      <c r="AJ92" s="81">
        <f t="shared" si="41"/>
        <v>0.55940246447765996</v>
      </c>
      <c r="AK92" s="81">
        <f t="shared" si="41"/>
        <v>0.57435308724380629</v>
      </c>
      <c r="AL92" s="81">
        <f t="shared" si="41"/>
        <v>0.58927422673706153</v>
      </c>
      <c r="AM92" s="81">
        <f t="shared" si="41"/>
        <v>0.60416597008494455</v>
      </c>
    </row>
    <row r="93" spans="1:39" x14ac:dyDescent="0.25">
      <c r="A93" t="s">
        <v>213</v>
      </c>
      <c r="B93" s="81">
        <f>B83/B$87</f>
        <v>8.4684573158203286E-3</v>
      </c>
      <c r="C93" s="81">
        <f t="shared" ref="C93:AM93" si="42">C83/C$87</f>
        <v>1.2387045943643009E-2</v>
      </c>
      <c r="D93" s="81">
        <f t="shared" si="42"/>
        <v>1.6346065655854246E-2</v>
      </c>
      <c r="E93" s="81">
        <f t="shared" si="42"/>
        <v>2.0346145435063807E-2</v>
      </c>
      <c r="F93" s="81">
        <f t="shared" si="42"/>
        <v>2.4387927378587981E-2</v>
      </c>
      <c r="G93" s="81">
        <f t="shared" si="42"/>
        <v>2.8370962539998358E-2</v>
      </c>
      <c r="H93" s="81">
        <f t="shared" si="42"/>
        <v>3.2367326225094702E-2</v>
      </c>
      <c r="I93" s="81">
        <f t="shared" si="42"/>
        <v>3.6377085448328655E-2</v>
      </c>
      <c r="J93" s="81">
        <f t="shared" si="42"/>
        <v>4.0400307674161841E-2</v>
      </c>
      <c r="K93" s="81">
        <f t="shared" si="42"/>
        <v>4.4437060820849465E-2</v>
      </c>
      <c r="L93" s="81">
        <f t="shared" si="42"/>
        <v>4.8487413264262313E-2</v>
      </c>
      <c r="M93" s="81">
        <f t="shared" si="42"/>
        <v>5.2626942050658147E-2</v>
      </c>
      <c r="N93" s="81">
        <f t="shared" si="42"/>
        <v>5.6792436870530608E-2</v>
      </c>
      <c r="O93" s="81">
        <f t="shared" si="42"/>
        <v>6.0984142808363971E-2</v>
      </c>
      <c r="P93" s="81">
        <f t="shared" si="42"/>
        <v>6.5202308042735052E-2</v>
      </c>
      <c r="Q93" s="81">
        <f t="shared" si="42"/>
        <v>6.9447183895294876E-2</v>
      </c>
      <c r="R93" s="81">
        <f t="shared" si="42"/>
        <v>7.3719024880683812E-2</v>
      </c>
      <c r="S93" s="81">
        <f t="shared" si="42"/>
        <v>7.8018088757401044E-2</v>
      </c>
      <c r="T93" s="81">
        <f t="shared" si="42"/>
        <v>8.2344636579649494E-2</v>
      </c>
      <c r="U93" s="81">
        <f t="shared" si="42"/>
        <v>8.669893275017844E-2</v>
      </c>
      <c r="V93" s="81">
        <f t="shared" si="42"/>
        <v>9.1081245074146042E-2</v>
      </c>
      <c r="W93" s="81">
        <f t="shared" si="42"/>
        <v>9.5491844814024937E-2</v>
      </c>
      <c r="X93" s="81">
        <f t="shared" si="42"/>
        <v>9.993100674557448E-2</v>
      </c>
      <c r="Y93" s="81">
        <f t="shared" si="42"/>
        <v>0.10439900921490386</v>
      </c>
      <c r="Z93" s="81">
        <f t="shared" si="42"/>
        <v>0.10889613419665127</v>
      </c>
      <c r="AA93" s="81">
        <f t="shared" si="42"/>
        <v>0.11342266735330406</v>
      </c>
      <c r="AB93" s="81">
        <f t="shared" si="42"/>
        <v>0.11797889809568672</v>
      </c>
      <c r="AC93" s="81">
        <f t="shared" si="42"/>
        <v>0.12256511964464334</v>
      </c>
      <c r="AD93" s="81">
        <f t="shared" si="42"/>
        <v>0.12718162909394196</v>
      </c>
      <c r="AE93" s="81">
        <f t="shared" si="42"/>
        <v>0.13126296474486043</v>
      </c>
      <c r="AF93" s="81">
        <f t="shared" si="42"/>
        <v>0.13533620392609164</v>
      </c>
      <c r="AG93" s="81">
        <f t="shared" si="42"/>
        <v>0.13940137070617714</v>
      </c>
      <c r="AH93" s="81">
        <f t="shared" si="42"/>
        <v>0.14345848905835434</v>
      </c>
      <c r="AI93" s="81">
        <f t="shared" si="42"/>
        <v>0.14750758286102744</v>
      </c>
      <c r="AJ93" s="81">
        <f t="shared" si="42"/>
        <v>0.15154867589823626</v>
      </c>
      <c r="AK93" s="81">
        <f t="shared" si="42"/>
        <v>0.15558179186012155</v>
      </c>
      <c r="AL93" s="81">
        <f t="shared" si="42"/>
        <v>0.15960695434338823</v>
      </c>
      <c r="AM93" s="81">
        <f t="shared" si="42"/>
        <v>0.16362418685176536</v>
      </c>
    </row>
    <row r="94" spans="1:39" x14ac:dyDescent="0.25">
      <c r="A94" t="s">
        <v>214</v>
      </c>
      <c r="B94" s="81">
        <f>B84/B$87</f>
        <v>0.12691581248832881</v>
      </c>
      <c r="C94" s="81">
        <f t="shared" ref="C94:AM94" si="43">C84/C$87</f>
        <v>0.12720759781503138</v>
      </c>
      <c r="D94" s="81">
        <f t="shared" si="43"/>
        <v>0.12750239371474573</v>
      </c>
      <c r="E94" s="81">
        <f t="shared" si="43"/>
        <v>0.12780024702267551</v>
      </c>
      <c r="F94" s="81">
        <f t="shared" si="43"/>
        <v>0.12810120555056953</v>
      </c>
      <c r="G94" s="81">
        <f t="shared" si="43"/>
        <v>0.12794934996184548</v>
      </c>
      <c r="H94" s="81">
        <f t="shared" si="43"/>
        <v>0.12779698621521443</v>
      </c>
      <c r="I94" s="81">
        <f t="shared" si="43"/>
        <v>0.12764411175571047</v>
      </c>
      <c r="J94" s="81">
        <f t="shared" si="43"/>
        <v>0.12749072401121081</v>
      </c>
      <c r="K94" s="81">
        <f t="shared" si="43"/>
        <v>0.12733682039229147</v>
      </c>
      <c r="L94" s="81">
        <f t="shared" si="43"/>
        <v>0.12718239829208167</v>
      </c>
      <c r="M94" s="81">
        <f t="shared" si="43"/>
        <v>0.12720997371434156</v>
      </c>
      <c r="N94" s="81">
        <f t="shared" si="43"/>
        <v>0.12723772210902762</v>
      </c>
      <c r="O94" s="81">
        <f t="shared" si="43"/>
        <v>0.12726564510876728</v>
      </c>
      <c r="P94" s="81">
        <f t="shared" si="43"/>
        <v>0.12729374436679927</v>
      </c>
      <c r="Q94" s="81">
        <f t="shared" si="43"/>
        <v>0.12732202155729971</v>
      </c>
      <c r="R94" s="81">
        <f t="shared" si="43"/>
        <v>0.12735047837571489</v>
      </c>
      <c r="S94" s="81">
        <f t="shared" si="43"/>
        <v>0.12737911653910008</v>
      </c>
      <c r="T94" s="81">
        <f t="shared" si="43"/>
        <v>0.1274079377864647</v>
      </c>
      <c r="U94" s="81">
        <f t="shared" si="43"/>
        <v>0.1274369438791246</v>
      </c>
      <c r="V94" s="81">
        <f t="shared" si="43"/>
        <v>0.12746613660106065</v>
      </c>
      <c r="W94" s="81">
        <f t="shared" si="43"/>
        <v>0.12749551775928467</v>
      </c>
      <c r="X94" s="81">
        <f t="shared" si="43"/>
        <v>0.1275250891842121</v>
      </c>
      <c r="Y94" s="81">
        <f t="shared" si="43"/>
        <v>0.12755485273004227</v>
      </c>
      <c r="Z94" s="81">
        <f t="shared" si="43"/>
        <v>0.12758481027514593</v>
      </c>
      <c r="AA94" s="81">
        <f t="shared" si="43"/>
        <v>0.12761496372246039</v>
      </c>
      <c r="AB94" s="81">
        <f t="shared" si="43"/>
        <v>0.1276453149998924</v>
      </c>
      <c r="AC94" s="81">
        <f t="shared" si="43"/>
        <v>0.1276758660607292</v>
      </c>
      <c r="AD94" s="81">
        <f t="shared" si="43"/>
        <v>0.12770661888405743</v>
      </c>
      <c r="AE94" s="81">
        <f t="shared" si="43"/>
        <v>0.12718937053720847</v>
      </c>
      <c r="AF94" s="81">
        <f t="shared" si="43"/>
        <v>0.12667314829698711</v>
      </c>
      <c r="AG94" s="81">
        <f t="shared" si="43"/>
        <v>0.12615794911306522</v>
      </c>
      <c r="AH94" s="81">
        <f t="shared" si="43"/>
        <v>0.12564376994719284</v>
      </c>
      <c r="AI94" s="81">
        <f t="shared" si="43"/>
        <v>0.12513060777313886</v>
      </c>
      <c r="AJ94" s="81">
        <f t="shared" si="43"/>
        <v>0.12461845957663141</v>
      </c>
      <c r="AK94" s="81">
        <f t="shared" si="43"/>
        <v>0.12410732235529892</v>
      </c>
      <c r="AL94" s="81">
        <f t="shared" si="43"/>
        <v>0.12359719311861142</v>
      </c>
      <c r="AM94" s="81">
        <f t="shared" si="43"/>
        <v>0.12308806888782224</v>
      </c>
    </row>
    <row r="95" spans="1:39" x14ac:dyDescent="0.25">
      <c r="A95" t="s">
        <v>216</v>
      </c>
      <c r="B95" s="81">
        <f>B85/B$87</f>
        <v>9.8538319925077066E-3</v>
      </c>
      <c r="C95" s="81">
        <f t="shared" ref="C95:AM95" si="44">C85/C$87</f>
        <v>1.1413057389732854E-2</v>
      </c>
      <c r="D95" s="81">
        <f t="shared" si="44"/>
        <v>1.2988370511290273E-2</v>
      </c>
      <c r="E95" s="81">
        <f t="shared" si="44"/>
        <v>1.458002163240728E-2</v>
      </c>
      <c r="F95" s="81">
        <f t="shared" si="44"/>
        <v>1.6188266246716428E-2</v>
      </c>
      <c r="G95" s="81">
        <f t="shared" si="44"/>
        <v>1.7750109823024864E-2</v>
      </c>
      <c r="H95" s="81">
        <f t="shared" si="44"/>
        <v>1.9317179833009381E-2</v>
      </c>
      <c r="I95" s="81">
        <f t="shared" si="44"/>
        <v>2.0889502554643072E-2</v>
      </c>
      <c r="J95" s="81">
        <f t="shared" si="44"/>
        <v>2.2467104442358742E-2</v>
      </c>
      <c r="K95" s="81">
        <f t="shared" si="44"/>
        <v>2.4050012128532527E-2</v>
      </c>
      <c r="L95" s="81">
        <f t="shared" si="44"/>
        <v>2.5638252424982615E-2</v>
      </c>
      <c r="M95" s="81">
        <f t="shared" si="44"/>
        <v>2.7270980246292723E-2</v>
      </c>
      <c r="N95" s="81">
        <f t="shared" si="44"/>
        <v>2.8913949683848063E-2</v>
      </c>
      <c r="O95" s="81">
        <f t="shared" si="44"/>
        <v>3.056725740475175E-2</v>
      </c>
      <c r="P95" s="81">
        <f t="shared" si="44"/>
        <v>3.2231001296490015E-2</v>
      </c>
      <c r="Q95" s="81">
        <f t="shared" si="44"/>
        <v>3.3905280486251674E-2</v>
      </c>
      <c r="R95" s="81">
        <f t="shared" si="44"/>
        <v>3.5590195360615924E-2</v>
      </c>
      <c r="S95" s="81">
        <f t="shared" si="44"/>
        <v>3.7285847585616372E-2</v>
      </c>
      <c r="T95" s="81">
        <f t="shared" si="44"/>
        <v>3.8992340127189974E-2</v>
      </c>
      <c r="U95" s="81">
        <f t="shared" si="44"/>
        <v>4.0709777272019354E-2</v>
      </c>
      <c r="V95" s="81">
        <f t="shared" si="44"/>
        <v>4.2438264648777473E-2</v>
      </c>
      <c r="W95" s="81">
        <f t="shared" si="44"/>
        <v>4.4177909249783723E-2</v>
      </c>
      <c r="X95" s="81">
        <f t="shared" si="44"/>
        <v>4.592881945308061E-2</v>
      </c>
      <c r="Y95" s="81">
        <f t="shared" si="44"/>
        <v>4.7691105044940917E-2</v>
      </c>
      <c r="Z95" s="81">
        <f t="shared" si="44"/>
        <v>4.9464877242814842E-2</v>
      </c>
      <c r="AA95" s="81">
        <f t="shared" si="44"/>
        <v>5.1250248718727312E-2</v>
      </c>
      <c r="AB95" s="81">
        <f t="shared" si="44"/>
        <v>5.3047333623135871E-2</v>
      </c>
      <c r="AC95" s="81">
        <f t="shared" si="44"/>
        <v>5.4856247609259647E-2</v>
      </c>
      <c r="AD95" s="81">
        <f t="shared" si="44"/>
        <v>5.6677107857890416E-2</v>
      </c>
      <c r="AE95" s="81">
        <f t="shared" si="44"/>
        <v>5.8258928531867996E-2</v>
      </c>
      <c r="AF95" s="81">
        <f t="shared" si="44"/>
        <v>5.9837611222539881E-2</v>
      </c>
      <c r="AG95" s="81">
        <f t="shared" si="44"/>
        <v>6.1413165258253445E-2</v>
      </c>
      <c r="AH95" s="81">
        <f t="shared" si="44"/>
        <v>6.2985599930418551E-2</v>
      </c>
      <c r="AI95" s="81">
        <f t="shared" si="44"/>
        <v>6.4554924493690255E-2</v>
      </c>
      <c r="AJ95" s="81">
        <f t="shared" si="44"/>
        <v>6.6121148166150334E-2</v>
      </c>
      <c r="AK95" s="81">
        <f t="shared" si="44"/>
        <v>6.7684280129487753E-2</v>
      </c>
      <c r="AL95" s="81">
        <f t="shared" si="44"/>
        <v>6.9244329529178097E-2</v>
      </c>
      <c r="AM95" s="81">
        <f t="shared" si="44"/>
        <v>7.0801305474661971E-2</v>
      </c>
    </row>
    <row r="96" spans="1:39" x14ac:dyDescent="0.25">
      <c r="A96" s="148" t="s">
        <v>225</v>
      </c>
      <c r="B96" s="81">
        <f>B86/B$87</f>
        <v>0.82549049139431196</v>
      </c>
      <c r="C96" s="81">
        <f t="shared" ref="C96:AM96" si="45">C86/C$87</f>
        <v>0.80730218311152913</v>
      </c>
      <c r="D96" s="81">
        <f t="shared" si="45"/>
        <v>0.78892621210195579</v>
      </c>
      <c r="E96" s="81">
        <f t="shared" si="45"/>
        <v>0.77035965891405067</v>
      </c>
      <c r="F96" s="81">
        <f t="shared" si="45"/>
        <v>0.75159954322376199</v>
      </c>
      <c r="G96" s="81">
        <f t="shared" si="45"/>
        <v>0.73004120263764594</v>
      </c>
      <c r="H96" s="81">
        <f t="shared" si="45"/>
        <v>0.70841072087238222</v>
      </c>
      <c r="I96" s="81">
        <f t="shared" si="45"/>
        <v>0.686707735209512</v>
      </c>
      <c r="J96" s="81">
        <f t="shared" si="45"/>
        <v>0.66493188049487995</v>
      </c>
      <c r="K96" s="81">
        <f t="shared" si="45"/>
        <v>0.6430827891181542</v>
      </c>
      <c r="L96" s="81">
        <f t="shared" si="45"/>
        <v>0.62116009099213987</v>
      </c>
      <c r="M96" s="81">
        <f t="shared" si="45"/>
        <v>0.60002431784777555</v>
      </c>
      <c r="N96" s="81">
        <f t="shared" si="45"/>
        <v>0.57875596628172599</v>
      </c>
      <c r="O96" s="81">
        <f t="shared" si="45"/>
        <v>0.55735378493174015</v>
      </c>
      <c r="P96" s="81">
        <f t="shared" si="45"/>
        <v>0.53581650663762415</v>
      </c>
      <c r="Q96" s="81">
        <f t="shared" si="45"/>
        <v>0.5141428481911493</v>
      </c>
      <c r="R96" s="81">
        <f t="shared" si="45"/>
        <v>0.49233151008119264</v>
      </c>
      <c r="S96" s="81">
        <f t="shared" si="45"/>
        <v>0.47038117623400627</v>
      </c>
      <c r="T96" s="81">
        <f t="shared" si="45"/>
        <v>0.44829051374850515</v>
      </c>
      <c r="U96" s="81">
        <f t="shared" si="45"/>
        <v>0.42605817262646101</v>
      </c>
      <c r="V96" s="81">
        <f t="shared" si="45"/>
        <v>0.40368278549748893</v>
      </c>
      <c r="W96" s="81">
        <f t="shared" si="45"/>
        <v>0.38116296733870836</v>
      </c>
      <c r="X96" s="81">
        <f t="shared" si="45"/>
        <v>0.35849731518895755</v>
      </c>
      <c r="Y96" s="81">
        <f t="shared" si="45"/>
        <v>0.33568440785743814</v>
      </c>
      <c r="Z96" s="81">
        <f t="shared" si="45"/>
        <v>0.31272280562666271</v>
      </c>
      <c r="AA96" s="81">
        <f t="shared" si="45"/>
        <v>0.28961104994957415</v>
      </c>
      <c r="AB96" s="81">
        <f t="shared" si="45"/>
        <v>0.26634766314070424</v>
      </c>
      <c r="AC96" s="81">
        <f t="shared" si="45"/>
        <v>0.24293114806123345</v>
      </c>
      <c r="AD96" s="81">
        <f t="shared" si="45"/>
        <v>0.21935998779781046</v>
      </c>
      <c r="AE96" s="81">
        <f t="shared" si="45"/>
        <v>0.19479305853522175</v>
      </c>
      <c r="AF96" s="81">
        <f t="shared" si="45"/>
        <v>0.17027486464141842</v>
      </c>
      <c r="AG96" s="81">
        <f t="shared" si="45"/>
        <v>0.14580526123976933</v>
      </c>
      <c r="AH96" s="81">
        <f t="shared" si="45"/>
        <v>0.12138410402731196</v>
      </c>
      <c r="AI96" s="81">
        <f t="shared" si="45"/>
        <v>9.7011249271915623E-2</v>
      </c>
      <c r="AJ96" s="81">
        <f t="shared" si="45"/>
        <v>7.2686553809461749E-2</v>
      </c>
      <c r="AK96" s="81">
        <f t="shared" si="45"/>
        <v>4.8409875041040641E-2</v>
      </c>
      <c r="AL96" s="81">
        <f t="shared" si="45"/>
        <v>2.4181070930165041E-2</v>
      </c>
      <c r="AM96" s="81">
        <f t="shared" si="45"/>
        <v>0</v>
      </c>
    </row>
    <row r="97" spans="1:39" x14ac:dyDescent="0.25">
      <c r="A97" t="s">
        <v>100</v>
      </c>
      <c r="B97" s="149">
        <f>SUM(B91:B96)</f>
        <v>1</v>
      </c>
      <c r="C97" s="149">
        <f t="shared" ref="C97:AM97" si="46">SUM(C91:C96)</f>
        <v>1</v>
      </c>
      <c r="D97" s="149">
        <f t="shared" si="46"/>
        <v>0.99999999999999989</v>
      </c>
      <c r="E97" s="149">
        <f t="shared" si="46"/>
        <v>1</v>
      </c>
      <c r="F97" s="149">
        <f t="shared" si="46"/>
        <v>1</v>
      </c>
      <c r="G97" s="149">
        <f t="shared" si="46"/>
        <v>1</v>
      </c>
      <c r="H97" s="149">
        <f t="shared" si="46"/>
        <v>1.0000000000000002</v>
      </c>
      <c r="I97" s="149">
        <f t="shared" si="46"/>
        <v>1</v>
      </c>
      <c r="J97" s="149">
        <f t="shared" si="46"/>
        <v>1</v>
      </c>
      <c r="K97" s="149">
        <f t="shared" si="46"/>
        <v>1</v>
      </c>
      <c r="L97" s="149">
        <f t="shared" si="46"/>
        <v>1</v>
      </c>
      <c r="M97" s="149">
        <f t="shared" si="46"/>
        <v>1</v>
      </c>
      <c r="N97" s="149">
        <f t="shared" si="46"/>
        <v>1</v>
      </c>
      <c r="O97" s="149">
        <f t="shared" si="46"/>
        <v>1</v>
      </c>
      <c r="P97" s="149">
        <f t="shared" si="46"/>
        <v>1</v>
      </c>
      <c r="Q97" s="149">
        <f t="shared" si="46"/>
        <v>1</v>
      </c>
      <c r="R97" s="149">
        <f t="shared" si="46"/>
        <v>1.0000000000000002</v>
      </c>
      <c r="S97" s="149">
        <f t="shared" si="46"/>
        <v>1</v>
      </c>
      <c r="T97" s="149">
        <f t="shared" si="46"/>
        <v>0.99999999999999989</v>
      </c>
      <c r="U97" s="149">
        <f t="shared" si="46"/>
        <v>1</v>
      </c>
      <c r="V97" s="149">
        <f t="shared" si="46"/>
        <v>0.99999999999999989</v>
      </c>
      <c r="W97" s="149">
        <f t="shared" si="46"/>
        <v>0.99999999999999989</v>
      </c>
      <c r="X97" s="149">
        <f t="shared" si="46"/>
        <v>1</v>
      </c>
      <c r="Y97" s="149">
        <f t="shared" si="46"/>
        <v>0.99999999999999989</v>
      </c>
      <c r="Z97" s="149">
        <f t="shared" si="46"/>
        <v>1</v>
      </c>
      <c r="AA97" s="149">
        <f t="shared" si="46"/>
        <v>1</v>
      </c>
      <c r="AB97" s="149">
        <f t="shared" si="46"/>
        <v>1</v>
      </c>
      <c r="AC97" s="149">
        <f t="shared" si="46"/>
        <v>1</v>
      </c>
      <c r="AD97" s="149">
        <f t="shared" si="46"/>
        <v>1</v>
      </c>
      <c r="AE97" s="149">
        <f t="shared" si="46"/>
        <v>1</v>
      </c>
      <c r="AF97" s="149">
        <f t="shared" si="46"/>
        <v>1.0000000000000002</v>
      </c>
      <c r="AG97" s="149">
        <f t="shared" si="46"/>
        <v>1</v>
      </c>
      <c r="AH97" s="149">
        <f t="shared" si="46"/>
        <v>0.99999999999999989</v>
      </c>
      <c r="AI97" s="149">
        <f t="shared" si="46"/>
        <v>0.99999999999999989</v>
      </c>
      <c r="AJ97" s="149">
        <f t="shared" si="46"/>
        <v>1</v>
      </c>
      <c r="AK97" s="149">
        <f t="shared" si="46"/>
        <v>0.99999999999999989</v>
      </c>
      <c r="AL97" s="149">
        <f t="shared" si="46"/>
        <v>1</v>
      </c>
      <c r="AM97" s="149">
        <f t="shared" si="46"/>
        <v>1</v>
      </c>
    </row>
    <row r="99" spans="1:39" x14ac:dyDescent="0.25">
      <c r="A99" s="2" t="s">
        <v>238</v>
      </c>
      <c r="B99">
        <f>0.07</f>
        <v>7.0000000000000007E-2</v>
      </c>
      <c r="C99">
        <f t="shared" ref="C99:AM99" si="47">0.07</f>
        <v>7.0000000000000007E-2</v>
      </c>
      <c r="D99">
        <f t="shared" si="47"/>
        <v>7.0000000000000007E-2</v>
      </c>
      <c r="E99">
        <f t="shared" si="47"/>
        <v>7.0000000000000007E-2</v>
      </c>
      <c r="F99">
        <f t="shared" si="47"/>
        <v>7.0000000000000007E-2</v>
      </c>
      <c r="G99">
        <f t="shared" si="47"/>
        <v>7.0000000000000007E-2</v>
      </c>
      <c r="H99">
        <f t="shared" si="47"/>
        <v>7.0000000000000007E-2</v>
      </c>
      <c r="I99">
        <f t="shared" si="47"/>
        <v>7.0000000000000007E-2</v>
      </c>
      <c r="J99">
        <f t="shared" si="47"/>
        <v>7.0000000000000007E-2</v>
      </c>
      <c r="K99">
        <f t="shared" si="47"/>
        <v>7.0000000000000007E-2</v>
      </c>
      <c r="L99">
        <f t="shared" si="47"/>
        <v>7.0000000000000007E-2</v>
      </c>
      <c r="M99">
        <f t="shared" si="47"/>
        <v>7.0000000000000007E-2</v>
      </c>
      <c r="N99">
        <f t="shared" si="47"/>
        <v>7.0000000000000007E-2</v>
      </c>
      <c r="O99">
        <f t="shared" si="47"/>
        <v>7.0000000000000007E-2</v>
      </c>
      <c r="P99">
        <f t="shared" si="47"/>
        <v>7.0000000000000007E-2</v>
      </c>
      <c r="Q99">
        <f t="shared" si="47"/>
        <v>7.0000000000000007E-2</v>
      </c>
      <c r="R99">
        <f t="shared" si="47"/>
        <v>7.0000000000000007E-2</v>
      </c>
      <c r="S99">
        <f t="shared" si="47"/>
        <v>7.0000000000000007E-2</v>
      </c>
      <c r="T99">
        <f t="shared" si="47"/>
        <v>7.0000000000000007E-2</v>
      </c>
      <c r="U99">
        <f t="shared" si="47"/>
        <v>7.0000000000000007E-2</v>
      </c>
      <c r="V99">
        <f t="shared" si="47"/>
        <v>7.0000000000000007E-2</v>
      </c>
      <c r="W99">
        <f t="shared" si="47"/>
        <v>7.0000000000000007E-2</v>
      </c>
      <c r="X99">
        <f t="shared" si="47"/>
        <v>7.0000000000000007E-2</v>
      </c>
      <c r="Y99">
        <f t="shared" si="47"/>
        <v>7.0000000000000007E-2</v>
      </c>
      <c r="Z99">
        <f t="shared" si="47"/>
        <v>7.0000000000000007E-2</v>
      </c>
      <c r="AA99">
        <f t="shared" si="47"/>
        <v>7.0000000000000007E-2</v>
      </c>
      <c r="AB99">
        <f t="shared" si="47"/>
        <v>7.0000000000000007E-2</v>
      </c>
      <c r="AC99">
        <f t="shared" si="47"/>
        <v>7.0000000000000007E-2</v>
      </c>
      <c r="AD99">
        <f t="shared" si="47"/>
        <v>7.0000000000000007E-2</v>
      </c>
      <c r="AE99">
        <f t="shared" si="47"/>
        <v>7.0000000000000007E-2</v>
      </c>
      <c r="AF99">
        <f t="shared" si="47"/>
        <v>7.0000000000000007E-2</v>
      </c>
      <c r="AG99">
        <f t="shared" si="47"/>
        <v>7.0000000000000007E-2</v>
      </c>
      <c r="AH99">
        <f t="shared" si="47"/>
        <v>7.0000000000000007E-2</v>
      </c>
      <c r="AI99">
        <f t="shared" si="47"/>
        <v>7.0000000000000007E-2</v>
      </c>
      <c r="AJ99">
        <f t="shared" si="47"/>
        <v>7.0000000000000007E-2</v>
      </c>
      <c r="AK99">
        <f t="shared" si="47"/>
        <v>7.0000000000000007E-2</v>
      </c>
      <c r="AL99">
        <f t="shared" si="47"/>
        <v>7.0000000000000007E-2</v>
      </c>
      <c r="AM99">
        <f t="shared" si="47"/>
        <v>7.0000000000000007E-2</v>
      </c>
    </row>
    <row r="101" spans="1:39" x14ac:dyDescent="0.25">
      <c r="A101" s="2" t="s">
        <v>250</v>
      </c>
      <c r="B101">
        <f>B90</f>
        <v>2013</v>
      </c>
      <c r="C101">
        <f t="shared" ref="C101:AM101" si="48">C90</f>
        <v>2014</v>
      </c>
      <c r="D101">
        <f t="shared" si="48"/>
        <v>2015</v>
      </c>
      <c r="E101">
        <f t="shared" si="48"/>
        <v>2016</v>
      </c>
      <c r="F101">
        <f t="shared" si="48"/>
        <v>2017</v>
      </c>
      <c r="G101">
        <f t="shared" si="48"/>
        <v>2018</v>
      </c>
      <c r="H101">
        <f t="shared" si="48"/>
        <v>2019</v>
      </c>
      <c r="I101">
        <f t="shared" si="48"/>
        <v>2020</v>
      </c>
      <c r="J101">
        <f t="shared" si="48"/>
        <v>2021</v>
      </c>
      <c r="K101">
        <f t="shared" si="48"/>
        <v>2022</v>
      </c>
      <c r="L101">
        <f t="shared" si="48"/>
        <v>2023</v>
      </c>
      <c r="M101">
        <f t="shared" si="48"/>
        <v>2024</v>
      </c>
      <c r="N101">
        <f t="shared" si="48"/>
        <v>2025</v>
      </c>
      <c r="O101">
        <f t="shared" si="48"/>
        <v>2026</v>
      </c>
      <c r="P101">
        <f t="shared" si="48"/>
        <v>2027</v>
      </c>
      <c r="Q101">
        <f t="shared" si="48"/>
        <v>2028</v>
      </c>
      <c r="R101">
        <f t="shared" si="48"/>
        <v>2029</v>
      </c>
      <c r="S101">
        <f t="shared" si="48"/>
        <v>2030</v>
      </c>
      <c r="T101">
        <f t="shared" si="48"/>
        <v>2031</v>
      </c>
      <c r="U101">
        <f t="shared" si="48"/>
        <v>2032</v>
      </c>
      <c r="V101">
        <f t="shared" si="48"/>
        <v>2033</v>
      </c>
      <c r="W101">
        <f t="shared" si="48"/>
        <v>2034</v>
      </c>
      <c r="X101">
        <f t="shared" si="48"/>
        <v>2035</v>
      </c>
      <c r="Y101">
        <f t="shared" si="48"/>
        <v>2036</v>
      </c>
      <c r="Z101">
        <f t="shared" si="48"/>
        <v>2037</v>
      </c>
      <c r="AA101">
        <f t="shared" si="48"/>
        <v>2038</v>
      </c>
      <c r="AB101">
        <f t="shared" si="48"/>
        <v>2039</v>
      </c>
      <c r="AC101">
        <f t="shared" si="48"/>
        <v>2040</v>
      </c>
      <c r="AD101">
        <f t="shared" si="48"/>
        <v>2041</v>
      </c>
      <c r="AE101">
        <f t="shared" si="48"/>
        <v>2042</v>
      </c>
      <c r="AF101">
        <f t="shared" si="48"/>
        <v>2043</v>
      </c>
      <c r="AG101">
        <f t="shared" si="48"/>
        <v>2044</v>
      </c>
      <c r="AH101">
        <f t="shared" si="48"/>
        <v>2045</v>
      </c>
      <c r="AI101">
        <f t="shared" si="48"/>
        <v>2046</v>
      </c>
      <c r="AJ101">
        <f t="shared" si="48"/>
        <v>2047</v>
      </c>
      <c r="AK101">
        <f t="shared" si="48"/>
        <v>2048</v>
      </c>
      <c r="AL101">
        <f t="shared" si="48"/>
        <v>2049</v>
      </c>
      <c r="AM101">
        <f t="shared" si="48"/>
        <v>2050</v>
      </c>
    </row>
    <row r="102" spans="1:39" x14ac:dyDescent="0.25">
      <c r="A102" t="s">
        <v>215</v>
      </c>
      <c r="B102">
        <f>B81*(1-B$99)</f>
        <v>0</v>
      </c>
      <c r="C102">
        <f t="shared" ref="C102:AM107" si="49">C81*(1-C$99)</f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  <c r="V102">
        <f t="shared" si="49"/>
        <v>0</v>
      </c>
      <c r="W102">
        <f t="shared" si="49"/>
        <v>0</v>
      </c>
      <c r="X102">
        <f t="shared" si="49"/>
        <v>0</v>
      </c>
      <c r="Y102">
        <f t="shared" si="49"/>
        <v>0</v>
      </c>
      <c r="Z102">
        <f t="shared" si="49"/>
        <v>0</v>
      </c>
      <c r="AA102">
        <f t="shared" si="49"/>
        <v>0</v>
      </c>
      <c r="AB102">
        <f t="shared" si="49"/>
        <v>0</v>
      </c>
      <c r="AC102">
        <f t="shared" si="49"/>
        <v>0</v>
      </c>
      <c r="AD102">
        <f t="shared" si="49"/>
        <v>0</v>
      </c>
      <c r="AE102">
        <f t="shared" si="49"/>
        <v>1.9864956257566664</v>
      </c>
      <c r="AF102">
        <f t="shared" si="49"/>
        <v>3.9729912515133328</v>
      </c>
      <c r="AG102">
        <f t="shared" si="49"/>
        <v>5.9594868772699989</v>
      </c>
      <c r="AH102">
        <f t="shared" si="49"/>
        <v>7.9459825030266655</v>
      </c>
      <c r="AI102">
        <f t="shared" si="49"/>
        <v>9.9324781287833321</v>
      </c>
      <c r="AJ102">
        <f t="shared" si="49"/>
        <v>11.918973754539998</v>
      </c>
      <c r="AK102">
        <f t="shared" si="49"/>
        <v>13.905469380296665</v>
      </c>
      <c r="AL102">
        <f t="shared" si="49"/>
        <v>15.891965006053331</v>
      </c>
      <c r="AM102">
        <f t="shared" si="49"/>
        <v>17.878460631809997</v>
      </c>
    </row>
    <row r="103" spans="1:39" x14ac:dyDescent="0.25">
      <c r="A103" t="s">
        <v>212</v>
      </c>
      <c r="B103">
        <f t="shared" ref="B103:Q107" si="50">B82*(1-B$99)</f>
        <v>14.786999999999999</v>
      </c>
      <c r="C103">
        <f t="shared" si="50"/>
        <v>20.953004346763439</v>
      </c>
      <c r="D103">
        <f t="shared" si="50"/>
        <v>27.119008693526883</v>
      </c>
      <c r="E103">
        <f t="shared" si="50"/>
        <v>33.28501304029033</v>
      </c>
      <c r="F103">
        <f t="shared" si="50"/>
        <v>39.451017387053774</v>
      </c>
      <c r="G103">
        <f t="shared" si="50"/>
        <v>47.371309892200024</v>
      </c>
      <c r="H103">
        <f t="shared" si="50"/>
        <v>55.291602397346274</v>
      </c>
      <c r="I103">
        <f t="shared" si="50"/>
        <v>63.211894902492524</v>
      </c>
      <c r="J103">
        <f t="shared" si="50"/>
        <v>71.132187407638781</v>
      </c>
      <c r="K103">
        <f t="shared" si="50"/>
        <v>79.05247991278506</v>
      </c>
      <c r="L103">
        <f t="shared" si="50"/>
        <v>86.972772417931324</v>
      </c>
      <c r="M103">
        <f t="shared" si="50"/>
        <v>94.191349659724494</v>
      </c>
      <c r="N103">
        <f t="shared" si="50"/>
        <v>101.40992690151768</v>
      </c>
      <c r="O103">
        <f t="shared" si="50"/>
        <v>108.62850414331086</v>
      </c>
      <c r="P103">
        <f t="shared" si="50"/>
        <v>115.84708138510408</v>
      </c>
      <c r="Q103">
        <f t="shared" si="50"/>
        <v>123.06565862689726</v>
      </c>
      <c r="R103">
        <f t="shared" si="49"/>
        <v>130.28423586869047</v>
      </c>
      <c r="S103">
        <f t="shared" si="49"/>
        <v>137.50281311048371</v>
      </c>
      <c r="T103">
        <f t="shared" si="49"/>
        <v>144.72139035227696</v>
      </c>
      <c r="U103">
        <f t="shared" si="49"/>
        <v>151.93996759407025</v>
      </c>
      <c r="V103">
        <f t="shared" si="49"/>
        <v>159.15854483586352</v>
      </c>
      <c r="W103">
        <f t="shared" si="49"/>
        <v>166.37712207765682</v>
      </c>
      <c r="X103">
        <f t="shared" si="49"/>
        <v>173.59569931945018</v>
      </c>
      <c r="Y103">
        <f t="shared" si="49"/>
        <v>180.8142765612435</v>
      </c>
      <c r="Z103">
        <f t="shared" si="49"/>
        <v>188.03285380303689</v>
      </c>
      <c r="AA103">
        <f t="shared" si="49"/>
        <v>195.25143104483027</v>
      </c>
      <c r="AB103">
        <f t="shared" si="49"/>
        <v>202.47000828662368</v>
      </c>
      <c r="AC103">
        <f t="shared" si="49"/>
        <v>209.68858552841709</v>
      </c>
      <c r="AD103">
        <f t="shared" si="49"/>
        <v>216.90716277021056</v>
      </c>
      <c r="AE103">
        <f t="shared" si="49"/>
        <v>224.12574001200403</v>
      </c>
      <c r="AF103">
        <f t="shared" si="49"/>
        <v>231.3443172537975</v>
      </c>
      <c r="AG103">
        <f t="shared" si="49"/>
        <v>238.56289449559102</v>
      </c>
      <c r="AH103">
        <f t="shared" si="49"/>
        <v>245.78147173738452</v>
      </c>
      <c r="AI103">
        <f t="shared" si="49"/>
        <v>253.0000489791781</v>
      </c>
      <c r="AJ103">
        <f t="shared" si="49"/>
        <v>260.21862622097171</v>
      </c>
      <c r="AK103">
        <f t="shared" si="49"/>
        <v>267.4372034627653</v>
      </c>
      <c r="AL103">
        <f t="shared" si="49"/>
        <v>274.65578070455888</v>
      </c>
      <c r="AM103">
        <f t="shared" si="49"/>
        <v>281.87435794635252</v>
      </c>
    </row>
    <row r="104" spans="1:39" x14ac:dyDescent="0.25">
      <c r="A104" t="s">
        <v>213</v>
      </c>
      <c r="B104">
        <f t="shared" si="50"/>
        <v>4.2779999999999996</v>
      </c>
      <c r="C104">
        <f t="shared" si="49"/>
        <v>6.2255962329049108</v>
      </c>
      <c r="D104">
        <f t="shared" si="49"/>
        <v>8.1731924658098229</v>
      </c>
      <c r="E104">
        <f t="shared" si="49"/>
        <v>10.120788698714733</v>
      </c>
      <c r="F104">
        <f t="shared" si="49"/>
        <v>12.068384931619645</v>
      </c>
      <c r="G104">
        <f t="shared" si="49"/>
        <v>14.015981164524558</v>
      </c>
      <c r="H104">
        <f t="shared" si="49"/>
        <v>15.963577397429471</v>
      </c>
      <c r="I104">
        <f t="shared" si="49"/>
        <v>17.911173630334389</v>
      </c>
      <c r="J104">
        <f t="shared" si="49"/>
        <v>19.85876986323931</v>
      </c>
      <c r="K104">
        <f t="shared" si="49"/>
        <v>21.806366096144231</v>
      </c>
      <c r="L104">
        <f t="shared" si="49"/>
        <v>23.753962329049155</v>
      </c>
      <c r="M104">
        <f t="shared" si="49"/>
        <v>25.70155856195408</v>
      </c>
      <c r="N104">
        <f t="shared" si="49"/>
        <v>27.649154794859005</v>
      </c>
      <c r="O104">
        <f t="shared" si="49"/>
        <v>29.596751027763933</v>
      </c>
      <c r="P104">
        <f t="shared" si="49"/>
        <v>31.544347260668864</v>
      </c>
      <c r="Q104">
        <f t="shared" si="49"/>
        <v>33.4919434935738</v>
      </c>
      <c r="R104">
        <f t="shared" si="49"/>
        <v>35.439539726478735</v>
      </c>
      <c r="S104">
        <f t="shared" si="49"/>
        <v>37.387135959383684</v>
      </c>
      <c r="T104">
        <f t="shared" si="49"/>
        <v>39.334732192288634</v>
      </c>
      <c r="U104">
        <f t="shared" si="49"/>
        <v>41.282328425193583</v>
      </c>
      <c r="V104">
        <f t="shared" si="49"/>
        <v>43.22992465809854</v>
      </c>
      <c r="W104">
        <f t="shared" si="49"/>
        <v>45.177520891003503</v>
      </c>
      <c r="X104">
        <f t="shared" si="49"/>
        <v>47.125117123908467</v>
      </c>
      <c r="Y104">
        <f t="shared" si="49"/>
        <v>49.072713356813438</v>
      </c>
      <c r="Z104">
        <f t="shared" si="49"/>
        <v>51.020309589718416</v>
      </c>
      <c r="AA104">
        <f t="shared" si="49"/>
        <v>52.967905822623393</v>
      </c>
      <c r="AB104">
        <f t="shared" si="49"/>
        <v>54.915502055528371</v>
      </c>
      <c r="AC104">
        <f t="shared" si="49"/>
        <v>56.863098288433363</v>
      </c>
      <c r="AD104">
        <f t="shared" si="49"/>
        <v>58.810694521338355</v>
      </c>
      <c r="AE104">
        <f t="shared" si="49"/>
        <v>60.758290754243347</v>
      </c>
      <c r="AF104">
        <f t="shared" si="49"/>
        <v>62.705886987148361</v>
      </c>
      <c r="AG104">
        <f t="shared" si="49"/>
        <v>64.653483220053374</v>
      </c>
      <c r="AH104">
        <f t="shared" si="49"/>
        <v>66.601079452958388</v>
      </c>
      <c r="AI104">
        <f t="shared" si="49"/>
        <v>68.548675685863415</v>
      </c>
      <c r="AJ104">
        <f t="shared" si="49"/>
        <v>70.496271918768457</v>
      </c>
      <c r="AK104">
        <f t="shared" si="49"/>
        <v>72.443868151673499</v>
      </c>
      <c r="AL104">
        <f t="shared" si="49"/>
        <v>74.391464384578555</v>
      </c>
      <c r="AM104">
        <f t="shared" si="49"/>
        <v>76.339060617483611</v>
      </c>
    </row>
    <row r="105" spans="1:39" x14ac:dyDescent="0.25">
      <c r="A105" t="s">
        <v>214</v>
      </c>
      <c r="B105">
        <f t="shared" si="50"/>
        <v>64.113902400000001</v>
      </c>
      <c r="C105">
        <f t="shared" si="49"/>
        <v>63.933172231476625</v>
      </c>
      <c r="D105">
        <f t="shared" si="49"/>
        <v>63.752442062953243</v>
      </c>
      <c r="E105">
        <f t="shared" si="49"/>
        <v>63.571711894429846</v>
      </c>
      <c r="F105">
        <f t="shared" si="49"/>
        <v>63.39098172590645</v>
      </c>
      <c r="G105">
        <f t="shared" si="49"/>
        <v>63.210251557383046</v>
      </c>
      <c r="H105">
        <f t="shared" si="49"/>
        <v>63.029521388859614</v>
      </c>
      <c r="I105">
        <f t="shared" si="49"/>
        <v>62.848791220336189</v>
      </c>
      <c r="J105">
        <f t="shared" si="49"/>
        <v>62.668061051812757</v>
      </c>
      <c r="K105">
        <f t="shared" si="49"/>
        <v>62.48733088328931</v>
      </c>
      <c r="L105">
        <f t="shared" si="49"/>
        <v>62.306600714765864</v>
      </c>
      <c r="M105">
        <f t="shared" si="49"/>
        <v>62.125870546242396</v>
      </c>
      <c r="N105">
        <f t="shared" si="49"/>
        <v>61.945140377718928</v>
      </c>
      <c r="O105">
        <f t="shared" si="49"/>
        <v>61.764410209195439</v>
      </c>
      <c r="P105">
        <f t="shared" si="49"/>
        <v>61.58368004067195</v>
      </c>
      <c r="Q105">
        <f t="shared" si="49"/>
        <v>61.402949872148461</v>
      </c>
      <c r="R105">
        <f t="shared" si="49"/>
        <v>61.222219703624965</v>
      </c>
      <c r="S105">
        <f t="shared" si="49"/>
        <v>61.041489535101462</v>
      </c>
      <c r="T105">
        <f t="shared" si="49"/>
        <v>60.860759366577952</v>
      </c>
      <c r="U105">
        <f t="shared" si="49"/>
        <v>60.68002919805442</v>
      </c>
      <c r="V105">
        <f t="shared" si="49"/>
        <v>60.499299029530896</v>
      </c>
      <c r="W105">
        <f t="shared" si="49"/>
        <v>60.318568861007357</v>
      </c>
      <c r="X105">
        <f t="shared" si="49"/>
        <v>60.13783869248379</v>
      </c>
      <c r="Y105">
        <f t="shared" si="49"/>
        <v>59.957108523960237</v>
      </c>
      <c r="Z105">
        <f t="shared" si="49"/>
        <v>59.77637835543667</v>
      </c>
      <c r="AA105">
        <f t="shared" si="49"/>
        <v>59.595648186913103</v>
      </c>
      <c r="AB105">
        <f t="shared" si="49"/>
        <v>59.414918018389521</v>
      </c>
      <c r="AC105">
        <f t="shared" si="49"/>
        <v>59.234187849865947</v>
      </c>
      <c r="AD105">
        <f t="shared" si="49"/>
        <v>59.053457681342358</v>
      </c>
      <c r="AE105">
        <f t="shared" si="49"/>
        <v>58.87272751281877</v>
      </c>
      <c r="AF105">
        <f t="shared" si="49"/>
        <v>58.691997344295174</v>
      </c>
      <c r="AG105">
        <f t="shared" si="49"/>
        <v>58.511267175771572</v>
      </c>
      <c r="AH105">
        <f t="shared" si="49"/>
        <v>58.330537007247976</v>
      </c>
      <c r="AI105">
        <f t="shared" si="49"/>
        <v>58.149806838724366</v>
      </c>
      <c r="AJ105">
        <f t="shared" si="49"/>
        <v>57.969076670200756</v>
      </c>
      <c r="AK105">
        <f t="shared" si="49"/>
        <v>57.78834650167714</v>
      </c>
      <c r="AL105">
        <f t="shared" si="49"/>
        <v>57.607616333153516</v>
      </c>
      <c r="AM105">
        <f t="shared" si="49"/>
        <v>57.426886164629899</v>
      </c>
    </row>
    <row r="106" spans="1:39" x14ac:dyDescent="0.25">
      <c r="A106" t="s">
        <v>216</v>
      </c>
      <c r="B106">
        <f t="shared" si="50"/>
        <v>4.9778479942500011</v>
      </c>
      <c r="C106">
        <f t="shared" si="49"/>
        <v>5.7360800480370076</v>
      </c>
      <c r="D106">
        <f t="shared" si="49"/>
        <v>6.4943121018240157</v>
      </c>
      <c r="E106">
        <f t="shared" si="49"/>
        <v>7.2525441556110231</v>
      </c>
      <c r="F106">
        <f t="shared" si="49"/>
        <v>8.0107762093980313</v>
      </c>
      <c r="G106">
        <f t="shared" si="49"/>
        <v>8.7690082631850377</v>
      </c>
      <c r="H106">
        <f t="shared" si="49"/>
        <v>9.5272403169720494</v>
      </c>
      <c r="I106">
        <f t="shared" si="49"/>
        <v>10.285472370759061</v>
      </c>
      <c r="J106">
        <f t="shared" si="49"/>
        <v>11.043704424546073</v>
      </c>
      <c r="K106">
        <f t="shared" si="49"/>
        <v>11.801936478333086</v>
      </c>
      <c r="L106">
        <f t="shared" si="49"/>
        <v>12.5601685321201</v>
      </c>
      <c r="M106">
        <f t="shared" si="49"/>
        <v>13.318400585907115</v>
      </c>
      <c r="N106">
        <f t="shared" si="49"/>
        <v>14.076632639694134</v>
      </c>
      <c r="O106">
        <f t="shared" si="49"/>
        <v>14.834864693481149</v>
      </c>
      <c r="P106">
        <f t="shared" si="49"/>
        <v>15.593096747268172</v>
      </c>
      <c r="Q106">
        <f t="shared" si="49"/>
        <v>16.351328801055196</v>
      </c>
      <c r="R106">
        <f t="shared" si="49"/>
        <v>17.109560854842218</v>
      </c>
      <c r="S106">
        <f t="shared" si="49"/>
        <v>17.867792908629241</v>
      </c>
      <c r="T106">
        <f t="shared" si="49"/>
        <v>18.62602496241627</v>
      </c>
      <c r="U106">
        <f t="shared" si="49"/>
        <v>19.3842570162033</v>
      </c>
      <c r="V106">
        <f t="shared" si="49"/>
        <v>20.142489069990326</v>
      </c>
      <c r="W106">
        <f t="shared" si="49"/>
        <v>20.900721123777362</v>
      </c>
      <c r="X106">
        <f t="shared" si="49"/>
        <v>21.658953177564396</v>
      </c>
      <c r="Y106">
        <f t="shared" si="49"/>
        <v>22.417185231351432</v>
      </c>
      <c r="Z106">
        <f t="shared" si="49"/>
        <v>23.175417285138472</v>
      </c>
      <c r="AA106">
        <f t="shared" si="49"/>
        <v>23.933649338925505</v>
      </c>
      <c r="AB106">
        <f t="shared" si="49"/>
        <v>24.691881392712553</v>
      </c>
      <c r="AC106">
        <f t="shared" si="49"/>
        <v>25.450113446499593</v>
      </c>
      <c r="AD106">
        <f t="shared" si="49"/>
        <v>26.208345500286647</v>
      </c>
      <c r="AE106">
        <f t="shared" si="49"/>
        <v>26.966577554073691</v>
      </c>
      <c r="AF106">
        <f t="shared" si="49"/>
        <v>27.724809607860745</v>
      </c>
      <c r="AG106">
        <f t="shared" si="49"/>
        <v>28.483041661647803</v>
      </c>
      <c r="AH106">
        <f t="shared" si="49"/>
        <v>29.241273715434858</v>
      </c>
      <c r="AI106">
        <f t="shared" si="49"/>
        <v>29.999505769221926</v>
      </c>
      <c r="AJ106">
        <f t="shared" si="49"/>
        <v>30.757737823008988</v>
      </c>
      <c r="AK106">
        <f t="shared" si="49"/>
        <v>31.515969876796063</v>
      </c>
      <c r="AL106">
        <f t="shared" si="49"/>
        <v>32.274201930583132</v>
      </c>
      <c r="AM106">
        <f t="shared" si="49"/>
        <v>33.032433984370208</v>
      </c>
    </row>
    <row r="107" spans="1:39" x14ac:dyDescent="0.25">
      <c r="A107" s="148" t="s">
        <v>225</v>
      </c>
      <c r="B107">
        <f t="shared" si="50"/>
        <v>417.01199999999994</v>
      </c>
      <c r="C107">
        <f t="shared" si="49"/>
        <v>405.74140540540583</v>
      </c>
      <c r="D107">
        <f t="shared" si="49"/>
        <v>394.47081081081177</v>
      </c>
      <c r="E107">
        <f t="shared" si="49"/>
        <v>383.2002162162176</v>
      </c>
      <c r="F107">
        <f t="shared" si="49"/>
        <v>371.92962162162343</v>
      </c>
      <c r="G107">
        <f t="shared" si="49"/>
        <v>360.6590270270292</v>
      </c>
      <c r="H107">
        <f t="shared" si="49"/>
        <v>349.38843243243497</v>
      </c>
      <c r="I107">
        <f t="shared" si="49"/>
        <v>338.11783783784068</v>
      </c>
      <c r="J107">
        <f t="shared" si="49"/>
        <v>326.84724324324628</v>
      </c>
      <c r="K107">
        <f t="shared" si="49"/>
        <v>315.57664864865194</v>
      </c>
      <c r="L107">
        <f t="shared" si="49"/>
        <v>304.3060540540576</v>
      </c>
      <c r="M107">
        <f t="shared" si="49"/>
        <v>293.03545945946314</v>
      </c>
      <c r="N107">
        <f t="shared" si="49"/>
        <v>281.76486486486863</v>
      </c>
      <c r="O107">
        <f t="shared" si="49"/>
        <v>270.49427027027411</v>
      </c>
      <c r="P107">
        <f t="shared" si="49"/>
        <v>259.22367567567949</v>
      </c>
      <c r="Q107">
        <f t="shared" si="49"/>
        <v>247.95308108108495</v>
      </c>
      <c r="R107">
        <f t="shared" si="49"/>
        <v>236.68248648649035</v>
      </c>
      <c r="S107">
        <f t="shared" si="49"/>
        <v>225.41189189189572</v>
      </c>
      <c r="T107">
        <f t="shared" si="49"/>
        <v>214.14129729730107</v>
      </c>
      <c r="U107">
        <f t="shared" si="49"/>
        <v>202.87070270270641</v>
      </c>
      <c r="V107">
        <f t="shared" si="49"/>
        <v>191.60010810811175</v>
      </c>
      <c r="W107">
        <f t="shared" si="49"/>
        <v>180.32951351351704</v>
      </c>
      <c r="X107">
        <f t="shared" si="49"/>
        <v>169.0589189189223</v>
      </c>
      <c r="Y107">
        <f t="shared" si="49"/>
        <v>157.78832432432759</v>
      </c>
      <c r="Z107">
        <f t="shared" si="49"/>
        <v>146.51772972973282</v>
      </c>
      <c r="AA107">
        <f t="shared" si="49"/>
        <v>135.24713513513805</v>
      </c>
      <c r="AB107">
        <f t="shared" si="49"/>
        <v>123.97654054054324</v>
      </c>
      <c r="AC107">
        <f t="shared" si="49"/>
        <v>112.70594594594844</v>
      </c>
      <c r="AD107">
        <f t="shared" si="49"/>
        <v>101.43535135135362</v>
      </c>
      <c r="AE107">
        <f t="shared" si="49"/>
        <v>90.164756756758806</v>
      </c>
      <c r="AF107">
        <f t="shared" si="49"/>
        <v>78.894162162163994</v>
      </c>
      <c r="AG107">
        <f t="shared" si="49"/>
        <v>67.62356756756914</v>
      </c>
      <c r="AH107">
        <f t="shared" si="49"/>
        <v>56.352972972974293</v>
      </c>
      <c r="AI107">
        <f t="shared" si="49"/>
        <v>45.082378378379438</v>
      </c>
      <c r="AJ107">
        <f t="shared" si="49"/>
        <v>33.811783783784584</v>
      </c>
      <c r="AK107">
        <f t="shared" si="49"/>
        <v>22.541189189189726</v>
      </c>
      <c r="AL107">
        <f t="shared" si="49"/>
        <v>11.270594594594863</v>
      </c>
      <c r="AM107">
        <f t="shared" si="49"/>
        <v>0</v>
      </c>
    </row>
    <row r="108" spans="1:39" x14ac:dyDescent="0.25">
      <c r="A108" t="s">
        <v>223</v>
      </c>
      <c r="B108">
        <f>SUM(B102:B107)</f>
        <v>505.16875039424997</v>
      </c>
      <c r="C108">
        <f t="shared" ref="C108:AK108" si="51">SUM(C102:C107)</f>
        <v>502.58925826458778</v>
      </c>
      <c r="D108">
        <f t="shared" si="51"/>
        <v>500.00976613492571</v>
      </c>
      <c r="E108">
        <f t="shared" si="51"/>
        <v>497.43027400526353</v>
      </c>
      <c r="F108">
        <f t="shared" si="51"/>
        <v>494.85078187560134</v>
      </c>
      <c r="G108">
        <f t="shared" si="51"/>
        <v>494.02557790432184</v>
      </c>
      <c r="H108">
        <f t="shared" si="51"/>
        <v>493.20037393304233</v>
      </c>
      <c r="I108">
        <f t="shared" si="51"/>
        <v>492.37516996176282</v>
      </c>
      <c r="J108">
        <f t="shared" si="51"/>
        <v>491.5499659904832</v>
      </c>
      <c r="K108">
        <f t="shared" si="51"/>
        <v>490.72476201920364</v>
      </c>
      <c r="L108">
        <f t="shared" si="51"/>
        <v>489.89955804792402</v>
      </c>
      <c r="M108">
        <f t="shared" si="51"/>
        <v>488.37263881329125</v>
      </c>
      <c r="N108">
        <f t="shared" si="51"/>
        <v>486.84571957865842</v>
      </c>
      <c r="O108">
        <f t="shared" si="51"/>
        <v>485.31880034402548</v>
      </c>
      <c r="P108">
        <f t="shared" si="51"/>
        <v>483.79188110939253</v>
      </c>
      <c r="Q108">
        <f t="shared" si="51"/>
        <v>482.26496187475971</v>
      </c>
      <c r="R108">
        <f t="shared" si="51"/>
        <v>480.73804264012676</v>
      </c>
      <c r="S108">
        <f t="shared" si="51"/>
        <v>479.21112340549382</v>
      </c>
      <c r="T108">
        <f t="shared" si="51"/>
        <v>477.68420417086088</v>
      </c>
      <c r="U108">
        <f t="shared" si="51"/>
        <v>476.157284936228</v>
      </c>
      <c r="V108">
        <f t="shared" si="51"/>
        <v>474.63036570159511</v>
      </c>
      <c r="W108">
        <f t="shared" si="51"/>
        <v>473.10344646696211</v>
      </c>
      <c r="X108">
        <f t="shared" si="51"/>
        <v>471.57652723232911</v>
      </c>
      <c r="Y108">
        <f t="shared" si="51"/>
        <v>470.04960799769617</v>
      </c>
      <c r="Z108">
        <f t="shared" si="51"/>
        <v>468.52268876306323</v>
      </c>
      <c r="AA108">
        <f t="shared" si="51"/>
        <v>466.99576952843029</v>
      </c>
      <c r="AB108">
        <f t="shared" si="51"/>
        <v>465.46885029379735</v>
      </c>
      <c r="AC108">
        <f t="shared" si="51"/>
        <v>463.9419310591644</v>
      </c>
      <c r="AD108">
        <f t="shared" si="51"/>
        <v>462.41501182453158</v>
      </c>
      <c r="AE108">
        <f t="shared" si="51"/>
        <v>462.87458821565531</v>
      </c>
      <c r="AF108">
        <f t="shared" si="51"/>
        <v>463.33416460677904</v>
      </c>
      <c r="AG108">
        <f t="shared" si="51"/>
        <v>463.79374099790294</v>
      </c>
      <c r="AH108">
        <f t="shared" si="51"/>
        <v>464.25331738902673</v>
      </c>
      <c r="AI108">
        <f t="shared" si="51"/>
        <v>464.71289378015058</v>
      </c>
      <c r="AJ108">
        <f t="shared" si="51"/>
        <v>465.17247017127448</v>
      </c>
      <c r="AK108">
        <f t="shared" si="51"/>
        <v>465.63204656239839</v>
      </c>
      <c r="AL108">
        <f>SUM(AL102:AL107)</f>
        <v>466.09162295352223</v>
      </c>
      <c r="AM108">
        <f t="shared" ref="AM108" si="52">SUM(AM102:AM107)</f>
        <v>466.55119934464619</v>
      </c>
    </row>
    <row r="112" spans="1:39" x14ac:dyDescent="0.25">
      <c r="A112" s="164" t="s">
        <v>258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</row>
    <row r="113" spans="1:39" x14ac:dyDescent="0.25">
      <c r="A113" s="163" t="s">
        <v>257</v>
      </c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</row>
    <row r="114" spans="1:39" x14ac:dyDescent="0.25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</row>
    <row r="115" spans="1:39" x14ac:dyDescent="0.25">
      <c r="A115" s="165" t="s">
        <v>253</v>
      </c>
      <c r="B115" s="2">
        <v>2013</v>
      </c>
      <c r="C115" s="2">
        <v>2014</v>
      </c>
      <c r="D115" s="2">
        <v>2015</v>
      </c>
      <c r="E115" s="2">
        <v>2016</v>
      </c>
      <c r="F115" s="2">
        <v>2017</v>
      </c>
      <c r="G115" s="2">
        <v>2018</v>
      </c>
      <c r="H115" s="2">
        <v>2019</v>
      </c>
      <c r="I115" s="2">
        <v>2020</v>
      </c>
      <c r="J115" s="2">
        <v>2021</v>
      </c>
      <c r="K115" s="2">
        <v>2022</v>
      </c>
      <c r="L115" s="2">
        <v>2023</v>
      </c>
      <c r="M115" s="2">
        <v>2024</v>
      </c>
      <c r="N115" s="2">
        <v>2025</v>
      </c>
      <c r="O115" s="2">
        <v>2026</v>
      </c>
      <c r="P115" s="2">
        <v>2027</v>
      </c>
      <c r="Q115" s="2">
        <v>2028</v>
      </c>
      <c r="R115" s="2">
        <v>2029</v>
      </c>
      <c r="S115" s="2">
        <v>2030</v>
      </c>
      <c r="T115" s="2">
        <v>2031</v>
      </c>
      <c r="U115" s="2">
        <v>2032</v>
      </c>
      <c r="V115" s="2">
        <v>2033</v>
      </c>
      <c r="W115" s="2">
        <v>2034</v>
      </c>
      <c r="X115" s="2">
        <v>2035</v>
      </c>
      <c r="Y115" s="2">
        <v>2036</v>
      </c>
      <c r="Z115" s="2">
        <v>2037</v>
      </c>
      <c r="AA115" s="2">
        <v>2038</v>
      </c>
      <c r="AB115" s="2">
        <v>2039</v>
      </c>
      <c r="AC115" s="2">
        <v>2040</v>
      </c>
      <c r="AD115" s="2">
        <v>2041</v>
      </c>
      <c r="AE115" s="2">
        <v>2042</v>
      </c>
      <c r="AF115" s="2">
        <v>2043</v>
      </c>
      <c r="AG115" s="2">
        <v>2044</v>
      </c>
      <c r="AH115" s="2">
        <v>2045</v>
      </c>
      <c r="AI115" s="2">
        <v>2046</v>
      </c>
      <c r="AJ115" s="2">
        <v>2047</v>
      </c>
      <c r="AK115" s="2">
        <v>2048</v>
      </c>
      <c r="AL115" s="2">
        <v>2049</v>
      </c>
      <c r="AM115" s="2">
        <v>2050</v>
      </c>
    </row>
    <row r="116" spans="1:39" x14ac:dyDescent="0.25">
      <c r="A116" t="s">
        <v>215</v>
      </c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>
        <f t="shared" ref="AE116:AM116" si="53">AE102/AE29</f>
        <v>8.6657315869073E-3</v>
      </c>
      <c r="AF116" s="167">
        <f t="shared" si="53"/>
        <v>8.677285861051107E-3</v>
      </c>
      <c r="AG116" s="167">
        <f t="shared" si="53"/>
        <v>8.6888740201165066E-3</v>
      </c>
      <c r="AH116" s="167">
        <f t="shared" si="53"/>
        <v>8.7005863909464885E-3</v>
      </c>
      <c r="AI116" s="167">
        <f t="shared" si="53"/>
        <v>8.712332884306383E-3</v>
      </c>
      <c r="AJ116" s="167">
        <f t="shared" si="53"/>
        <v>8.7241156991478847E-3</v>
      </c>
      <c r="AK116" s="167">
        <f t="shared" si="53"/>
        <v>8.7359371674515102E-3</v>
      </c>
      <c r="AL116" s="167">
        <f t="shared" si="53"/>
        <v>8.7463186391215763E-3</v>
      </c>
      <c r="AM116" s="167">
        <f t="shared" si="53"/>
        <v>8.756743364030959E-3</v>
      </c>
    </row>
    <row r="117" spans="1:39" x14ac:dyDescent="0.25">
      <c r="A117" t="s">
        <v>212</v>
      </c>
      <c r="B117" s="167">
        <f t="shared" ref="B117:Q122" si="54">B103/B30</f>
        <v>1.4293384986020813E-2</v>
      </c>
      <c r="C117" s="167">
        <f t="shared" si="54"/>
        <v>1.431298925632872E-2</v>
      </c>
      <c r="D117" s="167">
        <f t="shared" si="54"/>
        <v>1.4323609551954507E-2</v>
      </c>
      <c r="E117" s="167">
        <f t="shared" si="54"/>
        <v>1.4339428592628056E-2</v>
      </c>
      <c r="F117" s="167">
        <f t="shared" si="54"/>
        <v>1.4355296769501485E-2</v>
      </c>
      <c r="G117" s="167">
        <f t="shared" si="54"/>
        <v>1.4177061436885519E-2</v>
      </c>
      <c r="H117" s="167">
        <f t="shared" si="54"/>
        <v>1.4069237635892698E-2</v>
      </c>
      <c r="I117" s="167">
        <f t="shared" si="54"/>
        <v>1.4005262250059634E-2</v>
      </c>
      <c r="J117" s="167">
        <f t="shared" si="54"/>
        <v>1.3978302241932314E-2</v>
      </c>
      <c r="K117" s="167">
        <f t="shared" si="54"/>
        <v>1.3981119694719211E-2</v>
      </c>
      <c r="L117" s="167">
        <f t="shared" si="54"/>
        <v>1.3997823703556013E-2</v>
      </c>
      <c r="M117" s="167">
        <f t="shared" si="54"/>
        <v>1.4039812830177748E-2</v>
      </c>
      <c r="N117" s="167">
        <f t="shared" si="54"/>
        <v>1.408133071099632E-2</v>
      </c>
      <c r="O117" s="167">
        <f t="shared" si="54"/>
        <v>1.412573533017112E-2</v>
      </c>
      <c r="P117" s="167">
        <f t="shared" si="54"/>
        <v>1.4172576216861769E-2</v>
      </c>
      <c r="Q117" s="167">
        <f t="shared" si="54"/>
        <v>1.42215115323618E-2</v>
      </c>
      <c r="R117" s="167">
        <f t="shared" ref="R117:AD117" si="55">R103/R30</f>
        <v>1.4272277593391456E-2</v>
      </c>
      <c r="S117" s="167">
        <f t="shared" si="55"/>
        <v>1.4324668118587416E-2</v>
      </c>
      <c r="T117" s="167">
        <f t="shared" si="55"/>
        <v>1.4368077282805048E-2</v>
      </c>
      <c r="U117" s="167">
        <f t="shared" si="55"/>
        <v>1.4408281619033618E-2</v>
      </c>
      <c r="V117" s="167">
        <f t="shared" si="55"/>
        <v>1.450320981481217E-2</v>
      </c>
      <c r="W117" s="167">
        <f t="shared" si="55"/>
        <v>1.4602674609525653E-2</v>
      </c>
      <c r="X117" s="167">
        <f t="shared" si="55"/>
        <v>1.4667374304793748E-2</v>
      </c>
      <c r="Y117" s="167">
        <f t="shared" si="55"/>
        <v>1.472959994262533E-2</v>
      </c>
      <c r="Z117" s="167">
        <f t="shared" si="55"/>
        <v>1.4790379971583971E-2</v>
      </c>
      <c r="AA117" s="167">
        <f t="shared" si="55"/>
        <v>1.4913407963445187E-2</v>
      </c>
      <c r="AB117" s="167">
        <f t="shared" si="55"/>
        <v>1.5024413082750095E-2</v>
      </c>
      <c r="AC117" s="167">
        <f t="shared" si="55"/>
        <v>1.5122612040352373E-2</v>
      </c>
      <c r="AD117" s="167">
        <f t="shared" si="55"/>
        <v>1.5198659588503843E-2</v>
      </c>
      <c r="AE117" s="167">
        <f t="shared" ref="AE117:AM117" si="56">AE103/AE30</f>
        <v>1.5292048337884551E-2</v>
      </c>
      <c r="AF117" s="167">
        <f t="shared" si="56"/>
        <v>1.5367293263329512E-2</v>
      </c>
      <c r="AG117" s="167">
        <f t="shared" si="56"/>
        <v>1.5420889119681558E-2</v>
      </c>
      <c r="AH117" s="167">
        <f t="shared" si="56"/>
        <v>1.5469019052543883E-2</v>
      </c>
      <c r="AI117" s="167">
        <f t="shared" si="56"/>
        <v>1.551181465261375E-2</v>
      </c>
      <c r="AJ117" s="167">
        <f t="shared" si="56"/>
        <v>1.5549660001352012E-2</v>
      </c>
      <c r="AK117" s="167">
        <f t="shared" si="56"/>
        <v>1.5582906540223242E-2</v>
      </c>
      <c r="AL117" s="167">
        <f t="shared" si="56"/>
        <v>1.5607159757122726E-2</v>
      </c>
      <c r="AM117" s="167">
        <f t="shared" si="56"/>
        <v>1.5627427775051793E-2</v>
      </c>
    </row>
    <row r="118" spans="1:39" x14ac:dyDescent="0.25">
      <c r="A118" t="s">
        <v>213</v>
      </c>
      <c r="B118" s="167">
        <f t="shared" si="54"/>
        <v>5.9434335901494151E-3</v>
      </c>
      <c r="C118" s="167">
        <f t="shared" ref="C118:Q118" si="57">C104/C31</f>
        <v>5.9816745407707929E-3</v>
      </c>
      <c r="D118" s="167">
        <f t="shared" si="57"/>
        <v>6.031857765621442E-3</v>
      </c>
      <c r="E118" s="167">
        <f t="shared" si="57"/>
        <v>6.0869171452182019E-3</v>
      </c>
      <c r="F118" s="167">
        <f t="shared" si="57"/>
        <v>6.1445899786824968E-3</v>
      </c>
      <c r="G118" s="167">
        <f t="shared" si="57"/>
        <v>6.2041901467186538E-3</v>
      </c>
      <c r="H118" s="167">
        <f t="shared" si="57"/>
        <v>6.2659655519667042E-3</v>
      </c>
      <c r="I118" s="167">
        <f t="shared" si="57"/>
        <v>6.3299454171287404E-3</v>
      </c>
      <c r="J118" s="167">
        <f t="shared" si="57"/>
        <v>6.397694857267937E-3</v>
      </c>
      <c r="K118" s="167">
        <f t="shared" si="57"/>
        <v>6.4695727656700463E-3</v>
      </c>
      <c r="L118" s="167">
        <f t="shared" si="57"/>
        <v>6.5433781537408498E-3</v>
      </c>
      <c r="M118" s="167">
        <f t="shared" si="57"/>
        <v>6.6185757017025683E-3</v>
      </c>
      <c r="N118" s="167">
        <f t="shared" si="57"/>
        <v>6.6947950523467943E-3</v>
      </c>
      <c r="O118" s="167">
        <f t="shared" si="57"/>
        <v>6.7729365410766768E-3</v>
      </c>
      <c r="P118" s="167">
        <f t="shared" si="57"/>
        <v>6.8530443011631387E-3</v>
      </c>
      <c r="Q118" s="167">
        <f t="shared" si="57"/>
        <v>6.9351703401847337E-3</v>
      </c>
      <c r="R118" s="167">
        <f t="shared" ref="R118:AD118" si="58">R104/R31</f>
        <v>7.0193734170939806E-3</v>
      </c>
      <c r="S118" s="167">
        <f t="shared" si="58"/>
        <v>7.1057183439018137E-3</v>
      </c>
      <c r="T118" s="167">
        <f t="shared" si="58"/>
        <v>7.1893548642768959E-3</v>
      </c>
      <c r="U118" s="167">
        <f t="shared" si="58"/>
        <v>7.2718917217012525E-3</v>
      </c>
      <c r="V118" s="167">
        <f t="shared" si="58"/>
        <v>7.353607773094393E-3</v>
      </c>
      <c r="W118" s="167">
        <f t="shared" si="58"/>
        <v>7.434887492497092E-3</v>
      </c>
      <c r="X118" s="167">
        <f t="shared" si="58"/>
        <v>7.5090138690240525E-3</v>
      </c>
      <c r="Y118" s="167">
        <f t="shared" si="58"/>
        <v>7.584262387567979E-3</v>
      </c>
      <c r="Z118" s="167">
        <f t="shared" si="58"/>
        <v>7.6608980893246841E-3</v>
      </c>
      <c r="AA118" s="167">
        <f t="shared" si="58"/>
        <v>7.7404645587672198E-3</v>
      </c>
      <c r="AB118" s="167">
        <f t="shared" si="58"/>
        <v>7.9778567256280266E-3</v>
      </c>
      <c r="AC118" s="167">
        <f t="shared" si="58"/>
        <v>8.2129614355555807E-3</v>
      </c>
      <c r="AD118" s="167">
        <f t="shared" si="58"/>
        <v>8.4426924748437094E-3</v>
      </c>
      <c r="AE118" s="167">
        <f t="shared" ref="AE118:AM118" si="59">AE104/AE31</f>
        <v>8.6791550987249267E-3</v>
      </c>
      <c r="AF118" s="167">
        <f t="shared" si="59"/>
        <v>8.9114172436599928E-3</v>
      </c>
      <c r="AG118" s="167">
        <f t="shared" si="59"/>
        <v>9.1425237461843188E-3</v>
      </c>
      <c r="AH118" s="167">
        <f t="shared" si="59"/>
        <v>9.3726881265588213E-3</v>
      </c>
      <c r="AI118" s="167">
        <f t="shared" si="59"/>
        <v>9.6019208986970004E-3</v>
      </c>
      <c r="AJ118" s="167">
        <f t="shared" si="59"/>
        <v>9.8303271228245351E-3</v>
      </c>
      <c r="AK118" s="167">
        <f t="shared" si="59"/>
        <v>1.005800944376283E-2</v>
      </c>
      <c r="AL118" s="167">
        <f t="shared" si="59"/>
        <v>1.0283020976375177E-2</v>
      </c>
      <c r="AM118" s="167">
        <f t="shared" si="59"/>
        <v>1.0507336356614846E-2</v>
      </c>
    </row>
    <row r="119" spans="1:39" x14ac:dyDescent="0.25">
      <c r="A119" t="s">
        <v>214</v>
      </c>
      <c r="B119" s="167">
        <f t="shared" si="54"/>
        <v>1.3868339015561925E-2</v>
      </c>
      <c r="C119" s="167">
        <f t="shared" si="54"/>
        <v>1.3859416835820761E-2</v>
      </c>
      <c r="D119" s="167">
        <f t="shared" si="54"/>
        <v>1.385134645100628E-2</v>
      </c>
      <c r="E119" s="167">
        <f t="shared" si="54"/>
        <v>1.3840243010923309E-2</v>
      </c>
      <c r="F119" s="167">
        <f t="shared" si="54"/>
        <v>1.3826057902401328E-2</v>
      </c>
      <c r="G119" s="167">
        <f t="shared" si="54"/>
        <v>1.3810421534632803E-2</v>
      </c>
      <c r="H119" s="167">
        <f t="shared" si="54"/>
        <v>1.3797029060530042E-2</v>
      </c>
      <c r="I119" s="167">
        <f t="shared" si="54"/>
        <v>1.3787182699885525E-2</v>
      </c>
      <c r="J119" s="167">
        <f t="shared" si="54"/>
        <v>1.3788679987112171E-2</v>
      </c>
      <c r="K119" s="167">
        <f t="shared" si="54"/>
        <v>1.3802897269937688E-2</v>
      </c>
      <c r="L119" s="167">
        <f t="shared" si="54"/>
        <v>1.3819508777208354E-2</v>
      </c>
      <c r="M119" s="167">
        <f t="shared" si="54"/>
        <v>1.3836173957060218E-2</v>
      </c>
      <c r="N119" s="167">
        <f t="shared" si="54"/>
        <v>1.3851380307708945E-2</v>
      </c>
      <c r="O119" s="167">
        <f t="shared" si="54"/>
        <v>1.386902725299053E-2</v>
      </c>
      <c r="P119" s="167">
        <f t="shared" si="54"/>
        <v>1.3889154572163855E-2</v>
      </c>
      <c r="Q119" s="167">
        <f t="shared" si="54"/>
        <v>1.3911805243895592E-2</v>
      </c>
      <c r="R119" s="167">
        <f t="shared" ref="R119:AD119" si="60">R105/R32</f>
        <v>1.3937025589998396E-2</v>
      </c>
      <c r="S119" s="167">
        <f t="shared" si="60"/>
        <v>1.3964865431570307E-2</v>
      </c>
      <c r="T119" s="167">
        <f t="shared" si="60"/>
        <v>1.3987891361484614E-2</v>
      </c>
      <c r="U119" s="167">
        <f t="shared" si="60"/>
        <v>1.4011147784757271E-2</v>
      </c>
      <c r="V119" s="167">
        <f t="shared" si="60"/>
        <v>1.4034637770401042E-2</v>
      </c>
      <c r="W119" s="167">
        <f t="shared" si="60"/>
        <v>1.4058887955559717E-2</v>
      </c>
      <c r="X119" s="167">
        <f t="shared" si="60"/>
        <v>1.4059585803907527E-2</v>
      </c>
      <c r="Y119" s="167">
        <f t="shared" si="60"/>
        <v>1.4065926920587921E-2</v>
      </c>
      <c r="Z119" s="167">
        <f t="shared" si="60"/>
        <v>1.4077981358218314E-2</v>
      </c>
      <c r="AA119" s="167">
        <f t="shared" si="60"/>
        <v>1.4100120506229583E-2</v>
      </c>
      <c r="AB119" s="167">
        <f t="shared" si="60"/>
        <v>1.4122462150523634E-2</v>
      </c>
      <c r="AC119" s="167">
        <f t="shared" si="60"/>
        <v>1.4143560970143566E-2</v>
      </c>
      <c r="AD119" s="167">
        <f t="shared" si="60"/>
        <v>1.4154659042112759E-2</v>
      </c>
      <c r="AE119" s="167">
        <f t="shared" ref="AE119:AM119" si="61">AE105/AE32</f>
        <v>1.4189348308411485E-2</v>
      </c>
      <c r="AF119" s="167">
        <f t="shared" si="61"/>
        <v>1.4216223780321512E-2</v>
      </c>
      <c r="AG119" s="167">
        <f t="shared" si="61"/>
        <v>1.4237231674957175E-2</v>
      </c>
      <c r="AH119" s="167">
        <f t="shared" si="61"/>
        <v>1.4242443700412064E-2</v>
      </c>
      <c r="AI119" s="167">
        <f t="shared" si="61"/>
        <v>1.4245290227420482E-2</v>
      </c>
      <c r="AJ119" s="167">
        <f t="shared" si="61"/>
        <v>1.4245745596761361E-2</v>
      </c>
      <c r="AK119" s="167">
        <f t="shared" si="61"/>
        <v>1.4243786299729271E-2</v>
      </c>
      <c r="AL119" s="167">
        <f t="shared" si="61"/>
        <v>1.4235467163895179E-2</v>
      </c>
      <c r="AM119" s="167">
        <f t="shared" si="61"/>
        <v>1.4224721936824256E-2</v>
      </c>
    </row>
    <row r="120" spans="1:39" x14ac:dyDescent="0.25">
      <c r="A120" t="s">
        <v>216</v>
      </c>
      <c r="B120" s="167">
        <f t="shared" si="54"/>
        <v>1.3192073082686419E-2</v>
      </c>
      <c r="C120" s="167">
        <f t="shared" si="54"/>
        <v>1.3350919188866779E-2</v>
      </c>
      <c r="D120" s="167">
        <f t="shared" si="54"/>
        <v>1.347516653655928E-2</v>
      </c>
      <c r="E120" s="167">
        <f t="shared" si="54"/>
        <v>1.3581058082724929E-2</v>
      </c>
      <c r="F120" s="167">
        <f t="shared" si="54"/>
        <v>1.3672075634866438E-2</v>
      </c>
      <c r="G120" s="167">
        <f t="shared" si="54"/>
        <v>1.3752132547199196E-2</v>
      </c>
      <c r="H120" s="167">
        <f t="shared" si="54"/>
        <v>1.38265472266114E-2</v>
      </c>
      <c r="I120" s="167">
        <f t="shared" si="54"/>
        <v>1.3897894149945167E-2</v>
      </c>
      <c r="J120" s="167">
        <f t="shared" si="54"/>
        <v>1.3975138151546534E-2</v>
      </c>
      <c r="K120" s="167">
        <f t="shared" si="54"/>
        <v>1.4060667653231523E-2</v>
      </c>
      <c r="L120" s="167">
        <f t="shared" si="54"/>
        <v>1.4144469013534383E-2</v>
      </c>
      <c r="M120" s="167">
        <f t="shared" si="54"/>
        <v>1.4224429815704771E-2</v>
      </c>
      <c r="N120" s="167">
        <f t="shared" si="54"/>
        <v>1.4299150215644577E-2</v>
      </c>
      <c r="O120" s="167">
        <f t="shared" si="54"/>
        <v>1.4372932949240672E-2</v>
      </c>
      <c r="P120" s="167">
        <f t="shared" si="54"/>
        <v>1.4445986308737498E-2</v>
      </c>
      <c r="Q120" s="167">
        <f t="shared" si="54"/>
        <v>1.4518481623879744E-2</v>
      </c>
      <c r="R120" s="167">
        <f t="shared" ref="R120:AD120" si="62">R106/R33</f>
        <v>1.4590561343190731E-2</v>
      </c>
      <c r="S120" s="167">
        <f t="shared" si="62"/>
        <v>1.4662345088423134E-2</v>
      </c>
      <c r="T120" s="167">
        <f t="shared" si="62"/>
        <v>1.472731676937454E-2</v>
      </c>
      <c r="U120" s="167">
        <f t="shared" si="62"/>
        <v>1.4791170654619075E-2</v>
      </c>
      <c r="V120" s="167">
        <f t="shared" si="62"/>
        <v>1.4938447334103369E-2</v>
      </c>
      <c r="W120" s="167">
        <f t="shared" si="62"/>
        <v>1.5079211852694034E-2</v>
      </c>
      <c r="X120" s="167">
        <f t="shared" si="62"/>
        <v>1.5185755849192545E-2</v>
      </c>
      <c r="Y120" s="167">
        <f t="shared" si="62"/>
        <v>1.5291999642434882E-2</v>
      </c>
      <c r="Z120" s="167">
        <f t="shared" si="62"/>
        <v>1.5398776910691392E-2</v>
      </c>
      <c r="AA120" s="167">
        <f t="shared" si="62"/>
        <v>1.5512053008481547E-2</v>
      </c>
      <c r="AB120" s="167">
        <f t="shared" si="62"/>
        <v>1.5620516407552512E-2</v>
      </c>
      <c r="AC120" s="167">
        <f t="shared" si="62"/>
        <v>1.5722712240252998E-2</v>
      </c>
      <c r="AD120" s="167">
        <f t="shared" si="62"/>
        <v>1.5807964669963613E-2</v>
      </c>
      <c r="AE120" s="167">
        <f t="shared" ref="AE120:AM120" si="63">AE106/AE33</f>
        <v>1.5918481247687626E-2</v>
      </c>
      <c r="AF120" s="167">
        <f t="shared" si="63"/>
        <v>1.601541316220613E-2</v>
      </c>
      <c r="AG120" s="167">
        <f t="shared" si="63"/>
        <v>1.6109270238458227E-2</v>
      </c>
      <c r="AH120" s="167">
        <f t="shared" si="63"/>
        <v>1.6200570459587799E-2</v>
      </c>
      <c r="AI120" s="167">
        <f t="shared" si="63"/>
        <v>1.6289192681482167E-2</v>
      </c>
      <c r="AJ120" s="167">
        <f t="shared" si="63"/>
        <v>1.637531360035983E-2</v>
      </c>
      <c r="AK120" s="167">
        <f t="shared" si="63"/>
        <v>1.64590955772712E-2</v>
      </c>
      <c r="AL120" s="167">
        <f t="shared" si="63"/>
        <v>1.6535393607601808E-2</v>
      </c>
      <c r="AM120" s="167">
        <f t="shared" si="63"/>
        <v>1.6609567428904962E-2</v>
      </c>
    </row>
    <row r="121" spans="1:39" x14ac:dyDescent="0.25">
      <c r="A121" s="148" t="s">
        <v>225</v>
      </c>
      <c r="B121" s="167">
        <f t="shared" si="54"/>
        <v>0.12909995851458123</v>
      </c>
      <c r="C121" s="167">
        <f t="shared" si="54"/>
        <v>0.1281907237249735</v>
      </c>
      <c r="D121" s="167">
        <f t="shared" si="54"/>
        <v>0.12717860530780284</v>
      </c>
      <c r="E121" s="167">
        <f t="shared" si="54"/>
        <v>0.12574602413362135</v>
      </c>
      <c r="F121" s="167">
        <f t="shared" si="54"/>
        <v>0.12391502473800677</v>
      </c>
      <c r="G121" s="167">
        <f t="shared" si="54"/>
        <v>0.12184520677081086</v>
      </c>
      <c r="H121" s="167">
        <f t="shared" si="54"/>
        <v>0.11983885415830006</v>
      </c>
      <c r="I121" s="167">
        <f t="shared" si="54"/>
        <v>0.11798792687509962</v>
      </c>
      <c r="J121" s="167">
        <f t="shared" si="54"/>
        <v>0.11683830931593212</v>
      </c>
      <c r="K121" s="167">
        <f t="shared" si="54"/>
        <v>0.11644645832885377</v>
      </c>
      <c r="L121" s="167">
        <f t="shared" si="54"/>
        <v>0.11605784920458188</v>
      </c>
      <c r="M121" s="167">
        <f t="shared" si="54"/>
        <v>0.11550648170561584</v>
      </c>
      <c r="N121" s="167">
        <f t="shared" si="54"/>
        <v>0.11469177781915516</v>
      </c>
      <c r="O121" s="167">
        <f t="shared" si="54"/>
        <v>0.1138865528897836</v>
      </c>
      <c r="P121" s="167">
        <f t="shared" si="54"/>
        <v>0.11309063133403242</v>
      </c>
      <c r="Q121" s="167">
        <f t="shared" si="54"/>
        <v>0.11230384177570797</v>
      </c>
      <c r="R121" s="167">
        <f t="shared" ref="R121:AD121" si="64">R107/R34</f>
        <v>0.11152601691951139</v>
      </c>
      <c r="S121" s="167">
        <f t="shared" si="64"/>
        <v>0.11075699342917203</v>
      </c>
      <c r="T121" s="167">
        <f t="shared" si="64"/>
        <v>0.10968004336126026</v>
      </c>
      <c r="U121" s="167">
        <f t="shared" si="64"/>
        <v>0.10861845787777158</v>
      </c>
      <c r="V121" s="167">
        <f t="shared" si="64"/>
        <v>0.10757190037730528</v>
      </c>
      <c r="W121" s="167">
        <f t="shared" si="64"/>
        <v>0.10657012070478247</v>
      </c>
      <c r="X121" s="167">
        <f t="shared" si="64"/>
        <v>0.10425872136076374</v>
      </c>
      <c r="Y121" s="167">
        <f t="shared" si="64"/>
        <v>0.10233002448320773</v>
      </c>
      <c r="Z121" s="167">
        <f t="shared" si="64"/>
        <v>0.10074993829974445</v>
      </c>
      <c r="AA121" s="167">
        <f t="shared" si="64"/>
        <v>9.9706148907478254E-2</v>
      </c>
      <c r="AB121" s="167">
        <f t="shared" si="64"/>
        <v>9.8677465994142025E-2</v>
      </c>
      <c r="AC121" s="167">
        <f t="shared" si="64"/>
        <v>9.7594590169494011E-2</v>
      </c>
      <c r="AD121" s="167">
        <f t="shared" si="64"/>
        <v>9.6057410640114388E-2</v>
      </c>
      <c r="AE121" s="167">
        <f t="shared" ref="AE121:AL122" si="65">AE107/AE34</f>
        <v>9.5616233034287165E-2</v>
      </c>
      <c r="AF121" s="167">
        <f t="shared" si="65"/>
        <v>9.4810565500441937E-2</v>
      </c>
      <c r="AG121" s="167">
        <f t="shared" si="65"/>
        <v>9.4020717633976E-2</v>
      </c>
      <c r="AH121" s="167">
        <f t="shared" si="65"/>
        <v>9.325639567635087E-2</v>
      </c>
      <c r="AI121" s="167">
        <f t="shared" si="65"/>
        <v>9.2506201594340962E-2</v>
      </c>
      <c r="AJ121" s="167">
        <f t="shared" si="65"/>
        <v>9.1769748420615221E-2</v>
      </c>
      <c r="AK121" s="167">
        <f t="shared" si="65"/>
        <v>9.1046663193072211E-2</v>
      </c>
      <c r="AL121" s="167">
        <f t="shared" si="65"/>
        <v>9.0178889747851168E-2</v>
      </c>
      <c r="AM121" s="167"/>
    </row>
    <row r="122" spans="1:39" x14ac:dyDescent="0.25">
      <c r="A122" t="s">
        <v>100</v>
      </c>
      <c r="B122" s="167">
        <f t="shared" si="54"/>
        <v>7.4787763284507355E-2</v>
      </c>
      <c r="C122" s="167">
        <f t="shared" si="54"/>
        <v>6.6591840605715866E-2</v>
      </c>
      <c r="D122" s="167">
        <f t="shared" si="54"/>
        <v>6.000446406120153E-2</v>
      </c>
      <c r="E122" s="167">
        <f t="shared" si="54"/>
        <v>5.4595442597170286E-2</v>
      </c>
      <c r="F122" s="167">
        <f t="shared" si="54"/>
        <v>5.0070570342047385E-2</v>
      </c>
      <c r="G122" s="167">
        <f t="shared" si="54"/>
        <v>4.5678970456308809E-2</v>
      </c>
      <c r="H122" s="167">
        <f t="shared" si="54"/>
        <v>4.2028070248407386E-2</v>
      </c>
      <c r="I122" s="167">
        <f t="shared" si="54"/>
        <v>3.8948799005420705E-2</v>
      </c>
      <c r="J122" s="167">
        <f t="shared" si="54"/>
        <v>3.6335908218724774E-2</v>
      </c>
      <c r="K122" s="167">
        <f t="shared" si="54"/>
        <v>3.409868636582189E-2</v>
      </c>
      <c r="L122" s="167">
        <f t="shared" si="54"/>
        <v>3.2145377051894776E-2</v>
      </c>
      <c r="M122" s="167">
        <f t="shared" si="54"/>
        <v>3.0487979824727198E-2</v>
      </c>
      <c r="N122" s="167">
        <f t="shared" si="54"/>
        <v>2.8999206378751113E-2</v>
      </c>
      <c r="O122" s="167">
        <f t="shared" si="54"/>
        <v>2.7660564278067581E-2</v>
      </c>
      <c r="P122" s="167">
        <f t="shared" si="54"/>
        <v>2.6450667436112879E-2</v>
      </c>
      <c r="Q122" s="167">
        <f t="shared" si="54"/>
        <v>2.5352013435548468E-2</v>
      </c>
      <c r="R122" s="167">
        <f t="shared" ref="R122:AD122" si="66">R108/R35</f>
        <v>2.4350140420654608E-2</v>
      </c>
      <c r="S122" s="167">
        <f t="shared" si="66"/>
        <v>2.343299449449146E-2</v>
      </c>
      <c r="T122" s="167">
        <f t="shared" si="66"/>
        <v>2.257555211179638E-2</v>
      </c>
      <c r="U122" s="167">
        <f t="shared" si="66"/>
        <v>2.1778477664928714E-2</v>
      </c>
      <c r="V122" s="167">
        <f t="shared" si="66"/>
        <v>2.1083590345512392E-2</v>
      </c>
      <c r="W122" s="167">
        <f t="shared" si="66"/>
        <v>2.0439512358688971E-2</v>
      </c>
      <c r="X122" s="167">
        <f t="shared" si="66"/>
        <v>1.9801719308196207E-2</v>
      </c>
      <c r="Y122" s="167">
        <f t="shared" si="66"/>
        <v>1.9205745130130684E-2</v>
      </c>
      <c r="Z122" s="167">
        <f t="shared" si="66"/>
        <v>1.8648317099743548E-2</v>
      </c>
      <c r="AA122" s="167">
        <f t="shared" si="66"/>
        <v>1.8167618926281669E-2</v>
      </c>
      <c r="AB122" s="167">
        <f t="shared" si="66"/>
        <v>1.7801716369922733E-2</v>
      </c>
      <c r="AC122" s="167">
        <f t="shared" si="66"/>
        <v>1.7443898417694163E-2</v>
      </c>
      <c r="AD122" s="167">
        <f t="shared" si="66"/>
        <v>1.7083916380937807E-2</v>
      </c>
      <c r="AE122" s="167">
        <f t="shared" si="65"/>
        <v>1.6692677488887548E-2</v>
      </c>
      <c r="AF122" s="167">
        <f t="shared" si="65"/>
        <v>1.6309744486960123E-2</v>
      </c>
      <c r="AG122" s="167">
        <f t="shared" si="65"/>
        <v>1.5934877930594799E-2</v>
      </c>
      <c r="AH122" s="167">
        <f t="shared" si="65"/>
        <v>1.557465329378967E-2</v>
      </c>
      <c r="AI122" s="167">
        <f t="shared" si="65"/>
        <v>1.5230008245890957E-2</v>
      </c>
      <c r="AJ122" s="167">
        <f t="shared" si="65"/>
        <v>1.4899958000885194E-2</v>
      </c>
      <c r="AK122" s="167">
        <f t="shared" si="65"/>
        <v>1.458359912658329E-2</v>
      </c>
      <c r="AL122" s="167">
        <f t="shared" si="65"/>
        <v>1.4276250361354763E-2</v>
      </c>
      <c r="AM122" s="167">
        <f>AM108/AM35</f>
        <v>1.398114674811885E-2</v>
      </c>
    </row>
    <row r="123" spans="1:39" x14ac:dyDescent="0.25">
      <c r="B123" s="163"/>
    </row>
    <row r="124" spans="1:39" x14ac:dyDescent="0.25">
      <c r="A124" s="166" t="s">
        <v>251</v>
      </c>
      <c r="B124" s="2">
        <v>2013</v>
      </c>
      <c r="C124" s="2">
        <v>2014</v>
      </c>
      <c r="D124" s="2">
        <v>2015</v>
      </c>
      <c r="E124" s="2">
        <v>2016</v>
      </c>
      <c r="F124" s="2">
        <v>2017</v>
      </c>
      <c r="G124" s="2">
        <v>2018</v>
      </c>
      <c r="H124" s="2">
        <v>2019</v>
      </c>
      <c r="I124" s="2">
        <v>2020</v>
      </c>
      <c r="J124" s="2">
        <v>2021</v>
      </c>
      <c r="K124" s="2">
        <v>2022</v>
      </c>
      <c r="L124" s="2">
        <v>2023</v>
      </c>
      <c r="M124" s="2">
        <v>2024</v>
      </c>
      <c r="N124" s="2">
        <v>2025</v>
      </c>
      <c r="O124" s="2">
        <v>2026</v>
      </c>
      <c r="P124" s="2">
        <v>2027</v>
      </c>
      <c r="Q124" s="2">
        <v>2028</v>
      </c>
      <c r="R124" s="2">
        <v>2029</v>
      </c>
      <c r="S124" s="2">
        <v>2030</v>
      </c>
      <c r="T124" s="2">
        <v>2031</v>
      </c>
      <c r="U124" s="2">
        <v>2032</v>
      </c>
      <c r="V124" s="2">
        <v>2033</v>
      </c>
      <c r="W124" s="2">
        <v>2034</v>
      </c>
      <c r="X124" s="2">
        <v>2035</v>
      </c>
      <c r="Y124" s="2">
        <v>2036</v>
      </c>
      <c r="Z124" s="2">
        <v>2037</v>
      </c>
      <c r="AA124" s="2">
        <v>2038</v>
      </c>
      <c r="AB124" s="2">
        <v>2039</v>
      </c>
      <c r="AC124" s="2">
        <v>2040</v>
      </c>
      <c r="AD124" s="2">
        <v>2041</v>
      </c>
      <c r="AE124" s="2">
        <v>2042</v>
      </c>
      <c r="AF124" s="2">
        <v>2043</v>
      </c>
      <c r="AG124" s="2">
        <v>2044</v>
      </c>
      <c r="AH124" s="2">
        <v>2045</v>
      </c>
      <c r="AI124" s="2">
        <v>2046</v>
      </c>
      <c r="AJ124" s="2">
        <v>2047</v>
      </c>
      <c r="AK124" s="2">
        <v>2048</v>
      </c>
      <c r="AL124" s="2">
        <v>2049</v>
      </c>
      <c r="AM124" s="2">
        <v>2050</v>
      </c>
    </row>
    <row r="125" spans="1:39" x14ac:dyDescent="0.25">
      <c r="A125" t="s">
        <v>215</v>
      </c>
      <c r="B125" s="167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>
        <f t="shared" ref="AF125:AM125" si="67">AF116/AE116-1</f>
        <v>1.3333293361248444E-3</v>
      </c>
      <c r="AG125" s="168">
        <f t="shared" si="67"/>
        <v>1.3354589500633729E-3</v>
      </c>
      <c r="AH125" s="168">
        <f t="shared" si="67"/>
        <v>1.3479733740948685E-3</v>
      </c>
      <c r="AI125" s="168">
        <f t="shared" si="67"/>
        <v>1.3500806534278986E-3</v>
      </c>
      <c r="AJ125" s="168">
        <f t="shared" si="67"/>
        <v>1.3524293662752207E-3</v>
      </c>
      <c r="AK125" s="168">
        <f t="shared" si="67"/>
        <v>1.3550334167140576E-3</v>
      </c>
      <c r="AL125" s="168">
        <f t="shared" si="67"/>
        <v>1.1883638207410563E-3</v>
      </c>
      <c r="AM125" s="168">
        <f t="shared" si="67"/>
        <v>1.1918985963710327E-3</v>
      </c>
    </row>
    <row r="126" spans="1:39" x14ac:dyDescent="0.25">
      <c r="A126" t="s">
        <v>212</v>
      </c>
      <c r="B126" s="167"/>
      <c r="C126" s="168">
        <f>C117/B117-1</f>
        <v>1.3715624624315303E-3</v>
      </c>
      <c r="D126" s="168">
        <f t="shared" ref="D126:AM131" si="68">D117/C117-1</f>
        <v>7.420040241483683E-4</v>
      </c>
      <c r="E126" s="168">
        <f t="shared" si="68"/>
        <v>1.1044032313343166E-3</v>
      </c>
      <c r="F126" s="168">
        <f t="shared" si="68"/>
        <v>1.1066115201820992E-3</v>
      </c>
      <c r="G126" s="168">
        <f t="shared" si="68"/>
        <v>-1.2415997765691356E-2</v>
      </c>
      <c r="H126" s="168">
        <f t="shared" si="68"/>
        <v>-7.6055113023836274E-3</v>
      </c>
      <c r="I126" s="168">
        <f t="shared" si="68"/>
        <v>-4.5471821209311925E-3</v>
      </c>
      <c r="J126" s="168">
        <f t="shared" si="68"/>
        <v>-1.9249913101202498E-3</v>
      </c>
      <c r="K126" s="168">
        <f t="shared" si="68"/>
        <v>2.0155901182650204E-4</v>
      </c>
      <c r="L126" s="168">
        <f t="shared" si="68"/>
        <v>1.1947547264838931E-3</v>
      </c>
      <c r="M126" s="168">
        <f t="shared" si="68"/>
        <v>2.9996896311150767E-3</v>
      </c>
      <c r="N126" s="168">
        <f t="shared" si="68"/>
        <v>2.9571534407732969E-3</v>
      </c>
      <c r="O126" s="168">
        <f t="shared" si="68"/>
        <v>3.1534391234859793E-3</v>
      </c>
      <c r="P126" s="168">
        <f t="shared" si="68"/>
        <v>3.3159963425479777E-3</v>
      </c>
      <c r="Q126" s="168">
        <f t="shared" si="68"/>
        <v>3.4528172402283897E-3</v>
      </c>
      <c r="R126" s="168">
        <f t="shared" si="68"/>
        <v>3.5696670437692646E-3</v>
      </c>
      <c r="S126" s="168">
        <f t="shared" si="68"/>
        <v>3.6707893924525781E-3</v>
      </c>
      <c r="T126" s="168">
        <f t="shared" si="68"/>
        <v>3.0303783555938324E-3</v>
      </c>
      <c r="U126" s="168">
        <f t="shared" si="68"/>
        <v>2.7981709338857907E-3</v>
      </c>
      <c r="V126" s="168">
        <f t="shared" si="68"/>
        <v>6.5884467203327635E-3</v>
      </c>
      <c r="W126" s="168">
        <f t="shared" si="68"/>
        <v>6.8581228558040053E-3</v>
      </c>
      <c r="X126" s="168">
        <f t="shared" si="68"/>
        <v>4.4306743112587643E-3</v>
      </c>
      <c r="Y126" s="168">
        <f t="shared" si="68"/>
        <v>4.2424524348059212E-3</v>
      </c>
      <c r="Z126" s="168">
        <f t="shared" si="68"/>
        <v>4.1263869484162718E-3</v>
      </c>
      <c r="AA126" s="168">
        <f t="shared" si="68"/>
        <v>8.3181089395663044E-3</v>
      </c>
      <c r="AB126" s="168">
        <f t="shared" si="68"/>
        <v>7.4433100453630274E-3</v>
      </c>
      <c r="AC126" s="168">
        <f t="shared" si="68"/>
        <v>6.5359596452405633E-3</v>
      </c>
      <c r="AD126" s="168">
        <f t="shared" si="68"/>
        <v>5.0287310121126527E-3</v>
      </c>
      <c r="AE126" s="168">
        <f t="shared" si="68"/>
        <v>6.1445385257097307E-3</v>
      </c>
      <c r="AF126" s="168">
        <f t="shared" si="68"/>
        <v>4.9205262619100854E-3</v>
      </c>
      <c r="AG126" s="168">
        <f t="shared" si="68"/>
        <v>3.4876575486419981E-3</v>
      </c>
      <c r="AH126" s="168">
        <f t="shared" si="68"/>
        <v>3.1210867602242676E-3</v>
      </c>
      <c r="AI126" s="168">
        <f t="shared" si="68"/>
        <v>2.7665361277597889E-3</v>
      </c>
      <c r="AJ126" s="168">
        <f t="shared" si="68"/>
        <v>2.4397757184317914E-3</v>
      </c>
      <c r="AK126" s="168">
        <f t="shared" si="68"/>
        <v>2.138087833968072E-3</v>
      </c>
      <c r="AL126" s="168">
        <f t="shared" si="68"/>
        <v>1.5563987910010013E-3</v>
      </c>
      <c r="AM126" s="168">
        <f t="shared" si="68"/>
        <v>1.2986358981694757E-3</v>
      </c>
    </row>
    <row r="127" spans="1:39" x14ac:dyDescent="0.25">
      <c r="A127" t="s">
        <v>213</v>
      </c>
      <c r="B127" s="167"/>
      <c r="C127" s="168">
        <f t="shared" ref="C127:R131" si="69">C118/B118-1</f>
        <v>6.4341512429377801E-3</v>
      </c>
      <c r="D127" s="168">
        <f t="shared" si="69"/>
        <v>8.3894943645967945E-3</v>
      </c>
      <c r="E127" s="168">
        <f t="shared" si="69"/>
        <v>9.1280964731248471E-3</v>
      </c>
      <c r="F127" s="168">
        <f t="shared" si="69"/>
        <v>9.4748839335856427E-3</v>
      </c>
      <c r="G127" s="168">
        <f t="shared" si="69"/>
        <v>9.6996167755585283E-3</v>
      </c>
      <c r="H127" s="168">
        <f t="shared" si="69"/>
        <v>9.9570457686122271E-3</v>
      </c>
      <c r="I127" s="168">
        <f t="shared" si="69"/>
        <v>1.0210695324035957E-2</v>
      </c>
      <c r="J127" s="168">
        <f t="shared" si="69"/>
        <v>1.0703005424954837E-2</v>
      </c>
      <c r="K127" s="168">
        <f t="shared" si="69"/>
        <v>1.1234969782976556E-2</v>
      </c>
      <c r="L127" s="168">
        <f t="shared" si="69"/>
        <v>1.1408077587818921E-2</v>
      </c>
      <c r="M127" s="168">
        <f t="shared" si="69"/>
        <v>1.1492159889724185E-2</v>
      </c>
      <c r="N127" s="168">
        <f t="shared" si="69"/>
        <v>1.1515974747349222E-2</v>
      </c>
      <c r="O127" s="168">
        <f t="shared" si="69"/>
        <v>1.1671976232116466E-2</v>
      </c>
      <c r="P127" s="168">
        <f t="shared" si="69"/>
        <v>1.182762596410325E-2</v>
      </c>
      <c r="Q127" s="168">
        <f t="shared" si="69"/>
        <v>1.1983876860048426E-2</v>
      </c>
      <c r="R127" s="168">
        <f t="shared" si="69"/>
        <v>1.2141457639669673E-2</v>
      </c>
      <c r="S127" s="168">
        <f t="shared" si="68"/>
        <v>1.2300945066914482E-2</v>
      </c>
      <c r="T127" s="168">
        <f t="shared" si="68"/>
        <v>1.1770311786543086E-2</v>
      </c>
      <c r="U127" s="168">
        <f t="shared" si="68"/>
        <v>1.1480426127589372E-2</v>
      </c>
      <c r="V127" s="168">
        <f t="shared" si="68"/>
        <v>1.1237248094505992E-2</v>
      </c>
      <c r="W127" s="168">
        <f t="shared" si="68"/>
        <v>1.1053039801780962E-2</v>
      </c>
      <c r="X127" s="168">
        <f t="shared" si="68"/>
        <v>9.9700737370627124E-3</v>
      </c>
      <c r="Y127" s="168">
        <f t="shared" si="68"/>
        <v>1.0021091964464102E-2</v>
      </c>
      <c r="Z127" s="168">
        <f t="shared" si="68"/>
        <v>1.0104568887585597E-2</v>
      </c>
      <c r="AA127" s="168">
        <f t="shared" si="68"/>
        <v>1.0386049848830403E-2</v>
      </c>
      <c r="AB127" s="168">
        <f t="shared" si="68"/>
        <v>3.0668981823826824E-2</v>
      </c>
      <c r="AC127" s="168">
        <f t="shared" si="68"/>
        <v>2.9469658081512584E-2</v>
      </c>
      <c r="AD127" s="168">
        <f t="shared" si="68"/>
        <v>2.7971766468253056E-2</v>
      </c>
      <c r="AE127" s="168">
        <f t="shared" si="68"/>
        <v>2.8007963642616929E-2</v>
      </c>
      <c r="AF127" s="168">
        <f t="shared" si="68"/>
        <v>2.6760916505477406E-2</v>
      </c>
      <c r="AG127" s="168">
        <f t="shared" si="68"/>
        <v>2.593375399280573E-2</v>
      </c>
      <c r="AH127" s="168">
        <f t="shared" si="68"/>
        <v>2.5175147121774044E-2</v>
      </c>
      <c r="AI127" s="168">
        <f t="shared" si="68"/>
        <v>2.4457526916810135E-2</v>
      </c>
      <c r="AJ127" s="168">
        <f t="shared" si="68"/>
        <v>2.3787555275375238E-2</v>
      </c>
      <c r="AK127" s="168">
        <f t="shared" si="68"/>
        <v>2.3161215094221088E-2</v>
      </c>
      <c r="AL127" s="168">
        <f t="shared" si="68"/>
        <v>2.2371378141017972E-2</v>
      </c>
      <c r="AM127" s="168">
        <f t="shared" si="68"/>
        <v>2.1814151770673584E-2</v>
      </c>
    </row>
    <row r="128" spans="1:39" x14ac:dyDescent="0.25">
      <c r="A128" t="s">
        <v>214</v>
      </c>
      <c r="B128" s="167"/>
      <c r="C128" s="168">
        <f t="shared" si="69"/>
        <v>-6.4334883443162294E-4</v>
      </c>
      <c r="D128" s="168">
        <f t="shared" si="68"/>
        <v>-5.8230334725362098E-4</v>
      </c>
      <c r="E128" s="168">
        <f t="shared" si="68"/>
        <v>-8.0161449446403132E-4</v>
      </c>
      <c r="F128" s="168">
        <f t="shared" si="68"/>
        <v>-1.0249175907377506E-3</v>
      </c>
      <c r="G128" s="168">
        <f t="shared" si="68"/>
        <v>-1.1309346365321327E-3</v>
      </c>
      <c r="H128" s="168">
        <f t="shared" si="68"/>
        <v>-9.6973680848022603E-4</v>
      </c>
      <c r="I128" s="168">
        <f t="shared" si="68"/>
        <v>-7.1365803473477651E-4</v>
      </c>
      <c r="J128" s="168">
        <f t="shared" si="68"/>
        <v>1.0859994091894087E-4</v>
      </c>
      <c r="K128" s="168">
        <f t="shared" si="68"/>
        <v>1.031083674347677E-3</v>
      </c>
      <c r="L128" s="168">
        <f t="shared" si="68"/>
        <v>1.2034797438393863E-3</v>
      </c>
      <c r="M128" s="168">
        <f t="shared" si="68"/>
        <v>1.2059169483178422E-3</v>
      </c>
      <c r="N128" s="168">
        <f t="shared" si="68"/>
        <v>1.0990285823175849E-3</v>
      </c>
      <c r="O128" s="168">
        <f t="shared" si="68"/>
        <v>1.2740207033203887E-3</v>
      </c>
      <c r="P128" s="168">
        <f t="shared" si="68"/>
        <v>1.4512423118200335E-3</v>
      </c>
      <c r="Q128" s="168">
        <f t="shared" si="68"/>
        <v>1.6308171684642492E-3</v>
      </c>
      <c r="R128" s="168">
        <f t="shared" si="68"/>
        <v>1.8128737184464061E-3</v>
      </c>
      <c r="S128" s="168">
        <f t="shared" si="68"/>
        <v>1.9975454154212979E-3</v>
      </c>
      <c r="T128" s="168">
        <f t="shared" si="68"/>
        <v>1.6488472464799564E-3</v>
      </c>
      <c r="U128" s="168">
        <f t="shared" si="68"/>
        <v>1.6626110878079636E-3</v>
      </c>
      <c r="V128" s="168">
        <f t="shared" si="68"/>
        <v>1.676521153343824E-3</v>
      </c>
      <c r="W128" s="168">
        <f t="shared" si="68"/>
        <v>1.7278810864516103E-3</v>
      </c>
      <c r="X128" s="168">
        <f t="shared" si="68"/>
        <v>4.9637521119416661E-5</v>
      </c>
      <c r="Y128" s="168">
        <f t="shared" si="68"/>
        <v>4.5101731792351885E-4</v>
      </c>
      <c r="Z128" s="168">
        <f t="shared" si="68"/>
        <v>8.5699561063057317E-4</v>
      </c>
      <c r="AA128" s="168">
        <f t="shared" si="68"/>
        <v>1.5726081352100962E-3</v>
      </c>
      <c r="AB128" s="168">
        <f t="shared" si="68"/>
        <v>1.5845002377234962E-3</v>
      </c>
      <c r="AC128" s="168">
        <f t="shared" si="68"/>
        <v>1.493990169352255E-3</v>
      </c>
      <c r="AD128" s="168">
        <f t="shared" si="68"/>
        <v>7.8467310973673321E-4</v>
      </c>
      <c r="AE128" s="168">
        <f t="shared" si="68"/>
        <v>2.4507313242598805E-3</v>
      </c>
      <c r="AF128" s="168">
        <f t="shared" si="68"/>
        <v>1.8940596372629681E-3</v>
      </c>
      <c r="AG128" s="168">
        <f t="shared" si="68"/>
        <v>1.4777408515995738E-3</v>
      </c>
      <c r="AH128" s="168">
        <f t="shared" si="68"/>
        <v>3.6608419205941267E-4</v>
      </c>
      <c r="AI128" s="168">
        <f t="shared" si="68"/>
        <v>1.998622615819734E-4</v>
      </c>
      <c r="AJ128" s="168">
        <f t="shared" si="68"/>
        <v>3.1966308415620759E-5</v>
      </c>
      <c r="AK128" s="168">
        <f t="shared" si="68"/>
        <v>-1.3753559045281971E-4</v>
      </c>
      <c r="AL128" s="168">
        <f t="shared" si="68"/>
        <v>-5.8405368200797891E-4</v>
      </c>
      <c r="AM128" s="168">
        <f t="shared" si="68"/>
        <v>-7.5482082514122251E-4</v>
      </c>
    </row>
    <row r="129" spans="1:39" x14ac:dyDescent="0.25">
      <c r="A129" t="s">
        <v>216</v>
      </c>
      <c r="B129" s="167"/>
      <c r="C129" s="168">
        <f t="shared" si="69"/>
        <v>1.2041026848830461E-2</v>
      </c>
      <c r="D129" s="168">
        <f t="shared" si="68"/>
        <v>9.3062766641647254E-3</v>
      </c>
      <c r="E129" s="168">
        <f t="shared" si="68"/>
        <v>7.8582736531200847E-3</v>
      </c>
      <c r="F129" s="168">
        <f t="shared" si="68"/>
        <v>6.7018012578330399E-3</v>
      </c>
      <c r="G129" s="168">
        <f t="shared" si="68"/>
        <v>5.8555053724687056E-3</v>
      </c>
      <c r="H129" s="168">
        <f t="shared" si="68"/>
        <v>5.4111374477232577E-3</v>
      </c>
      <c r="I129" s="168">
        <f t="shared" si="68"/>
        <v>5.1601402840797395E-3</v>
      </c>
      <c r="J129" s="168">
        <f t="shared" si="68"/>
        <v>5.5579644490004743E-3</v>
      </c>
      <c r="K129" s="168">
        <f t="shared" si="68"/>
        <v>6.120118510279271E-3</v>
      </c>
      <c r="L129" s="168">
        <f t="shared" si="68"/>
        <v>5.9599844310096461E-3</v>
      </c>
      <c r="M129" s="168">
        <f t="shared" si="68"/>
        <v>5.6531497996761271E-3</v>
      </c>
      <c r="N129" s="168">
        <f t="shared" si="68"/>
        <v>5.2529627484476649E-3</v>
      </c>
      <c r="O129" s="168">
        <f t="shared" si="68"/>
        <v>5.1599383518168285E-3</v>
      </c>
      <c r="P129" s="168">
        <f t="shared" si="68"/>
        <v>5.0827037011040854E-3</v>
      </c>
      <c r="Q129" s="168">
        <f t="shared" si="68"/>
        <v>5.0183707496938013E-3</v>
      </c>
      <c r="R129" s="168">
        <f t="shared" si="68"/>
        <v>4.9646871607036402E-3</v>
      </c>
      <c r="S129" s="168">
        <f t="shared" si="68"/>
        <v>4.9198754964903113E-3</v>
      </c>
      <c r="T129" s="168">
        <f t="shared" si="68"/>
        <v>4.4311930021825319E-3</v>
      </c>
      <c r="U129" s="168">
        <f t="shared" si="68"/>
        <v>4.3357446739598071E-3</v>
      </c>
      <c r="V129" s="168">
        <f t="shared" si="68"/>
        <v>9.957067153322452E-3</v>
      </c>
      <c r="W129" s="168">
        <f t="shared" si="68"/>
        <v>9.4229684948119452E-3</v>
      </c>
      <c r="X129" s="168">
        <f t="shared" si="68"/>
        <v>7.0656210377120221E-3</v>
      </c>
      <c r="Y129" s="168">
        <f t="shared" si="68"/>
        <v>6.9962795594389338E-3</v>
      </c>
      <c r="Z129" s="168">
        <f t="shared" si="68"/>
        <v>6.9825575956858899E-3</v>
      </c>
      <c r="AA129" s="168">
        <f t="shared" si="68"/>
        <v>7.356175003191856E-3</v>
      </c>
      <c r="AB129" s="168">
        <f t="shared" si="68"/>
        <v>6.9922014198675608E-3</v>
      </c>
      <c r="AC129" s="168">
        <f t="shared" si="68"/>
        <v>6.5424106370179924E-3</v>
      </c>
      <c r="AD129" s="168">
        <f t="shared" si="68"/>
        <v>5.4222470276059642E-3</v>
      </c>
      <c r="AE129" s="168">
        <f t="shared" si="68"/>
        <v>6.99119589595254E-3</v>
      </c>
      <c r="AF129" s="168">
        <f t="shared" si="68"/>
        <v>6.0892690081588707E-3</v>
      </c>
      <c r="AG129" s="168">
        <f t="shared" si="68"/>
        <v>5.8604217887794352E-3</v>
      </c>
      <c r="AH129" s="168">
        <f t="shared" si="68"/>
        <v>5.6675578581832919E-3</v>
      </c>
      <c r="AI129" s="168">
        <f t="shared" si="68"/>
        <v>5.4703148951102953E-3</v>
      </c>
      <c r="AJ129" s="168">
        <f t="shared" si="68"/>
        <v>5.2869973706903828E-3</v>
      </c>
      <c r="AK129" s="168">
        <f t="shared" si="68"/>
        <v>5.116358621036099E-3</v>
      </c>
      <c r="AL129" s="168">
        <f t="shared" si="68"/>
        <v>4.6356149991602091E-3</v>
      </c>
      <c r="AM129" s="168">
        <f t="shared" si="68"/>
        <v>4.4857608511390534E-3</v>
      </c>
    </row>
    <row r="130" spans="1:39" x14ac:dyDescent="0.25">
      <c r="A130" s="148" t="s">
        <v>225</v>
      </c>
      <c r="B130" s="167"/>
      <c r="C130" s="168">
        <f t="shared" si="69"/>
        <v>-7.0428743747816824E-3</v>
      </c>
      <c r="D130" s="168">
        <f t="shared" si="68"/>
        <v>-7.8954107423725439E-3</v>
      </c>
      <c r="E130" s="168">
        <f t="shared" si="68"/>
        <v>-1.1264325243340312E-2</v>
      </c>
      <c r="F130" s="168">
        <f t="shared" si="68"/>
        <v>-1.4561091758009903E-2</v>
      </c>
      <c r="G130" s="168">
        <f t="shared" si="68"/>
        <v>-1.6703527046636357E-2</v>
      </c>
      <c r="H130" s="168">
        <f t="shared" si="68"/>
        <v>-1.6466405742859624E-2</v>
      </c>
      <c r="I130" s="168">
        <f t="shared" si="68"/>
        <v>-1.5445135020695999E-2</v>
      </c>
      <c r="J130" s="168">
        <f t="shared" si="68"/>
        <v>-9.743518592240985E-3</v>
      </c>
      <c r="K130" s="168">
        <f t="shared" si="68"/>
        <v>-3.3537885764743924E-3</v>
      </c>
      <c r="L130" s="168">
        <f t="shared" si="68"/>
        <v>-3.3372343809240368E-3</v>
      </c>
      <c r="M130" s="168">
        <f t="shared" si="68"/>
        <v>-4.7507988709503124E-3</v>
      </c>
      <c r="N130" s="168">
        <f t="shared" si="68"/>
        <v>-7.0533174799407572E-3</v>
      </c>
      <c r="O130" s="168">
        <f t="shared" si="68"/>
        <v>-7.0207729331847046E-3</v>
      </c>
      <c r="P130" s="168">
        <f t="shared" si="68"/>
        <v>-6.9887228610865382E-3</v>
      </c>
      <c r="Q130" s="168">
        <f t="shared" si="68"/>
        <v>-6.9571594838880868E-3</v>
      </c>
      <c r="R130" s="168">
        <f t="shared" si="68"/>
        <v>-6.9260752250136504E-3</v>
      </c>
      <c r="S130" s="168">
        <f t="shared" si="68"/>
        <v>-6.8954627053019468E-3</v>
      </c>
      <c r="T130" s="168">
        <f t="shared" si="68"/>
        <v>-9.7235401085572493E-3</v>
      </c>
      <c r="U130" s="168">
        <f t="shared" si="68"/>
        <v>-9.6789301950954698E-3</v>
      </c>
      <c r="V130" s="168">
        <f t="shared" si="68"/>
        <v>-9.6351717830867045E-3</v>
      </c>
      <c r="W130" s="168">
        <f t="shared" si="68"/>
        <v>-9.3126519937744012E-3</v>
      </c>
      <c r="X130" s="168">
        <f t="shared" si="68"/>
        <v>-2.1688999962960587E-2</v>
      </c>
      <c r="Y130" s="168">
        <f t="shared" si="68"/>
        <v>-1.849914186921775E-2</v>
      </c>
      <c r="Z130" s="168">
        <f t="shared" si="68"/>
        <v>-1.5441080869892376E-2</v>
      </c>
      <c r="AA130" s="168">
        <f t="shared" si="68"/>
        <v>-1.0360198823752942E-2</v>
      </c>
      <c r="AB130" s="168">
        <f t="shared" si="68"/>
        <v>-1.0317146180129688E-2</v>
      </c>
      <c r="AC130" s="168">
        <f t="shared" si="68"/>
        <v>-1.0973891695924776E-2</v>
      </c>
      <c r="AD130" s="168">
        <f t="shared" si="68"/>
        <v>-1.5750663297114942E-2</v>
      </c>
      <c r="AE130" s="168">
        <f t="shared" si="68"/>
        <v>-4.5928534080532657E-3</v>
      </c>
      <c r="AF130" s="168">
        <f t="shared" si="68"/>
        <v>-8.426053906101072E-3</v>
      </c>
      <c r="AG130" s="168">
        <f t="shared" si="68"/>
        <v>-8.3308000779961366E-3</v>
      </c>
      <c r="AH130" s="168">
        <f t="shared" si="68"/>
        <v>-8.1292929564805716E-3</v>
      </c>
      <c r="AI130" s="168">
        <f t="shared" si="68"/>
        <v>-8.0444250130948802E-3</v>
      </c>
      <c r="AJ130" s="168">
        <f t="shared" si="68"/>
        <v>-7.961122184599434E-3</v>
      </c>
      <c r="AK130" s="168">
        <f t="shared" si="68"/>
        <v>-7.8793419398823783E-3</v>
      </c>
      <c r="AL130" s="168">
        <f t="shared" si="68"/>
        <v>-9.5310845536519251E-3</v>
      </c>
      <c r="AM130" s="168">
        <f t="shared" si="68"/>
        <v>-1</v>
      </c>
    </row>
    <row r="131" spans="1:39" x14ac:dyDescent="0.25">
      <c r="A131" t="s">
        <v>100</v>
      </c>
      <c r="B131" s="167"/>
      <c r="C131" s="168">
        <f t="shared" si="69"/>
        <v>-0.10958908675490919</v>
      </c>
      <c r="D131" s="168">
        <f t="shared" si="68"/>
        <v>-9.8921676959157545E-2</v>
      </c>
      <c r="E131" s="168">
        <f t="shared" si="68"/>
        <v>-9.0143650954274235E-2</v>
      </c>
      <c r="F131" s="168">
        <f t="shared" si="68"/>
        <v>-8.2880036132492618E-2</v>
      </c>
      <c r="G131" s="168">
        <f t="shared" si="68"/>
        <v>-8.7708205753164292E-2</v>
      </c>
      <c r="H131" s="168">
        <f t="shared" si="68"/>
        <v>-7.9925185953861444E-2</v>
      </c>
      <c r="I131" s="168">
        <f t="shared" si="68"/>
        <v>-7.3267014754344273E-2</v>
      </c>
      <c r="J131" s="168">
        <f t="shared" si="68"/>
        <v>-6.708527229125294E-2</v>
      </c>
      <c r="K131" s="168">
        <f t="shared" si="68"/>
        <v>-6.1570549975959898E-2</v>
      </c>
      <c r="L131" s="168">
        <f t="shared" si="68"/>
        <v>-5.7284004813891398E-2</v>
      </c>
      <c r="M131" s="168">
        <f t="shared" si="68"/>
        <v>-5.1559427176477435E-2</v>
      </c>
      <c r="N131" s="168">
        <f t="shared" si="68"/>
        <v>-4.8831488820673452E-2</v>
      </c>
      <c r="O131" s="168">
        <f t="shared" si="68"/>
        <v>-4.6161335700014461E-2</v>
      </c>
      <c r="P131" s="168">
        <f t="shared" si="68"/>
        <v>-4.3740859000264365E-2</v>
      </c>
      <c r="Q131" s="168">
        <f t="shared" si="68"/>
        <v>-4.1535965140313547E-2</v>
      </c>
      <c r="R131" s="168">
        <f t="shared" si="68"/>
        <v>-3.9518479170930099E-2</v>
      </c>
      <c r="S131" s="168">
        <f t="shared" si="68"/>
        <v>-3.7664913233321329E-2</v>
      </c>
      <c r="T131" s="168">
        <f t="shared" si="68"/>
        <v>-3.6591242442217342E-2</v>
      </c>
      <c r="U131" s="168">
        <f t="shared" si="68"/>
        <v>-3.530697468307642E-2</v>
      </c>
      <c r="V131" s="168">
        <f t="shared" si="68"/>
        <v>-3.1907065778768562E-2</v>
      </c>
      <c r="W131" s="168">
        <f t="shared" si="68"/>
        <v>-3.0548781126384927E-2</v>
      </c>
      <c r="X131" s="168">
        <f t="shared" si="68"/>
        <v>-3.1203926947975025E-2</v>
      </c>
      <c r="Y131" s="168">
        <f t="shared" si="68"/>
        <v>-3.0097092519579371E-2</v>
      </c>
      <c r="Z131" s="168">
        <f t="shared" si="68"/>
        <v>-2.9024025186745961E-2</v>
      </c>
      <c r="AA131" s="168">
        <f t="shared" si="68"/>
        <v>-2.5777027004141195E-2</v>
      </c>
      <c r="AB131" s="168">
        <f t="shared" si="68"/>
        <v>-2.0140369403588321E-2</v>
      </c>
      <c r="AC131" s="168">
        <f t="shared" si="68"/>
        <v>-2.0100193980909009E-2</v>
      </c>
      <c r="AD131" s="168">
        <f t="shared" si="68"/>
        <v>-2.0636558877871636E-2</v>
      </c>
      <c r="AE131" s="168">
        <f t="shared" si="68"/>
        <v>-2.2901007200363144E-2</v>
      </c>
      <c r="AF131" s="168">
        <f t="shared" si="68"/>
        <v>-2.2940178541300371E-2</v>
      </c>
      <c r="AG131" s="168">
        <f t="shared" si="68"/>
        <v>-2.2984207794612299E-2</v>
      </c>
      <c r="AH131" s="168">
        <f t="shared" si="68"/>
        <v>-2.260604934497179E-2</v>
      </c>
      <c r="AI131" s="168">
        <f t="shared" si="68"/>
        <v>-2.2128585554847646E-2</v>
      </c>
      <c r="AJ131" s="168">
        <f t="shared" si="68"/>
        <v>-2.1671048345939692E-2</v>
      </c>
      <c r="AK131" s="168">
        <f t="shared" si="68"/>
        <v>-2.1232199062783286E-2</v>
      </c>
      <c r="AL131" s="168">
        <f t="shared" si="68"/>
        <v>-2.107495979290086E-2</v>
      </c>
      <c r="AM131" s="168">
        <f t="shared" si="68"/>
        <v>-2.0670946905970933E-2</v>
      </c>
    </row>
    <row r="135" spans="1:39" x14ac:dyDescent="0.25">
      <c r="A135" s="165" t="s">
        <v>254</v>
      </c>
      <c r="B135" s="2">
        <v>2013</v>
      </c>
      <c r="C135" s="2">
        <v>2014</v>
      </c>
      <c r="D135" s="2">
        <v>2015</v>
      </c>
      <c r="E135" s="2">
        <v>2016</v>
      </c>
      <c r="F135" s="2">
        <v>2017</v>
      </c>
      <c r="G135" s="2">
        <v>2018</v>
      </c>
      <c r="H135" s="2">
        <v>2019</v>
      </c>
      <c r="I135" s="2">
        <v>2020</v>
      </c>
      <c r="J135" s="2">
        <v>2021</v>
      </c>
      <c r="K135" s="2">
        <v>2022</v>
      </c>
      <c r="L135" s="2">
        <v>2023</v>
      </c>
      <c r="M135" s="2">
        <v>2024</v>
      </c>
      <c r="N135" s="2">
        <v>2025</v>
      </c>
      <c r="O135" s="2">
        <v>2026</v>
      </c>
      <c r="P135" s="2">
        <v>2027</v>
      </c>
      <c r="Q135" s="2">
        <v>2028</v>
      </c>
      <c r="R135" s="2">
        <v>2029</v>
      </c>
      <c r="S135" s="2">
        <v>2030</v>
      </c>
      <c r="T135" s="2">
        <v>2031</v>
      </c>
      <c r="U135" s="2">
        <v>2032</v>
      </c>
      <c r="V135" s="2">
        <v>2033</v>
      </c>
      <c r="W135" s="2">
        <v>2034</v>
      </c>
      <c r="X135" s="2">
        <v>2035</v>
      </c>
      <c r="Y135" s="2">
        <v>2036</v>
      </c>
      <c r="Z135" s="2">
        <v>2037</v>
      </c>
      <c r="AA135" s="2">
        <v>2038</v>
      </c>
      <c r="AB135" s="2">
        <v>2039</v>
      </c>
      <c r="AC135" s="2">
        <v>2040</v>
      </c>
      <c r="AD135" s="2">
        <v>2041</v>
      </c>
      <c r="AE135" s="2">
        <v>2042</v>
      </c>
      <c r="AF135" s="2">
        <v>2043</v>
      </c>
      <c r="AG135" s="2">
        <v>2044</v>
      </c>
      <c r="AH135" s="2">
        <v>2045</v>
      </c>
      <c r="AI135" s="2">
        <v>2046</v>
      </c>
      <c r="AJ135" s="2">
        <v>2047</v>
      </c>
      <c r="AK135" s="2">
        <v>2048</v>
      </c>
      <c r="AL135" s="2">
        <v>2049</v>
      </c>
      <c r="AM135" s="2">
        <v>2050</v>
      </c>
    </row>
    <row r="136" spans="1:39" x14ac:dyDescent="0.25">
      <c r="A136" t="s">
        <v>215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>
        <f t="shared" ref="AE136:AM136" si="70">AE102/AE38</f>
        <v>9.102150823743391E-3</v>
      </c>
      <c r="AF136" s="167">
        <f t="shared" si="70"/>
        <v>9.0778977419305028E-3</v>
      </c>
      <c r="AG136" s="167">
        <f t="shared" si="70"/>
        <v>9.0537875938032659E-3</v>
      </c>
      <c r="AH136" s="167">
        <f t="shared" si="70"/>
        <v>9.029819310357956E-3</v>
      </c>
      <c r="AI136" s="167">
        <f t="shared" si="70"/>
        <v>9.0059918569567621E-3</v>
      </c>
      <c r="AJ136" s="167">
        <f t="shared" si="70"/>
        <v>8.9823042279651624E-3</v>
      </c>
      <c r="AK136" s="167">
        <f t="shared" si="70"/>
        <v>8.9587554413387543E-3</v>
      </c>
      <c r="AL136" s="167">
        <f t="shared" si="70"/>
        <v>8.9347447665554577E-3</v>
      </c>
      <c r="AM136" s="167">
        <f t="shared" si="70"/>
        <v>8.9108811290991886E-3</v>
      </c>
    </row>
    <row r="137" spans="1:39" x14ac:dyDescent="0.25">
      <c r="A137" t="s">
        <v>212</v>
      </c>
      <c r="B137" s="167">
        <f t="shared" ref="B137:Q142" si="71">B103/B39</f>
        <v>2.3373563123762861E-2</v>
      </c>
      <c r="C137" s="167">
        <f t="shared" si="71"/>
        <v>2.3251251308733741E-2</v>
      </c>
      <c r="D137" s="167">
        <f t="shared" si="71"/>
        <v>2.3231771318754254E-2</v>
      </c>
      <c r="E137" s="167">
        <f t="shared" si="71"/>
        <v>2.3222795479709953E-2</v>
      </c>
      <c r="F137" s="167">
        <f t="shared" si="71"/>
        <v>2.3219193443148146E-2</v>
      </c>
      <c r="G137" s="167">
        <f t="shared" si="71"/>
        <v>2.2606257021537065E-2</v>
      </c>
      <c r="H137" s="167">
        <f t="shared" si="71"/>
        <v>2.2218894124775533E-2</v>
      </c>
      <c r="I137" s="167">
        <f t="shared" si="71"/>
        <v>2.19633226699938E-2</v>
      </c>
      <c r="J137" s="167">
        <f t="shared" si="71"/>
        <v>2.1791557752254283E-2</v>
      </c>
      <c r="K137" s="167">
        <f t="shared" si="71"/>
        <v>2.1676500169786117E-2</v>
      </c>
      <c r="L137" s="167">
        <f t="shared" si="71"/>
        <v>2.1601690336114376E-2</v>
      </c>
      <c r="M137" s="167">
        <f t="shared" si="71"/>
        <v>2.1619179525664126E-2</v>
      </c>
      <c r="N137" s="167">
        <f t="shared" si="71"/>
        <v>2.162275231644575E-2</v>
      </c>
      <c r="O137" s="167">
        <f t="shared" si="71"/>
        <v>2.1631806133022582E-2</v>
      </c>
      <c r="P137" s="167">
        <f t="shared" si="71"/>
        <v>2.1645292242132248E-2</v>
      </c>
      <c r="Q137" s="167">
        <f t="shared" si="71"/>
        <v>2.1662412287117221E-2</v>
      </c>
      <c r="R137" s="167">
        <f t="shared" ref="R137:AD137" si="72">R103/R39</f>
        <v>2.1682547567834769E-2</v>
      </c>
      <c r="S137" s="167">
        <f t="shared" si="72"/>
        <v>2.170521100351774E-2</v>
      </c>
      <c r="T137" s="167">
        <f t="shared" si="72"/>
        <v>2.1717894692451264E-2</v>
      </c>
      <c r="U137" s="167">
        <f t="shared" si="72"/>
        <v>2.1727227447906092E-2</v>
      </c>
      <c r="V137" s="167">
        <f t="shared" si="72"/>
        <v>2.1783354555476388E-2</v>
      </c>
      <c r="W137" s="167">
        <f t="shared" si="72"/>
        <v>2.1841778581484023E-2</v>
      </c>
      <c r="X137" s="167">
        <f t="shared" si="72"/>
        <v>2.1891517801971048E-2</v>
      </c>
      <c r="Y137" s="167">
        <f t="shared" si="72"/>
        <v>2.1933495534349715E-2</v>
      </c>
      <c r="Z137" s="167">
        <f t="shared" si="72"/>
        <v>2.1968507344904596E-2</v>
      </c>
      <c r="AA137" s="167">
        <f t="shared" si="72"/>
        <v>2.2080362273299254E-2</v>
      </c>
      <c r="AB137" s="167">
        <f t="shared" si="72"/>
        <v>2.2177015555924162E-2</v>
      </c>
      <c r="AC137" s="167">
        <f t="shared" si="72"/>
        <v>2.2259717069680822E-2</v>
      </c>
      <c r="AD137" s="167">
        <f t="shared" si="72"/>
        <v>2.2329596513816132E-2</v>
      </c>
      <c r="AE137" s="167">
        <f t="shared" ref="AE137:AM137" si="73">AE103/AE39</f>
        <v>2.2433766117201857E-2</v>
      </c>
      <c r="AF137" s="167">
        <f t="shared" si="73"/>
        <v>2.2510802362031231E-2</v>
      </c>
      <c r="AG137" s="167">
        <f t="shared" si="73"/>
        <v>2.2559438696103974E-2</v>
      </c>
      <c r="AH137" s="167">
        <f t="shared" si="73"/>
        <v>2.2601923465864336E-2</v>
      </c>
      <c r="AI137" s="167">
        <f t="shared" si="73"/>
        <v>2.2638740492262572E-2</v>
      </c>
      <c r="AJ137" s="167">
        <f t="shared" si="73"/>
        <v>2.2670327941191292E-2</v>
      </c>
      <c r="AK137" s="167">
        <f t="shared" si="73"/>
        <v>2.2697083517573963E-2</v>
      </c>
      <c r="AL137" s="167">
        <f t="shared" si="73"/>
        <v>2.2715491864958848E-2</v>
      </c>
      <c r="AM137" s="167">
        <f t="shared" si="73"/>
        <v>2.2729773380177946E-2</v>
      </c>
    </row>
    <row r="138" spans="1:39" x14ac:dyDescent="0.25">
      <c r="A138" t="s">
        <v>213</v>
      </c>
      <c r="B138" s="167">
        <f t="shared" si="71"/>
        <v>1.9436393713707742E-2</v>
      </c>
      <c r="C138" s="167">
        <f t="shared" ref="C138:Q138" si="74">C104/C40</f>
        <v>1.9416007284856346E-2</v>
      </c>
      <c r="D138" s="167">
        <f t="shared" si="74"/>
        <v>1.9497132944237914E-2</v>
      </c>
      <c r="E138" s="167">
        <f t="shared" si="74"/>
        <v>1.9589226812587485E-2</v>
      </c>
      <c r="F138" s="167">
        <f t="shared" si="74"/>
        <v>1.968741239846963E-2</v>
      </c>
      <c r="G138" s="167">
        <f t="shared" si="74"/>
        <v>1.9816806380448172E-2</v>
      </c>
      <c r="H138" s="167">
        <f t="shared" si="74"/>
        <v>1.995002124239206E-2</v>
      </c>
      <c r="I138" s="167">
        <f t="shared" si="74"/>
        <v>2.0086485233094285E-2</v>
      </c>
      <c r="J138" s="167">
        <f t="shared" si="74"/>
        <v>2.0225868894840071E-2</v>
      </c>
      <c r="K138" s="167">
        <f t="shared" si="74"/>
        <v>2.0367977270388953E-2</v>
      </c>
      <c r="L138" s="167">
        <f t="shared" si="74"/>
        <v>2.0512695240091371E-2</v>
      </c>
      <c r="M138" s="167">
        <f t="shared" si="74"/>
        <v>2.0647951614596604E-2</v>
      </c>
      <c r="N138" s="167">
        <f t="shared" si="74"/>
        <v>2.0765972601354554E-2</v>
      </c>
      <c r="O138" s="167">
        <f t="shared" si="74"/>
        <v>2.08854716767134E-2</v>
      </c>
      <c r="P138" s="167">
        <f t="shared" si="74"/>
        <v>2.1006419770189525E-2</v>
      </c>
      <c r="Q138" s="167">
        <f t="shared" si="74"/>
        <v>2.1128798814040468E-2</v>
      </c>
      <c r="R138" s="167">
        <f t="shared" ref="R138:AD138" si="75">R104/R40</f>
        <v>2.1252598798178122E-2</v>
      </c>
      <c r="S138" s="167">
        <f t="shared" si="75"/>
        <v>2.1377815748039878E-2</v>
      </c>
      <c r="T138" s="167">
        <f t="shared" si="75"/>
        <v>2.1491909370803818E-2</v>
      </c>
      <c r="U138" s="167">
        <f t="shared" si="75"/>
        <v>2.1601480486486264E-2</v>
      </c>
      <c r="V138" s="167">
        <f t="shared" si="75"/>
        <v>2.1707116213226244E-2</v>
      </c>
      <c r="W138" s="167">
        <f t="shared" si="75"/>
        <v>2.1809305793711226E-2</v>
      </c>
      <c r="X138" s="167">
        <f t="shared" si="75"/>
        <v>2.1908459968179864E-2</v>
      </c>
      <c r="Y138" s="167">
        <f t="shared" si="75"/>
        <v>2.2004925914466195E-2</v>
      </c>
      <c r="Z138" s="167">
        <f t="shared" si="75"/>
        <v>2.2098998894883572E-2</v>
      </c>
      <c r="AA138" s="167">
        <f t="shared" si="75"/>
        <v>2.2190931426681888E-2</v>
      </c>
      <c r="AB138" s="167">
        <f t="shared" si="75"/>
        <v>2.2537642646771071E-2</v>
      </c>
      <c r="AC138" s="167">
        <f t="shared" si="75"/>
        <v>2.2868742217420666E-2</v>
      </c>
      <c r="AD138" s="167">
        <f t="shared" si="75"/>
        <v>2.3185039787111766E-2</v>
      </c>
      <c r="AE138" s="167">
        <f t="shared" ref="AE138:AM138" si="76">AE104/AE40</f>
        <v>2.3538019342085246E-2</v>
      </c>
      <c r="AF138" s="167">
        <f t="shared" si="76"/>
        <v>2.3861461066199567E-2</v>
      </c>
      <c r="AG138" s="167">
        <f t="shared" si="76"/>
        <v>2.4174312962480782E-2</v>
      </c>
      <c r="AH138" s="167">
        <f t="shared" si="76"/>
        <v>2.447715496362524E-2</v>
      </c>
      <c r="AI138" s="167">
        <f t="shared" si="76"/>
        <v>2.4770526790144173E-2</v>
      </c>
      <c r="AJ138" s="167">
        <f t="shared" si="76"/>
        <v>2.5054931380173003E-2</v>
      </c>
      <c r="AK138" s="167">
        <f t="shared" si="76"/>
        <v>2.5330837974288339E-2</v>
      </c>
      <c r="AL138" s="167">
        <f t="shared" si="76"/>
        <v>2.5593762905541082E-2</v>
      </c>
      <c r="AM138" s="167">
        <f t="shared" si="76"/>
        <v>2.584887079815517E-2</v>
      </c>
    </row>
    <row r="139" spans="1:39" x14ac:dyDescent="0.25">
      <c r="A139" t="s">
        <v>214</v>
      </c>
      <c r="B139" s="167">
        <f t="shared" si="71"/>
        <v>2.7377733700344714E-2</v>
      </c>
      <c r="C139" s="167">
        <f t="shared" si="71"/>
        <v>2.7167675810664121E-2</v>
      </c>
      <c r="D139" s="167">
        <f t="shared" si="71"/>
        <v>2.7111626891001005E-2</v>
      </c>
      <c r="E139" s="167">
        <f t="shared" si="71"/>
        <v>2.7057635637730615E-2</v>
      </c>
      <c r="F139" s="167">
        <f t="shared" si="71"/>
        <v>2.7005690582624798E-2</v>
      </c>
      <c r="G139" s="167">
        <f t="shared" si="71"/>
        <v>2.7006407351354202E-2</v>
      </c>
      <c r="H139" s="167">
        <f t="shared" si="71"/>
        <v>2.7009578633533905E-2</v>
      </c>
      <c r="I139" s="167">
        <f t="shared" si="71"/>
        <v>2.7015227225341498E-2</v>
      </c>
      <c r="J139" s="167">
        <f t="shared" si="71"/>
        <v>2.7023377557053301E-2</v>
      </c>
      <c r="K139" s="167">
        <f t="shared" si="71"/>
        <v>2.7034055741007645E-2</v>
      </c>
      <c r="L139" s="167">
        <f t="shared" si="71"/>
        <v>2.7047289622777446E-2</v>
      </c>
      <c r="M139" s="167">
        <f t="shared" si="71"/>
        <v>2.7042510969868351E-2</v>
      </c>
      <c r="N139" s="167">
        <f t="shared" si="71"/>
        <v>2.7007479067383051E-2</v>
      </c>
      <c r="O139" s="167">
        <f t="shared" si="71"/>
        <v>2.6974817811257788E-2</v>
      </c>
      <c r="P139" s="167">
        <f t="shared" si="71"/>
        <v>2.6944530170892479E-2</v>
      </c>
      <c r="Q139" s="167">
        <f t="shared" si="71"/>
        <v>2.6916620453133252E-2</v>
      </c>
      <c r="R139" s="167">
        <f t="shared" ref="R139:AD139" si="77">R105/R41</f>
        <v>2.6891094318250076E-2</v>
      </c>
      <c r="S139" s="167">
        <f t="shared" si="77"/>
        <v>2.6867958797919745E-2</v>
      </c>
      <c r="T139" s="167">
        <f t="shared" si="77"/>
        <v>2.6835294995565293E-2</v>
      </c>
      <c r="U139" s="167">
        <f t="shared" si="77"/>
        <v>2.6802533202478541E-2</v>
      </c>
      <c r="V139" s="167">
        <f t="shared" si="77"/>
        <v>2.676967237921226E-2</v>
      </c>
      <c r="W139" s="167">
        <f t="shared" si="77"/>
        <v>2.6736711428324397E-2</v>
      </c>
      <c r="X139" s="167">
        <f t="shared" si="77"/>
        <v>2.670364920083013E-2</v>
      </c>
      <c r="Y139" s="167">
        <f t="shared" si="77"/>
        <v>2.6670484503544666E-2</v>
      </c>
      <c r="Z139" s="167">
        <f t="shared" si="77"/>
        <v>2.6637216107113355E-2</v>
      </c>
      <c r="AA139" s="167">
        <f t="shared" si="77"/>
        <v>2.6603842754513898E-2</v>
      </c>
      <c r="AB139" s="167">
        <f t="shared" si="77"/>
        <v>2.6570363169808334E-2</v>
      </c>
      <c r="AC139" s="167">
        <f t="shared" si="77"/>
        <v>2.6536776066922022E-2</v>
      </c>
      <c r="AD139" s="167">
        <f t="shared" si="77"/>
        <v>2.6503080158230875E-2</v>
      </c>
      <c r="AE139" s="167">
        <f t="shared" ref="AE139:AM139" si="78">AE105/AE41</f>
        <v>2.6533724595742825E-2</v>
      </c>
      <c r="AF139" s="167">
        <f t="shared" si="78"/>
        <v>2.6540822141016728E-2</v>
      </c>
      <c r="AG139" s="167">
        <f t="shared" si="78"/>
        <v>2.6542547284864836E-2</v>
      </c>
      <c r="AH139" s="167">
        <f t="shared" si="78"/>
        <v>2.6528838431312911E-2</v>
      </c>
      <c r="AI139" s="167">
        <f t="shared" si="78"/>
        <v>2.6512936882048917E-2</v>
      </c>
      <c r="AJ139" s="167">
        <f t="shared" si="78"/>
        <v>2.6494828103564922E-2</v>
      </c>
      <c r="AK139" s="167">
        <f t="shared" si="78"/>
        <v>2.6474498539611958E-2</v>
      </c>
      <c r="AL139" s="167">
        <f t="shared" si="78"/>
        <v>2.644668009417794E-2</v>
      </c>
      <c r="AM139" s="167">
        <f t="shared" si="78"/>
        <v>2.6416671868424529E-2</v>
      </c>
    </row>
    <row r="140" spans="1:39" x14ac:dyDescent="0.25">
      <c r="A140" t="s">
        <v>216</v>
      </c>
      <c r="B140" s="167">
        <f t="shared" si="71"/>
        <v>2.1750435015154543E-2</v>
      </c>
      <c r="C140" s="167">
        <f t="shared" si="71"/>
        <v>2.1371804370674503E-2</v>
      </c>
      <c r="D140" s="167">
        <f t="shared" si="71"/>
        <v>2.1155005267509394E-2</v>
      </c>
      <c r="E140" s="167">
        <f t="shared" si="71"/>
        <v>2.0991795386150629E-2</v>
      </c>
      <c r="F140" s="167">
        <f t="shared" si="71"/>
        <v>2.0865844069272547E-2</v>
      </c>
      <c r="G140" s="167">
        <f t="shared" si="71"/>
        <v>2.07968507813646E-2</v>
      </c>
      <c r="H140" s="167">
        <f t="shared" si="71"/>
        <v>2.0747902934460979E-2</v>
      </c>
      <c r="I140" s="167">
        <f t="shared" si="71"/>
        <v>2.0714401036512398E-2</v>
      </c>
      <c r="J140" s="167">
        <f t="shared" si="71"/>
        <v>2.0693069884406484E-2</v>
      </c>
      <c r="K140" s="167">
        <f t="shared" si="71"/>
        <v>2.0681514163918988E-2</v>
      </c>
      <c r="L140" s="167">
        <f t="shared" si="71"/>
        <v>2.0677941753681161E-2</v>
      </c>
      <c r="M140" s="167">
        <f t="shared" si="71"/>
        <v>2.0668954668354569E-2</v>
      </c>
      <c r="N140" s="167">
        <f t="shared" si="71"/>
        <v>2.0646326584589644E-2</v>
      </c>
      <c r="O140" s="167">
        <f t="shared" si="71"/>
        <v>2.0628238098439888E-2</v>
      </c>
      <c r="P140" s="167">
        <f t="shared" si="71"/>
        <v>2.0613984987958498E-2</v>
      </c>
      <c r="Q140" s="167">
        <f t="shared" si="71"/>
        <v>2.0602997426781421E-2</v>
      </c>
      <c r="R140" s="167">
        <f t="shared" ref="R140:AD140" si="79">R106/R42</f>
        <v>2.0594809271492039E-2</v>
      </c>
      <c r="S140" s="167">
        <f t="shared" si="79"/>
        <v>2.0589035401303805E-2</v>
      </c>
      <c r="T140" s="167">
        <f t="shared" si="79"/>
        <v>2.0579043753743295E-2</v>
      </c>
      <c r="U140" s="167">
        <f t="shared" si="79"/>
        <v>2.0570178418543968E-2</v>
      </c>
      <c r="V140" s="167">
        <f t="shared" si="79"/>
        <v>2.0626705260005391E-2</v>
      </c>
      <c r="W140" s="167">
        <f t="shared" si="79"/>
        <v>2.0677914573428352E-2</v>
      </c>
      <c r="X140" s="167">
        <f t="shared" si="79"/>
        <v>2.0724296018832512E-2</v>
      </c>
      <c r="Y140" s="167">
        <f t="shared" si="79"/>
        <v>2.0766271892500146E-2</v>
      </c>
      <c r="Z140" s="167">
        <f t="shared" si="79"/>
        <v>2.08042135804032E-2</v>
      </c>
      <c r="AA140" s="167">
        <f t="shared" si="79"/>
        <v>2.0838448981707367E-2</v>
      </c>
      <c r="AB140" s="167">
        <f t="shared" si="79"/>
        <v>2.0869268670150567E-2</v>
      </c>
      <c r="AC140" s="167">
        <f t="shared" si="79"/>
        <v>2.0896931036748313E-2</v>
      </c>
      <c r="AD140" s="167">
        <f t="shared" si="79"/>
        <v>2.0921666605049915E-2</v>
      </c>
      <c r="AE140" s="167">
        <f t="shared" ref="AE140:AM140" si="80">AE106/AE42</f>
        <v>2.0984011569300815E-2</v>
      </c>
      <c r="AF140" s="167">
        <f t="shared" si="80"/>
        <v>2.1029427937291168E-2</v>
      </c>
      <c r="AG140" s="167">
        <f t="shared" si="80"/>
        <v>2.1072993178379552E-2</v>
      </c>
      <c r="AH140" s="167">
        <f t="shared" si="80"/>
        <v>2.1114849595593836E-2</v>
      </c>
      <c r="AI140" s="167">
        <f t="shared" si="80"/>
        <v>2.1155125993144456E-2</v>
      </c>
      <c r="AJ140" s="167">
        <f t="shared" si="80"/>
        <v>2.1193939239366071E-2</v>
      </c>
      <c r="AK140" s="167">
        <f t="shared" si="80"/>
        <v>2.1231395617467796E-2</v>
      </c>
      <c r="AL140" s="167">
        <f t="shared" si="80"/>
        <v>2.1264194522876038E-2</v>
      </c>
      <c r="AM140" s="167">
        <f t="shared" si="80"/>
        <v>2.1295822239967926E-2</v>
      </c>
    </row>
    <row r="141" spans="1:39" x14ac:dyDescent="0.25">
      <c r="A141" s="148" t="s">
        <v>225</v>
      </c>
      <c r="B141" s="167">
        <f t="shared" si="71"/>
        <v>5.2691561151259801E-2</v>
      </c>
      <c r="C141" s="167">
        <f t="shared" si="71"/>
        <v>5.1918070823151065E-2</v>
      </c>
      <c r="D141" s="167">
        <f t="shared" si="71"/>
        <v>5.1704295047251062E-2</v>
      </c>
      <c r="E141" s="167">
        <f t="shared" si="71"/>
        <v>5.1490300843429072E-2</v>
      </c>
      <c r="F141" s="167">
        <f t="shared" si="71"/>
        <v>5.1276084816312476E-2</v>
      </c>
      <c r="G141" s="167">
        <f t="shared" si="71"/>
        <v>5.1243609955384739E-2</v>
      </c>
      <c r="H141" s="167">
        <f t="shared" si="71"/>
        <v>5.1211285386067534E-2</v>
      </c>
      <c r="I141" s="167">
        <f t="shared" si="71"/>
        <v>5.1179111165779202E-2</v>
      </c>
      <c r="J141" s="167">
        <f t="shared" si="71"/>
        <v>5.1147087356020304E-2</v>
      </c>
      <c r="K141" s="167">
        <f t="shared" si="71"/>
        <v>5.1115214022397513E-2</v>
      </c>
      <c r="L141" s="167">
        <f t="shared" si="71"/>
        <v>5.1083491234648067E-2</v>
      </c>
      <c r="M141" s="167">
        <f t="shared" si="71"/>
        <v>5.097867067297164E-2</v>
      </c>
      <c r="N141" s="167">
        <f t="shared" si="71"/>
        <v>5.0758250000111652E-2</v>
      </c>
      <c r="O141" s="167">
        <f t="shared" si="71"/>
        <v>5.0538712618514128E-2</v>
      </c>
      <c r="P141" s="167">
        <f t="shared" si="71"/>
        <v>5.0320050757745288E-2</v>
      </c>
      <c r="Q141" s="167">
        <f t="shared" si="71"/>
        <v>5.0102256721000465E-2</v>
      </c>
      <c r="R141" s="167">
        <f t="shared" ref="R141:AD141" si="81">R107/R43</f>
        <v>4.9885322884131209E-2</v>
      </c>
      <c r="S141" s="167">
        <f t="shared" si="81"/>
        <v>4.9669241694686915E-2</v>
      </c>
      <c r="T141" s="167">
        <f t="shared" si="81"/>
        <v>4.9421752191636942E-2</v>
      </c>
      <c r="U141" s="167">
        <f t="shared" si="81"/>
        <v>4.9175312275694473E-2</v>
      </c>
      <c r="V141" s="167">
        <f t="shared" si="81"/>
        <v>4.8929913914249293E-2</v>
      </c>
      <c r="W141" s="167">
        <f t="shared" si="81"/>
        <v>4.8685549152283569E-2</v>
      </c>
      <c r="X141" s="167">
        <f t="shared" si="81"/>
        <v>4.8442210111424154E-2</v>
      </c>
      <c r="Y141" s="167">
        <f t="shared" si="81"/>
        <v>4.819988898900858E-2</v>
      </c>
      <c r="Z141" s="167">
        <f t="shared" si="81"/>
        <v>4.7958578057164573E-2</v>
      </c>
      <c r="AA141" s="167">
        <f t="shared" si="81"/>
        <v>4.7718269661903158E-2</v>
      </c>
      <c r="AB141" s="167">
        <f t="shared" si="81"/>
        <v>4.7478956222224582E-2</v>
      </c>
      <c r="AC141" s="167">
        <f t="shared" si="81"/>
        <v>4.7240630229237329E-2</v>
      </c>
      <c r="AD141" s="167">
        <f t="shared" si="81"/>
        <v>4.7003284245289663E-2</v>
      </c>
      <c r="AE141" s="167">
        <f t="shared" ref="AE141:AL142" si="82">AE107/AE43</f>
        <v>4.696848318374524E-2</v>
      </c>
      <c r="AF141" s="167">
        <f t="shared" si="82"/>
        <v>4.6859260426010331E-2</v>
      </c>
      <c r="AG141" s="167">
        <f t="shared" si="82"/>
        <v>4.6750977813357367E-2</v>
      </c>
      <c r="AH141" s="167">
        <f t="shared" si="82"/>
        <v>4.6643624558080216E-2</v>
      </c>
      <c r="AI141" s="167">
        <f t="shared" si="82"/>
        <v>4.6537190039691131E-2</v>
      </c>
      <c r="AJ141" s="167">
        <f t="shared" si="82"/>
        <v>4.6431663801701738E-2</v>
      </c>
      <c r="AK141" s="167">
        <f t="shared" si="82"/>
        <v>4.6327035548478064E-2</v>
      </c>
      <c r="AL141" s="167">
        <f t="shared" si="82"/>
        <v>4.6207249396118956E-2</v>
      </c>
      <c r="AM141" s="167"/>
    </row>
    <row r="142" spans="1:39" x14ac:dyDescent="0.25">
      <c r="A142" t="s">
        <v>100</v>
      </c>
      <c r="B142" s="167">
        <f t="shared" si="71"/>
        <v>0.14756221559491331</v>
      </c>
      <c r="C142" s="167">
        <f t="shared" si="71"/>
        <v>0.13076431585367324</v>
      </c>
      <c r="D142" s="167">
        <f t="shared" si="71"/>
        <v>0.11778818905503737</v>
      </c>
      <c r="E142" s="167">
        <f t="shared" si="71"/>
        <v>0.10709106205978416</v>
      </c>
      <c r="F142" s="167">
        <f t="shared" si="71"/>
        <v>9.812029999191435E-2</v>
      </c>
      <c r="G142" s="167">
        <f t="shared" si="71"/>
        <v>8.8773868027446995E-2</v>
      </c>
      <c r="H142" s="167">
        <f t="shared" si="71"/>
        <v>8.109897316024009E-2</v>
      </c>
      <c r="I142" s="167">
        <f t="shared" si="71"/>
        <v>7.4684597485961249E-2</v>
      </c>
      <c r="J142" s="167">
        <f t="shared" si="71"/>
        <v>6.9244279520046845E-2</v>
      </c>
      <c r="K142" s="167">
        <f t="shared" si="71"/>
        <v>6.4572254705295026E-2</v>
      </c>
      <c r="L142" s="167">
        <f t="shared" si="71"/>
        <v>6.0516909471987408E-2</v>
      </c>
      <c r="M142" s="167">
        <f t="shared" si="71"/>
        <v>5.7164392533600429E-2</v>
      </c>
      <c r="N142" s="167">
        <f t="shared" si="71"/>
        <v>5.4112873107106808E-2</v>
      </c>
      <c r="O142" s="167">
        <f t="shared" si="71"/>
        <v>5.1369206546229167E-2</v>
      </c>
      <c r="P142" s="167">
        <f t="shared" si="71"/>
        <v>4.8888970589822528E-2</v>
      </c>
      <c r="Q142" s="167">
        <f t="shared" si="71"/>
        <v>4.6635895990687154E-2</v>
      </c>
      <c r="R142" s="167">
        <f t="shared" ref="R142:AD142" si="83">R108/R44</f>
        <v>4.4580078101333638E-2</v>
      </c>
      <c r="S142" s="167">
        <f t="shared" si="83"/>
        <v>4.2696639434315863E-2</v>
      </c>
      <c r="T142" s="167">
        <f t="shared" si="83"/>
        <v>4.094340725203769E-2</v>
      </c>
      <c r="U142" s="167">
        <f t="shared" si="83"/>
        <v>3.9317823255885974E-2</v>
      </c>
      <c r="V142" s="167">
        <f t="shared" si="83"/>
        <v>3.7866047235115219E-2</v>
      </c>
      <c r="W142" s="167">
        <f t="shared" si="83"/>
        <v>3.6517139967535292E-2</v>
      </c>
      <c r="X142" s="167">
        <f t="shared" si="83"/>
        <v>3.5250252199622259E-2</v>
      </c>
      <c r="Y142" s="167">
        <f t="shared" si="83"/>
        <v>3.4058112963695479E-2</v>
      </c>
      <c r="Z142" s="167">
        <f t="shared" si="83"/>
        <v>3.29342863101399E-2</v>
      </c>
      <c r="AA142" s="167">
        <f t="shared" si="83"/>
        <v>3.1945908328827981E-2</v>
      </c>
      <c r="AB142" s="167">
        <f t="shared" si="83"/>
        <v>3.1060992609717415E-2</v>
      </c>
      <c r="AC142" s="167">
        <f t="shared" si="83"/>
        <v>3.021117506478101E-2</v>
      </c>
      <c r="AD142" s="167">
        <f t="shared" si="83"/>
        <v>2.9394530602153565E-2</v>
      </c>
      <c r="AE142" s="167">
        <f t="shared" si="82"/>
        <v>2.8407721358678712E-2</v>
      </c>
      <c r="AF142" s="167">
        <f t="shared" si="82"/>
        <v>2.7461114058565959E-2</v>
      </c>
      <c r="AG142" s="167">
        <f t="shared" si="82"/>
        <v>2.6557691820127374E-2</v>
      </c>
      <c r="AH142" s="167">
        <f t="shared" si="82"/>
        <v>2.5707718083853373E-2</v>
      </c>
      <c r="AI142" s="167">
        <f t="shared" si="82"/>
        <v>2.4908108919838353E-2</v>
      </c>
      <c r="AJ142" s="167">
        <f t="shared" si="82"/>
        <v>2.4154541625247172E-2</v>
      </c>
      <c r="AK142" s="167">
        <f t="shared" si="82"/>
        <v>2.3443174125914502E-2</v>
      </c>
      <c r="AL142" s="167">
        <f t="shared" si="82"/>
        <v>2.2766779549344071E-2</v>
      </c>
      <c r="AM142" s="167">
        <f>AM108/AM44</f>
        <v>2.2126358682773722E-2</v>
      </c>
    </row>
    <row r="144" spans="1:39" x14ac:dyDescent="0.25">
      <c r="A144" s="166" t="s">
        <v>252</v>
      </c>
      <c r="B144" s="2">
        <v>2013</v>
      </c>
      <c r="C144" s="2">
        <v>2014</v>
      </c>
      <c r="D144" s="2">
        <v>2015</v>
      </c>
      <c r="E144" s="2">
        <v>2016</v>
      </c>
      <c r="F144" s="2">
        <v>2017</v>
      </c>
      <c r="G144" s="2">
        <v>2018</v>
      </c>
      <c r="H144" s="2">
        <v>2019</v>
      </c>
      <c r="I144" s="2">
        <v>2020</v>
      </c>
      <c r="J144" s="2">
        <v>2021</v>
      </c>
      <c r="K144" s="2">
        <v>2022</v>
      </c>
      <c r="L144" s="2">
        <v>2023</v>
      </c>
      <c r="M144" s="2">
        <v>2024</v>
      </c>
      <c r="N144" s="2">
        <v>2025</v>
      </c>
      <c r="O144" s="2">
        <v>2026</v>
      </c>
      <c r="P144" s="2">
        <v>2027</v>
      </c>
      <c r="Q144" s="2">
        <v>2028</v>
      </c>
      <c r="R144" s="2">
        <v>2029</v>
      </c>
      <c r="S144" s="2">
        <v>2030</v>
      </c>
      <c r="T144" s="2">
        <v>2031</v>
      </c>
      <c r="U144" s="2">
        <v>2032</v>
      </c>
      <c r="V144" s="2">
        <v>2033</v>
      </c>
      <c r="W144" s="2">
        <v>2034</v>
      </c>
      <c r="X144" s="2">
        <v>2035</v>
      </c>
      <c r="Y144" s="2">
        <v>2036</v>
      </c>
      <c r="Z144" s="2">
        <v>2037</v>
      </c>
      <c r="AA144" s="2">
        <v>2038</v>
      </c>
      <c r="AB144" s="2">
        <v>2039</v>
      </c>
      <c r="AC144" s="2">
        <v>2040</v>
      </c>
      <c r="AD144" s="2">
        <v>2041</v>
      </c>
      <c r="AE144" s="2">
        <v>2042</v>
      </c>
      <c r="AF144" s="2">
        <v>2043</v>
      </c>
      <c r="AG144" s="2">
        <v>2044</v>
      </c>
      <c r="AH144" s="2">
        <v>2045</v>
      </c>
      <c r="AI144" s="2">
        <v>2046</v>
      </c>
      <c r="AJ144" s="2">
        <v>2047</v>
      </c>
      <c r="AK144" s="2">
        <v>2048</v>
      </c>
      <c r="AL144" s="2">
        <v>2049</v>
      </c>
      <c r="AM144" s="2">
        <v>2050</v>
      </c>
    </row>
    <row r="145" spans="1:39" x14ac:dyDescent="0.25">
      <c r="A145" t="s">
        <v>215</v>
      </c>
      <c r="B145" s="167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>
        <f t="shared" ref="AF145:AM145" si="84">AF136/AE136-1</f>
        <v>-2.6645440492617523E-3</v>
      </c>
      <c r="AG145" s="168">
        <f t="shared" si="84"/>
        <v>-2.655917571738331E-3</v>
      </c>
      <c r="AH145" s="168">
        <f t="shared" si="84"/>
        <v>-2.6473211566963029E-3</v>
      </c>
      <c r="AI145" s="168">
        <f t="shared" si="84"/>
        <v>-2.6387519597276254E-3</v>
      </c>
      <c r="AJ145" s="168">
        <f t="shared" si="84"/>
        <v>-2.6302076848206957E-3</v>
      </c>
      <c r="AK145" s="168">
        <f t="shared" si="84"/>
        <v>-2.6216865994242999E-3</v>
      </c>
      <c r="AL145" s="168">
        <f t="shared" si="84"/>
        <v>-2.6801350857846851E-3</v>
      </c>
      <c r="AM145" s="168">
        <f t="shared" si="84"/>
        <v>-2.670880711175494E-3</v>
      </c>
    </row>
    <row r="146" spans="1:39" x14ac:dyDescent="0.25">
      <c r="A146" t="s">
        <v>212</v>
      </c>
      <c r="B146" s="167"/>
      <c r="C146" s="168">
        <f>C137/B137-1</f>
        <v>-5.2329126877865839E-3</v>
      </c>
      <c r="D146" s="168">
        <f t="shared" ref="D146:AM146" si="85">D137/C137-1</f>
        <v>-8.3780394099342015E-4</v>
      </c>
      <c r="E146" s="168">
        <f t="shared" si="85"/>
        <v>-3.8636051126483828E-4</v>
      </c>
      <c r="F146" s="168">
        <f t="shared" si="85"/>
        <v>-1.5510779332983393E-4</v>
      </c>
      <c r="G146" s="168">
        <f t="shared" si="85"/>
        <v>-2.6397834322361202E-2</v>
      </c>
      <c r="H146" s="168">
        <f t="shared" si="85"/>
        <v>-1.7135207141655062E-2</v>
      </c>
      <c r="I146" s="168">
        <f t="shared" si="85"/>
        <v>-1.1502438120750247E-2</v>
      </c>
      <c r="J146" s="168">
        <f t="shared" si="85"/>
        <v>-7.8205342752707407E-3</v>
      </c>
      <c r="K146" s="168">
        <f t="shared" si="85"/>
        <v>-5.2799154505722701E-3</v>
      </c>
      <c r="L146" s="168">
        <f t="shared" si="85"/>
        <v>-3.4511952153611913E-3</v>
      </c>
      <c r="M146" s="168">
        <f t="shared" si="85"/>
        <v>8.0962134340523129E-4</v>
      </c>
      <c r="N146" s="168">
        <f t="shared" si="85"/>
        <v>1.6526023928808975E-4</v>
      </c>
      <c r="O146" s="168">
        <f t="shared" si="85"/>
        <v>4.1871712001917416E-4</v>
      </c>
      <c r="P146" s="168">
        <f t="shared" si="85"/>
        <v>6.234388856267703E-4</v>
      </c>
      <c r="Q146" s="168">
        <f t="shared" si="85"/>
        <v>7.909361903486456E-4</v>
      </c>
      <c r="R146" s="168">
        <f t="shared" si="85"/>
        <v>9.2950316200579586E-4</v>
      </c>
      <c r="S146" s="168">
        <f t="shared" si="85"/>
        <v>1.0452386008641401E-3</v>
      </c>
      <c r="T146" s="168">
        <f t="shared" si="85"/>
        <v>5.8436146653773058E-4</v>
      </c>
      <c r="U146" s="168">
        <f t="shared" si="85"/>
        <v>4.2972652676476208E-4</v>
      </c>
      <c r="V146" s="168">
        <f t="shared" si="85"/>
        <v>2.5832613804439575E-3</v>
      </c>
      <c r="W146" s="168">
        <f t="shared" si="85"/>
        <v>2.6820490782926143E-3</v>
      </c>
      <c r="X146" s="168">
        <f t="shared" si="85"/>
        <v>2.2772513832363117E-3</v>
      </c>
      <c r="Y146" s="168">
        <f t="shared" si="85"/>
        <v>1.9175341225032838E-3</v>
      </c>
      <c r="Z146" s="168">
        <f t="shared" si="85"/>
        <v>1.5962713512787108E-3</v>
      </c>
      <c r="AA146" s="168">
        <f t="shared" si="85"/>
        <v>5.0916034775845276E-3</v>
      </c>
      <c r="AB146" s="168">
        <f t="shared" si="85"/>
        <v>4.3773413419845308E-3</v>
      </c>
      <c r="AC146" s="168">
        <f t="shared" si="85"/>
        <v>3.7291543376569702E-3</v>
      </c>
      <c r="AD146" s="168">
        <f t="shared" si="85"/>
        <v>3.1392781820434035E-3</v>
      </c>
      <c r="AE146" s="168">
        <f t="shared" si="85"/>
        <v>4.6650911637060588E-3</v>
      </c>
      <c r="AF146" s="168">
        <f t="shared" si="85"/>
        <v>3.4339416942705814E-3</v>
      </c>
      <c r="AG146" s="168">
        <f t="shared" si="85"/>
        <v>2.1605775436408514E-3</v>
      </c>
      <c r="AH146" s="168">
        <f t="shared" si="85"/>
        <v>1.8832370048151859E-3</v>
      </c>
      <c r="AI146" s="168">
        <f t="shared" si="85"/>
        <v>1.628933327459503E-3</v>
      </c>
      <c r="AJ146" s="168">
        <f t="shared" si="85"/>
        <v>1.39528296371072E-3</v>
      </c>
      <c r="AK146" s="168">
        <f t="shared" si="85"/>
        <v>1.1802024413620771E-3</v>
      </c>
      <c r="AL146" s="168">
        <f t="shared" si="85"/>
        <v>8.110446159583784E-4</v>
      </c>
      <c r="AM146" s="168">
        <f t="shared" si="85"/>
        <v>6.2871256779284401E-4</v>
      </c>
    </row>
    <row r="147" spans="1:39" x14ac:dyDescent="0.25">
      <c r="A147" t="s">
        <v>213</v>
      </c>
      <c r="B147" s="167"/>
      <c r="C147" s="168">
        <f t="shared" ref="C147:AM147" si="86">C138/B138-1</f>
        <v>-1.0488791877588666E-3</v>
      </c>
      <c r="D147" s="168">
        <f t="shared" si="86"/>
        <v>4.1782874404276971E-3</v>
      </c>
      <c r="E147" s="168">
        <f t="shared" si="86"/>
        <v>4.7234569622600642E-3</v>
      </c>
      <c r="F147" s="168">
        <f t="shared" si="86"/>
        <v>5.012223648309222E-3</v>
      </c>
      <c r="G147" s="168">
        <f t="shared" si="86"/>
        <v>6.5724219800769035E-3</v>
      </c>
      <c r="H147" s="168">
        <f t="shared" si="86"/>
        <v>6.7223173798236502E-3</v>
      </c>
      <c r="I147" s="168">
        <f t="shared" si="86"/>
        <v>6.840293002408071E-3</v>
      </c>
      <c r="J147" s="168">
        <f t="shared" si="86"/>
        <v>6.9391762734150042E-3</v>
      </c>
      <c r="K147" s="168">
        <f t="shared" si="86"/>
        <v>7.0260702414191023E-3</v>
      </c>
      <c r="L147" s="168">
        <f t="shared" si="86"/>
        <v>7.1051714061372007E-3</v>
      </c>
      <c r="M147" s="168">
        <f t="shared" si="86"/>
        <v>6.5937885256970308E-3</v>
      </c>
      <c r="N147" s="168">
        <f t="shared" si="86"/>
        <v>5.7158690101983822E-3</v>
      </c>
      <c r="O147" s="168">
        <f t="shared" si="86"/>
        <v>5.7545619294061545E-3</v>
      </c>
      <c r="P147" s="168">
        <f t="shared" si="86"/>
        <v>5.7910156566383097E-3</v>
      </c>
      <c r="Q147" s="168">
        <f t="shared" si="86"/>
        <v>5.8257925524562992E-3</v>
      </c>
      <c r="R147" s="168">
        <f t="shared" si="86"/>
        <v>5.8593006269427317E-3</v>
      </c>
      <c r="S147" s="168">
        <f t="shared" si="86"/>
        <v>5.8918417954838542E-3</v>
      </c>
      <c r="T147" s="168">
        <f t="shared" si="86"/>
        <v>5.3370102964986899E-3</v>
      </c>
      <c r="U147" s="168">
        <f t="shared" si="86"/>
        <v>5.098249475744332E-3</v>
      </c>
      <c r="V147" s="168">
        <f t="shared" si="86"/>
        <v>4.8902077247003906E-3</v>
      </c>
      <c r="W147" s="168">
        <f t="shared" si="86"/>
        <v>4.7076534478918131E-3</v>
      </c>
      <c r="X147" s="168">
        <f t="shared" si="86"/>
        <v>4.5464158926704634E-3</v>
      </c>
      <c r="Y147" s="168">
        <f t="shared" si="86"/>
        <v>4.4031367985901682E-3</v>
      </c>
      <c r="Z147" s="168">
        <f t="shared" si="86"/>
        <v>4.2750873501251618E-3</v>
      </c>
      <c r="AA147" s="168">
        <f t="shared" si="86"/>
        <v>4.1600315125407406E-3</v>
      </c>
      <c r="AB147" s="168">
        <f t="shared" si="86"/>
        <v>1.5624004843361572E-2</v>
      </c>
      <c r="AC147" s="168">
        <f t="shared" si="86"/>
        <v>1.4690958404073751E-2</v>
      </c>
      <c r="AD147" s="168">
        <f t="shared" si="86"/>
        <v>1.383099982867253E-2</v>
      </c>
      <c r="AE147" s="168">
        <f t="shared" si="86"/>
        <v>1.5224453277397298E-2</v>
      </c>
      <c r="AF147" s="168">
        <f t="shared" si="86"/>
        <v>1.3741246424078479E-2</v>
      </c>
      <c r="AG147" s="168">
        <f t="shared" si="86"/>
        <v>1.311117937888473E-2</v>
      </c>
      <c r="AH147" s="168">
        <f t="shared" si="86"/>
        <v>1.2527429491563158E-2</v>
      </c>
      <c r="AI147" s="168">
        <f t="shared" si="86"/>
        <v>1.1985536184859091E-2</v>
      </c>
      <c r="AJ147" s="168">
        <f t="shared" si="86"/>
        <v>1.1481572129583784E-2</v>
      </c>
      <c r="AK147" s="168">
        <f t="shared" si="86"/>
        <v>1.101206744208727E-2</v>
      </c>
      <c r="AL147" s="168">
        <f t="shared" si="86"/>
        <v>1.0379638112233858E-2</v>
      </c>
      <c r="AM147" s="168">
        <f t="shared" si="86"/>
        <v>9.9675805216925539E-3</v>
      </c>
    </row>
    <row r="148" spans="1:39" x14ac:dyDescent="0.25">
      <c r="A148" t="s">
        <v>214</v>
      </c>
      <c r="B148" s="167"/>
      <c r="C148" s="168">
        <f t="shared" ref="C148:AM148" si="87">C139/B139-1</f>
        <v>-7.6725813750591065E-3</v>
      </c>
      <c r="D148" s="168">
        <f t="shared" si="87"/>
        <v>-2.0630737812733502E-3</v>
      </c>
      <c r="E148" s="168">
        <f t="shared" si="87"/>
        <v>-1.9914427668784596E-3</v>
      </c>
      <c r="F148" s="168">
        <f t="shared" si="87"/>
        <v>-1.91979283782584E-3</v>
      </c>
      <c r="G148" s="168">
        <f t="shared" si="87"/>
        <v>2.654139605184902E-5</v>
      </c>
      <c r="H148" s="168">
        <f t="shared" si="87"/>
        <v>1.1742702901740287E-4</v>
      </c>
      <c r="I148" s="168">
        <f t="shared" si="87"/>
        <v>2.0913291111401833E-4</v>
      </c>
      <c r="J148" s="168">
        <f t="shared" si="87"/>
        <v>3.0169399071922065E-4</v>
      </c>
      <c r="K148" s="168">
        <f t="shared" si="87"/>
        <v>3.9514616305091899E-4</v>
      </c>
      <c r="L148" s="168">
        <f t="shared" si="87"/>
        <v>4.8952631808507618E-4</v>
      </c>
      <c r="M148" s="168">
        <f t="shared" si="87"/>
        <v>-1.7667769953078061E-4</v>
      </c>
      <c r="N148" s="168">
        <f t="shared" si="87"/>
        <v>-1.2954382277715615E-3</v>
      </c>
      <c r="O148" s="168">
        <f t="shared" si="87"/>
        <v>-1.2093411622674521E-3</v>
      </c>
      <c r="P148" s="168">
        <f t="shared" si="87"/>
        <v>-1.1228116748455141E-3</v>
      </c>
      <c r="Q148" s="168">
        <f t="shared" si="87"/>
        <v>-1.0358212810619438E-3</v>
      </c>
      <c r="R148" s="168">
        <f t="shared" si="87"/>
        <v>-9.4834100468221827E-4</v>
      </c>
      <c r="S148" s="168">
        <f t="shared" si="87"/>
        <v>-8.6034134782797533E-4</v>
      </c>
      <c r="T148" s="168">
        <f t="shared" si="87"/>
        <v>-1.2157158122849676E-3</v>
      </c>
      <c r="U148" s="168">
        <f t="shared" si="87"/>
        <v>-1.220847137777481E-3</v>
      </c>
      <c r="V148" s="168">
        <f t="shared" si="87"/>
        <v>-1.2260342340790764E-3</v>
      </c>
      <c r="W148" s="168">
        <f t="shared" si="87"/>
        <v>-1.2312795771628471E-3</v>
      </c>
      <c r="X148" s="168">
        <f t="shared" si="87"/>
        <v>-1.2365854186255909E-3</v>
      </c>
      <c r="Y148" s="168">
        <f t="shared" si="87"/>
        <v>-1.2419537508167044E-3</v>
      </c>
      <c r="Z148" s="168">
        <f t="shared" si="87"/>
        <v>-1.2473862792740098E-3</v>
      </c>
      <c r="AA148" s="168">
        <f t="shared" si="87"/>
        <v>-1.2528844029817687E-3</v>
      </c>
      <c r="AB148" s="168">
        <f t="shared" si="87"/>
        <v>-1.2584492027898353E-3</v>
      </c>
      <c r="AC148" s="168">
        <f t="shared" si="87"/>
        <v>-1.2640814380917575E-3</v>
      </c>
      <c r="AD148" s="168">
        <f t="shared" si="87"/>
        <v>-1.2697815516915512E-3</v>
      </c>
      <c r="AE148" s="168">
        <f t="shared" si="87"/>
        <v>1.1562594735778919E-3</v>
      </c>
      <c r="AF148" s="168">
        <f t="shared" si="87"/>
        <v>2.6749148044746818E-4</v>
      </c>
      <c r="AG148" s="168">
        <f t="shared" si="87"/>
        <v>6.499963862993674E-5</v>
      </c>
      <c r="AH148" s="168">
        <f t="shared" si="87"/>
        <v>-5.1648598021869496E-4</v>
      </c>
      <c r="AI148" s="168">
        <f t="shared" si="87"/>
        <v>-5.9940616341591646E-4</v>
      </c>
      <c r="AJ148" s="168">
        <f t="shared" si="87"/>
        <v>-6.8301669349413174E-4</v>
      </c>
      <c r="AK148" s="168">
        <f t="shared" si="87"/>
        <v>-7.6730310811978786E-4</v>
      </c>
      <c r="AL148" s="168">
        <f t="shared" si="87"/>
        <v>-1.050763828156942E-3</v>
      </c>
      <c r="AM148" s="168">
        <f t="shared" si="87"/>
        <v>-1.1346689129428933E-3</v>
      </c>
    </row>
    <row r="149" spans="1:39" x14ac:dyDescent="0.25">
      <c r="A149" t="s">
        <v>216</v>
      </c>
      <c r="B149" s="167"/>
      <c r="C149" s="168">
        <f t="shared" ref="C149:AM149" si="88">C140/B140-1</f>
        <v>-1.7407957322059575E-2</v>
      </c>
      <c r="D149" s="168">
        <f t="shared" si="88"/>
        <v>-1.0144164685626178E-2</v>
      </c>
      <c r="E149" s="168">
        <f t="shared" si="88"/>
        <v>-7.7149534729461511E-3</v>
      </c>
      <c r="F149" s="168">
        <f t="shared" si="88"/>
        <v>-6.0000259416199686E-3</v>
      </c>
      <c r="G149" s="168">
        <f t="shared" si="88"/>
        <v>-3.3065179476514661E-3</v>
      </c>
      <c r="H149" s="168">
        <f t="shared" si="88"/>
        <v>-2.3536182193258925E-3</v>
      </c>
      <c r="I149" s="168">
        <f t="shared" si="88"/>
        <v>-1.6147124870599106E-3</v>
      </c>
      <c r="J149" s="168">
        <f t="shared" si="88"/>
        <v>-1.0297740237970032E-3</v>
      </c>
      <c r="K149" s="168">
        <f t="shared" si="88"/>
        <v>-5.584343237637901E-4</v>
      </c>
      <c r="L149" s="168">
        <f t="shared" si="88"/>
        <v>-1.7273446274346238E-4</v>
      </c>
      <c r="M149" s="168">
        <f t="shared" si="88"/>
        <v>-4.3462185132581155E-4</v>
      </c>
      <c r="N149" s="168">
        <f t="shared" si="88"/>
        <v>-1.0947860754453309E-3</v>
      </c>
      <c r="O149" s="168">
        <f t="shared" si="88"/>
        <v>-8.7611159668743444E-4</v>
      </c>
      <c r="P149" s="168">
        <f t="shared" si="88"/>
        <v>-6.9095142364428153E-4</v>
      </c>
      <c r="Q149" s="168">
        <f t="shared" si="88"/>
        <v>-5.3301490146107078E-4</v>
      </c>
      <c r="R149" s="168">
        <f t="shared" si="88"/>
        <v>-3.9742543862752999E-4</v>
      </c>
      <c r="S149" s="168">
        <f t="shared" si="88"/>
        <v>-2.8035560378925073E-4</v>
      </c>
      <c r="T149" s="168">
        <f t="shared" si="88"/>
        <v>-4.8528973629702321E-4</v>
      </c>
      <c r="U149" s="168">
        <f t="shared" si="88"/>
        <v>-4.3079432190396005E-4</v>
      </c>
      <c r="V149" s="168">
        <f t="shared" si="88"/>
        <v>2.7479995706047866E-3</v>
      </c>
      <c r="W149" s="168">
        <f t="shared" si="88"/>
        <v>2.4826705369302982E-3</v>
      </c>
      <c r="X149" s="168">
        <f t="shared" si="88"/>
        <v>2.2430427033373057E-3</v>
      </c>
      <c r="Y149" s="168">
        <f t="shared" si="88"/>
        <v>2.0254426799100056E-3</v>
      </c>
      <c r="Z149" s="168">
        <f t="shared" si="88"/>
        <v>1.8270823043955442E-3</v>
      </c>
      <c r="AA149" s="168">
        <f t="shared" si="88"/>
        <v>1.645599396096209E-3</v>
      </c>
      <c r="AB149" s="168">
        <f t="shared" si="88"/>
        <v>1.4789818796137055E-3</v>
      </c>
      <c r="AC149" s="168">
        <f t="shared" si="88"/>
        <v>1.3255072343436591E-3</v>
      </c>
      <c r="AD149" s="168">
        <f t="shared" si="88"/>
        <v>1.1836938284430776E-3</v>
      </c>
      <c r="AE149" s="168">
        <f t="shared" si="88"/>
        <v>2.9799234175662548E-3</v>
      </c>
      <c r="AF149" s="168">
        <f t="shared" si="88"/>
        <v>2.1643320125117604E-3</v>
      </c>
      <c r="AG149" s="168">
        <f t="shared" si="88"/>
        <v>2.071632248784594E-3</v>
      </c>
      <c r="AH149" s="168">
        <f t="shared" si="88"/>
        <v>1.986258755933612E-3</v>
      </c>
      <c r="AI149" s="168">
        <f t="shared" si="88"/>
        <v>1.9074915674048842E-3</v>
      </c>
      <c r="AJ149" s="168">
        <f t="shared" si="88"/>
        <v>1.8346970012939057E-3</v>
      </c>
      <c r="AK149" s="168">
        <f t="shared" si="88"/>
        <v>1.7673155367055049E-3</v>
      </c>
      <c r="AL149" s="168">
        <f t="shared" si="88"/>
        <v>1.5448304011280722E-3</v>
      </c>
      <c r="AM149" s="168">
        <f t="shared" si="88"/>
        <v>1.4873696277497572E-3</v>
      </c>
    </row>
    <row r="150" spans="1:39" x14ac:dyDescent="0.25">
      <c r="A150" s="148" t="s">
        <v>225</v>
      </c>
      <c r="B150" s="167"/>
      <c r="C150" s="168">
        <f t="shared" ref="C150:AM150" si="89">C141/B141-1</f>
        <v>-1.4679586469042105E-2</v>
      </c>
      <c r="D150" s="168">
        <f t="shared" si="89"/>
        <v>-4.1175600809242319E-3</v>
      </c>
      <c r="E150" s="168">
        <f t="shared" si="89"/>
        <v>-4.1388090414234968E-3</v>
      </c>
      <c r="F150" s="168">
        <f t="shared" si="89"/>
        <v>-4.1603180328656508E-3</v>
      </c>
      <c r="G150" s="168">
        <f t="shared" si="89"/>
        <v>-6.3333347395910788E-4</v>
      </c>
      <c r="H150" s="168">
        <f t="shared" si="89"/>
        <v>-6.3080195453346644E-4</v>
      </c>
      <c r="I150" s="168">
        <f t="shared" si="89"/>
        <v>-6.2826425944551012E-4</v>
      </c>
      <c r="J150" s="168">
        <f t="shared" si="89"/>
        <v>-6.2572031888497026E-4</v>
      </c>
      <c r="K150" s="168">
        <f t="shared" si="89"/>
        <v>-6.2317006246959128E-4</v>
      </c>
      <c r="L150" s="168">
        <f t="shared" si="89"/>
        <v>-6.2061341923647095E-4</v>
      </c>
      <c r="M150" s="168">
        <f t="shared" si="89"/>
        <v>-2.0519459250532002E-3</v>
      </c>
      <c r="N150" s="168">
        <f t="shared" si="89"/>
        <v>-4.323782278945365E-3</v>
      </c>
      <c r="O150" s="168">
        <f t="shared" si="89"/>
        <v>-4.3251566316222512E-3</v>
      </c>
      <c r="P150" s="168">
        <f t="shared" si="89"/>
        <v>-4.326621107652362E-3</v>
      </c>
      <c r="Q150" s="168">
        <f t="shared" si="89"/>
        <v>-4.3281760146336445E-3</v>
      </c>
      <c r="R150" s="168">
        <f t="shared" si="89"/>
        <v>-4.329821670055245E-3</v>
      </c>
      <c r="S150" s="168">
        <f t="shared" si="89"/>
        <v>-4.3315584013796649E-3</v>
      </c>
      <c r="T150" s="168">
        <f t="shared" si="89"/>
        <v>-4.9827517917683251E-3</v>
      </c>
      <c r="U150" s="168">
        <f t="shared" si="89"/>
        <v>-4.9864665863500468E-3</v>
      </c>
      <c r="V150" s="168">
        <f t="shared" si="89"/>
        <v>-4.9902756096268375E-3</v>
      </c>
      <c r="W150" s="168">
        <f t="shared" si="89"/>
        <v>-4.9941792743387614E-3</v>
      </c>
      <c r="X150" s="168">
        <f t="shared" si="89"/>
        <v>-4.9981780034620282E-3</v>
      </c>
      <c r="Y150" s="168">
        <f t="shared" si="89"/>
        <v>-5.0022722303173506E-3</v>
      </c>
      <c r="Z150" s="168">
        <f t="shared" si="89"/>
        <v>-5.0064623986796342E-3</v>
      </c>
      <c r="AA150" s="168">
        <f t="shared" si="89"/>
        <v>-5.0107489628857804E-3</v>
      </c>
      <c r="AB150" s="168">
        <f t="shared" si="89"/>
        <v>-5.0151323879549237E-3</v>
      </c>
      <c r="AC150" s="168">
        <f t="shared" si="89"/>
        <v>-5.0196131497030061E-3</v>
      </c>
      <c r="AD150" s="168">
        <f t="shared" si="89"/>
        <v>-5.0241917348674558E-3</v>
      </c>
      <c r="AE150" s="168">
        <f t="shared" si="89"/>
        <v>-7.4039638087441961E-4</v>
      </c>
      <c r="AF150" s="168">
        <f t="shared" si="89"/>
        <v>-2.3254478393014422E-3</v>
      </c>
      <c r="AG150" s="168">
        <f t="shared" si="89"/>
        <v>-2.3108049864325464E-3</v>
      </c>
      <c r="AH150" s="168">
        <f t="shared" si="89"/>
        <v>-2.296278287605813E-3</v>
      </c>
      <c r="AI150" s="168">
        <f t="shared" si="89"/>
        <v>-2.2818663728962907E-3</v>
      </c>
      <c r="AJ150" s="168">
        <f t="shared" si="89"/>
        <v>-2.2675678935361043E-3</v>
      </c>
      <c r="AK150" s="168">
        <f t="shared" si="89"/>
        <v>-2.2533815215090014E-3</v>
      </c>
      <c r="AL150" s="168">
        <f t="shared" si="89"/>
        <v>-2.5856640931354313E-3</v>
      </c>
      <c r="AM150" s="168">
        <f t="shared" si="89"/>
        <v>-1</v>
      </c>
    </row>
    <row r="151" spans="1:39" x14ac:dyDescent="0.25">
      <c r="A151" t="s">
        <v>100</v>
      </c>
      <c r="B151" s="167"/>
      <c r="C151" s="168">
        <f t="shared" ref="C151:AM151" si="90">C142/B142-1</f>
        <v>-0.11383604992319674</v>
      </c>
      <c r="D151" s="168">
        <f t="shared" si="90"/>
        <v>-9.9232934565698372E-2</v>
      </c>
      <c r="E151" s="168">
        <f t="shared" si="90"/>
        <v>-9.0816635191283024E-2</v>
      </c>
      <c r="F151" s="168">
        <f t="shared" si="90"/>
        <v>-8.3767607635283681E-2</v>
      </c>
      <c r="G151" s="168">
        <f t="shared" si="90"/>
        <v>-9.5254824590197518E-2</v>
      </c>
      <c r="H151" s="168">
        <f t="shared" si="90"/>
        <v>-8.6454437975305831E-2</v>
      </c>
      <c r="I151" s="168">
        <f t="shared" si="90"/>
        <v>-7.9093179905064148E-2</v>
      </c>
      <c r="J151" s="168">
        <f t="shared" si="90"/>
        <v>-7.2843908236059574E-2</v>
      </c>
      <c r="K151" s="168">
        <f t="shared" si="90"/>
        <v>-6.7471635882921155E-2</v>
      </c>
      <c r="L151" s="168">
        <f t="shared" si="90"/>
        <v>-6.2803215588739136E-2</v>
      </c>
      <c r="M151" s="168">
        <f t="shared" si="90"/>
        <v>-5.5398019621917705E-2</v>
      </c>
      <c r="N151" s="168">
        <f t="shared" si="90"/>
        <v>-5.3381472123577245E-2</v>
      </c>
      <c r="O151" s="168">
        <f t="shared" si="90"/>
        <v>-5.0702659151862894E-2</v>
      </c>
      <c r="P151" s="168">
        <f t="shared" si="90"/>
        <v>-4.8282543631943731E-2</v>
      </c>
      <c r="Q151" s="168">
        <f t="shared" si="90"/>
        <v>-4.608553978439478E-2</v>
      </c>
      <c r="R151" s="168">
        <f t="shared" si="90"/>
        <v>-4.4082307108756935E-2</v>
      </c>
      <c r="S151" s="168">
        <f t="shared" si="90"/>
        <v>-4.2248438029574231E-2</v>
      </c>
      <c r="T151" s="168">
        <f t="shared" si="90"/>
        <v>-4.1062533386856614E-2</v>
      </c>
      <c r="U151" s="168">
        <f t="shared" si="90"/>
        <v>-3.9703192900996664E-2</v>
      </c>
      <c r="V151" s="168">
        <f t="shared" si="90"/>
        <v>-3.6924119916873055E-2</v>
      </c>
      <c r="W151" s="168">
        <f t="shared" si="90"/>
        <v>-3.5623133811786167E-2</v>
      </c>
      <c r="X151" s="168">
        <f t="shared" si="90"/>
        <v>-3.4692962511284509E-2</v>
      </c>
      <c r="Y151" s="168">
        <f t="shared" si="90"/>
        <v>-3.381931082863443E-2</v>
      </c>
      <c r="Z151" s="168">
        <f t="shared" si="90"/>
        <v>-3.2997325916251818E-2</v>
      </c>
      <c r="AA151" s="168">
        <f t="shared" si="90"/>
        <v>-3.0010608762079505E-2</v>
      </c>
      <c r="AB151" s="168">
        <f t="shared" si="90"/>
        <v>-2.7700440068940457E-2</v>
      </c>
      <c r="AC151" s="168">
        <f t="shared" si="90"/>
        <v>-2.7359639004921554E-2</v>
      </c>
      <c r="AD151" s="168">
        <f t="shared" si="90"/>
        <v>-2.7031204872909997E-2</v>
      </c>
      <c r="AE151" s="168">
        <f t="shared" si="90"/>
        <v>-3.3571185634192591E-2</v>
      </c>
      <c r="AF151" s="168">
        <f t="shared" si="90"/>
        <v>-3.3322183365599667E-2</v>
      </c>
      <c r="AG151" s="168">
        <f t="shared" si="90"/>
        <v>-3.2898236994750807E-2</v>
      </c>
      <c r="AH151" s="168">
        <f t="shared" si="90"/>
        <v>-3.2004804560230138E-2</v>
      </c>
      <c r="AI151" s="168">
        <f t="shared" si="90"/>
        <v>-3.1103856102935978E-2</v>
      </c>
      <c r="AJ151" s="168">
        <f t="shared" si="90"/>
        <v>-3.0253894304717477E-2</v>
      </c>
      <c r="AK151" s="168">
        <f t="shared" si="90"/>
        <v>-2.9450672687952095E-2</v>
      </c>
      <c r="AL151" s="168">
        <f t="shared" si="90"/>
        <v>-2.8852516853625776E-2</v>
      </c>
      <c r="AM151" s="168">
        <f t="shared" si="90"/>
        <v>-2.8129620405131006E-2</v>
      </c>
    </row>
    <row r="155" spans="1:39" x14ac:dyDescent="0.25">
      <c r="A155" s="165" t="s">
        <v>255</v>
      </c>
      <c r="B155" s="2">
        <v>2013</v>
      </c>
      <c r="C155" s="2">
        <v>2014</v>
      </c>
      <c r="D155" s="2">
        <v>2015</v>
      </c>
      <c r="E155" s="2">
        <v>2016</v>
      </c>
      <c r="F155" s="2">
        <v>2017</v>
      </c>
      <c r="G155" s="2">
        <v>2018</v>
      </c>
      <c r="H155" s="2">
        <v>2019</v>
      </c>
      <c r="I155" s="2">
        <v>2020</v>
      </c>
      <c r="J155" s="2">
        <v>2021</v>
      </c>
      <c r="K155" s="2">
        <v>2022</v>
      </c>
      <c r="L155" s="2">
        <v>2023</v>
      </c>
      <c r="M155" s="2">
        <v>2024</v>
      </c>
      <c r="N155" s="2">
        <v>2025</v>
      </c>
      <c r="O155" s="2">
        <v>2026</v>
      </c>
      <c r="P155" s="2">
        <v>2027</v>
      </c>
      <c r="Q155" s="2">
        <v>2028</v>
      </c>
      <c r="R155" s="2">
        <v>2029</v>
      </c>
      <c r="S155" s="2">
        <v>2030</v>
      </c>
      <c r="T155" s="2">
        <v>2031</v>
      </c>
      <c r="U155" s="2">
        <v>2032</v>
      </c>
      <c r="V155" s="2">
        <v>2033</v>
      </c>
      <c r="W155" s="2">
        <v>2034</v>
      </c>
      <c r="X155" s="2">
        <v>2035</v>
      </c>
      <c r="Y155" s="2">
        <v>2036</v>
      </c>
      <c r="Z155" s="2">
        <v>2037</v>
      </c>
      <c r="AA155" s="2">
        <v>2038</v>
      </c>
      <c r="AB155" s="2">
        <v>2039</v>
      </c>
      <c r="AC155" s="2">
        <v>2040</v>
      </c>
      <c r="AD155" s="2">
        <v>2041</v>
      </c>
      <c r="AE155" s="2">
        <v>2042</v>
      </c>
      <c r="AF155" s="2">
        <v>2043</v>
      </c>
      <c r="AG155" s="2">
        <v>2044</v>
      </c>
      <c r="AH155" s="2">
        <v>2045</v>
      </c>
      <c r="AI155" s="2">
        <v>2046</v>
      </c>
      <c r="AJ155" s="2">
        <v>2047</v>
      </c>
      <c r="AK155" s="2">
        <v>2048</v>
      </c>
      <c r="AL155" s="2">
        <v>2049</v>
      </c>
      <c r="AM155" s="2">
        <v>2050</v>
      </c>
    </row>
    <row r="156" spans="1:39" x14ac:dyDescent="0.25">
      <c r="A156" t="s">
        <v>215</v>
      </c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>
        <f t="shared" ref="AE156:AM156" si="91">AE102/(AE29+AE38)</f>
        <v>4.4392907426506773E-3</v>
      </c>
      <c r="AF156" s="167">
        <f t="shared" si="91"/>
        <v>4.4365361398399335E-3</v>
      </c>
      <c r="AG156" s="167">
        <f t="shared" si="91"/>
        <v>4.4337891078153118E-3</v>
      </c>
      <c r="AH156" s="167">
        <f t="shared" si="91"/>
        <v>4.4310730576585817E-3</v>
      </c>
      <c r="AI156" s="167">
        <f t="shared" si="91"/>
        <v>4.4283644281804847E-3</v>
      </c>
      <c r="AJ156" s="167">
        <f t="shared" si="91"/>
        <v>4.4256637791426192E-3</v>
      </c>
      <c r="AK156" s="167">
        <f t="shared" si="91"/>
        <v>4.4229716991647872E-3</v>
      </c>
      <c r="AL156" s="167">
        <f t="shared" si="91"/>
        <v>4.4197638396809777E-3</v>
      </c>
      <c r="AM156" s="167">
        <f t="shared" si="91"/>
        <v>4.4165699370195015E-3</v>
      </c>
    </row>
    <row r="157" spans="1:39" x14ac:dyDescent="0.25">
      <c r="A157" t="s">
        <v>212</v>
      </c>
      <c r="B157" s="167">
        <f t="shared" ref="B157:AD157" si="92">B103/(B30+B39)</f>
        <v>8.8695090255062475E-3</v>
      </c>
      <c r="C157" s="167">
        <f t="shared" si="92"/>
        <v>8.8593541403211313E-3</v>
      </c>
      <c r="D157" s="167">
        <f t="shared" si="92"/>
        <v>8.860589717242592E-3</v>
      </c>
      <c r="E157" s="167">
        <f t="shared" si="92"/>
        <v>8.8653328104642028E-3</v>
      </c>
      <c r="F157" s="167">
        <f t="shared" si="92"/>
        <v>8.870869857141573E-3</v>
      </c>
      <c r="G157" s="167">
        <f t="shared" si="92"/>
        <v>8.7129249911102099E-3</v>
      </c>
      <c r="H157" s="167">
        <f t="shared" si="92"/>
        <v>8.614466666675558E-3</v>
      </c>
      <c r="I157" s="167">
        <f t="shared" si="92"/>
        <v>8.5519654042449378E-3</v>
      </c>
      <c r="J157" s="167">
        <f t="shared" si="92"/>
        <v>8.5158001913633249E-3</v>
      </c>
      <c r="K157" s="167">
        <f t="shared" si="92"/>
        <v>8.4992140414301143E-3</v>
      </c>
      <c r="L157" s="167">
        <f t="shared" si="92"/>
        <v>8.4938421543278558E-3</v>
      </c>
      <c r="M157" s="167">
        <f t="shared" si="92"/>
        <v>8.5119969474574692E-3</v>
      </c>
      <c r="N157" s="167">
        <f t="shared" si="92"/>
        <v>8.5277957150114731E-3</v>
      </c>
      <c r="O157" s="167">
        <f t="shared" si="92"/>
        <v>8.545474762664448E-3</v>
      </c>
      <c r="P157" s="167">
        <f t="shared" si="92"/>
        <v>8.564707148586195E-3</v>
      </c>
      <c r="Q157" s="167">
        <f t="shared" si="92"/>
        <v>8.5852441251918314E-3</v>
      </c>
      <c r="R157" s="167">
        <f t="shared" si="92"/>
        <v>8.6068931341592037E-3</v>
      </c>
      <c r="S157" s="167">
        <f t="shared" si="92"/>
        <v>8.629502836121003E-3</v>
      </c>
      <c r="T157" s="167">
        <f t="shared" si="92"/>
        <v>8.6472491187136701E-3</v>
      </c>
      <c r="U157" s="167">
        <f t="shared" si="92"/>
        <v>8.6632794155552268E-3</v>
      </c>
      <c r="V157" s="167">
        <f t="shared" si="92"/>
        <v>8.7064886706993087E-3</v>
      </c>
      <c r="W157" s="167">
        <f t="shared" si="92"/>
        <v>8.7516304291100737E-3</v>
      </c>
      <c r="X157" s="167">
        <f t="shared" si="92"/>
        <v>8.7828450808592994E-3</v>
      </c>
      <c r="Y157" s="167">
        <f t="shared" si="92"/>
        <v>8.8119022783339218E-3</v>
      </c>
      <c r="Z157" s="167">
        <f t="shared" si="92"/>
        <v>8.839292882892159E-3</v>
      </c>
      <c r="AA157" s="167">
        <f t="shared" si="92"/>
        <v>8.9013217213340864E-3</v>
      </c>
      <c r="AB157" s="167">
        <f t="shared" si="92"/>
        <v>8.9565550261795929E-3</v>
      </c>
      <c r="AC157" s="167">
        <f t="shared" si="92"/>
        <v>9.0049248772582306E-3</v>
      </c>
      <c r="AD157" s="167">
        <f t="shared" si="92"/>
        <v>9.0433175268475434E-3</v>
      </c>
      <c r="AE157" s="167">
        <f t="shared" ref="AE157:AM157" si="93">AE103/(AE30+AE39)</f>
        <v>9.093461355843423E-3</v>
      </c>
      <c r="AF157" s="167">
        <f t="shared" si="93"/>
        <v>9.1327215843072101E-3</v>
      </c>
      <c r="AG157" s="167">
        <f t="shared" si="93"/>
        <v>9.1596524501371714E-3</v>
      </c>
      <c r="AH157" s="167">
        <f t="shared" si="93"/>
        <v>9.1836335427876465E-3</v>
      </c>
      <c r="AI157" s="167">
        <f t="shared" si="93"/>
        <v>9.2047925685757991E-3</v>
      </c>
      <c r="AJ157" s="167">
        <f t="shared" si="93"/>
        <v>9.2233386398399113E-3</v>
      </c>
      <c r="AK157" s="167">
        <f t="shared" si="93"/>
        <v>9.2394624621370408E-3</v>
      </c>
      <c r="AL157" s="167">
        <f t="shared" si="93"/>
        <v>9.2510381065008807E-3</v>
      </c>
      <c r="AM157" s="167">
        <f t="shared" si="93"/>
        <v>9.2605268670286067E-3</v>
      </c>
    </row>
    <row r="158" spans="1:39" x14ac:dyDescent="0.25">
      <c r="A158" t="s">
        <v>213</v>
      </c>
      <c r="B158" s="167">
        <f t="shared" ref="B158:AD158" si="94">B104/(B31+B40)</f>
        <v>4.5516036766673849E-3</v>
      </c>
      <c r="C158" s="167">
        <f t="shared" si="94"/>
        <v>4.5728676048715569E-3</v>
      </c>
      <c r="D158" s="167">
        <f t="shared" si="94"/>
        <v>4.6066816386766199E-3</v>
      </c>
      <c r="E158" s="167">
        <f t="shared" si="94"/>
        <v>4.6439216395987633E-3</v>
      </c>
      <c r="F158" s="167">
        <f t="shared" si="94"/>
        <v>4.6829926369479765E-3</v>
      </c>
      <c r="G158" s="167">
        <f t="shared" si="94"/>
        <v>4.724924149490075E-3</v>
      </c>
      <c r="H158" s="167">
        <f t="shared" si="94"/>
        <v>4.7683173952746969E-3</v>
      </c>
      <c r="I158" s="167">
        <f t="shared" si="94"/>
        <v>4.8131542383973002E-3</v>
      </c>
      <c r="J158" s="167">
        <f t="shared" si="94"/>
        <v>4.8603161701839511E-3</v>
      </c>
      <c r="K158" s="167">
        <f t="shared" si="94"/>
        <v>4.9099903256163676E-3</v>
      </c>
      <c r="L158" s="167">
        <f t="shared" si="94"/>
        <v>4.9608943601903259E-3</v>
      </c>
      <c r="M158" s="167">
        <f t="shared" si="94"/>
        <v>5.0120071859905612E-3</v>
      </c>
      <c r="N158" s="167">
        <f t="shared" si="94"/>
        <v>5.0626381746461842E-3</v>
      </c>
      <c r="O158" s="167">
        <f t="shared" si="94"/>
        <v>5.1143931777624394E-3</v>
      </c>
      <c r="P158" s="167">
        <f t="shared" si="94"/>
        <v>5.1672898274438489E-3</v>
      </c>
      <c r="Q158" s="167">
        <f t="shared" si="94"/>
        <v>5.221350481594389E-3</v>
      </c>
      <c r="R158" s="167">
        <f t="shared" si="94"/>
        <v>5.2766013602514152E-3</v>
      </c>
      <c r="S158" s="167">
        <f t="shared" si="94"/>
        <v>5.3330719784654658E-3</v>
      </c>
      <c r="T158" s="167">
        <f t="shared" si="94"/>
        <v>5.3872438087508804E-3</v>
      </c>
      <c r="U158" s="167">
        <f t="shared" si="94"/>
        <v>5.4404323122890013E-3</v>
      </c>
      <c r="V158" s="167">
        <f t="shared" si="94"/>
        <v>5.4928300682454525E-3</v>
      </c>
      <c r="W158" s="167">
        <f t="shared" si="94"/>
        <v>5.5446814100417819E-3</v>
      </c>
      <c r="X158" s="167">
        <f t="shared" si="94"/>
        <v>5.5922860902476914E-3</v>
      </c>
      <c r="Y158" s="167">
        <f t="shared" si="94"/>
        <v>5.6402740842618039E-3</v>
      </c>
      <c r="Z158" s="167">
        <f t="shared" si="94"/>
        <v>5.6888025687601672E-3</v>
      </c>
      <c r="AA158" s="167">
        <f t="shared" si="94"/>
        <v>5.7387272654362154E-3</v>
      </c>
      <c r="AB158" s="167">
        <f t="shared" si="94"/>
        <v>5.8921560409387385E-3</v>
      </c>
      <c r="AC158" s="167">
        <f t="shared" si="94"/>
        <v>6.0427864575355386E-3</v>
      </c>
      <c r="AD158" s="167">
        <f t="shared" si="94"/>
        <v>6.1890039829083235E-3</v>
      </c>
      <c r="AE158" s="167">
        <f t="shared" ref="AE158:AM158" si="95">AE104/(AE31+AE40)</f>
        <v>6.3410315812167098E-3</v>
      </c>
      <c r="AF158" s="167">
        <f t="shared" si="95"/>
        <v>6.4882746517958678E-3</v>
      </c>
      <c r="AG158" s="167">
        <f t="shared" si="95"/>
        <v>6.6337099238983318E-3</v>
      </c>
      <c r="AH158" s="167">
        <f t="shared" si="95"/>
        <v>6.7774831064442362E-3</v>
      </c>
      <c r="AI158" s="167">
        <f t="shared" si="95"/>
        <v>6.9196305427859954E-3</v>
      </c>
      <c r="AJ158" s="167">
        <f t="shared" si="95"/>
        <v>7.0602363885553234E-3</v>
      </c>
      <c r="AK158" s="167">
        <f t="shared" si="95"/>
        <v>7.1993813348626033E-3</v>
      </c>
      <c r="AL158" s="167">
        <f t="shared" si="95"/>
        <v>7.3356965799464728E-3</v>
      </c>
      <c r="AM158" s="167">
        <f t="shared" si="95"/>
        <v>7.4706027160278392E-3</v>
      </c>
    </row>
    <row r="159" spans="1:39" x14ac:dyDescent="0.25">
      <c r="A159" t="s">
        <v>214</v>
      </c>
      <c r="B159" s="167">
        <f t="shared" ref="B159:AD159" si="96">B105/(B32+B41)</f>
        <v>9.2053295606912243E-3</v>
      </c>
      <c r="C159" s="167">
        <f t="shared" si="96"/>
        <v>9.177548766734241E-3</v>
      </c>
      <c r="D159" s="167">
        <f t="shared" si="96"/>
        <v>9.1676093378838495E-3</v>
      </c>
      <c r="E159" s="167">
        <f t="shared" si="96"/>
        <v>9.1565691155850708E-3</v>
      </c>
      <c r="F159" s="167">
        <f t="shared" si="96"/>
        <v>9.1444098169499635E-3</v>
      </c>
      <c r="G159" s="167">
        <f t="shared" si="96"/>
        <v>9.1376493431182138E-3</v>
      </c>
      <c r="H159" s="167">
        <f t="shared" si="96"/>
        <v>9.1321470315148846E-3</v>
      </c>
      <c r="I159" s="167">
        <f t="shared" si="96"/>
        <v>9.1284773158562971E-3</v>
      </c>
      <c r="J159" s="167">
        <f t="shared" si="96"/>
        <v>9.1300641949228715E-3</v>
      </c>
      <c r="K159" s="167">
        <f t="shared" si="96"/>
        <v>9.1375155752409978E-3</v>
      </c>
      <c r="L159" s="167">
        <f t="shared" si="96"/>
        <v>9.146306316518282E-3</v>
      </c>
      <c r="M159" s="167">
        <f t="shared" si="96"/>
        <v>9.1530558452072187E-3</v>
      </c>
      <c r="N159" s="167">
        <f t="shared" si="96"/>
        <v>9.1556854360663083E-3</v>
      </c>
      <c r="O159" s="167">
        <f t="shared" si="96"/>
        <v>9.1596293830881453E-3</v>
      </c>
      <c r="P159" s="167">
        <f t="shared" si="96"/>
        <v>9.1649026232318229E-3</v>
      </c>
      <c r="Q159" s="167">
        <f t="shared" si="96"/>
        <v>9.1715214381899741E-3</v>
      </c>
      <c r="R159" s="167">
        <f t="shared" si="96"/>
        <v>9.1795035014775421E-3</v>
      </c>
      <c r="S159" s="167">
        <f t="shared" si="96"/>
        <v>9.1888679295159936E-3</v>
      </c>
      <c r="T159" s="167">
        <f t="shared" si="96"/>
        <v>9.1949998162388705E-3</v>
      </c>
      <c r="U159" s="167">
        <f t="shared" si="96"/>
        <v>9.2011855981144197E-3</v>
      </c>
      <c r="V159" s="167">
        <f t="shared" si="96"/>
        <v>9.2074257277478914E-3</v>
      </c>
      <c r="W159" s="167">
        <f t="shared" si="96"/>
        <v>9.2139455222573982E-3</v>
      </c>
      <c r="X159" s="167">
        <f t="shared" si="96"/>
        <v>9.2103153042903136E-3</v>
      </c>
      <c r="Y159" s="167">
        <f t="shared" si="96"/>
        <v>9.2090852593189592E-3</v>
      </c>
      <c r="Z159" s="167">
        <f t="shared" si="96"/>
        <v>9.2102766322103517E-3</v>
      </c>
      <c r="AA159" s="167">
        <f t="shared" si="96"/>
        <v>9.2157460531418784E-3</v>
      </c>
      <c r="AB159" s="167">
        <f t="shared" si="96"/>
        <v>9.2212557186045051E-3</v>
      </c>
      <c r="AC159" s="167">
        <f t="shared" si="96"/>
        <v>9.2261897906987366E-3</v>
      </c>
      <c r="AD159" s="167">
        <f t="shared" si="96"/>
        <v>9.2268303792546157E-3</v>
      </c>
      <c r="AE159" s="167">
        <f t="shared" ref="AE159:AM159" si="97">AE105/(AE32+AE41)</f>
        <v>9.245281197088933E-3</v>
      </c>
      <c r="AF159" s="167">
        <f t="shared" si="97"/>
        <v>9.2575469674279296E-3</v>
      </c>
      <c r="AG159" s="167">
        <f t="shared" si="97"/>
        <v>9.2666611879000608E-3</v>
      </c>
      <c r="AH159" s="167">
        <f t="shared" si="97"/>
        <v>9.2671966158577208E-3</v>
      </c>
      <c r="AI159" s="167">
        <f t="shared" si="97"/>
        <v>9.2664599873707384E-3</v>
      </c>
      <c r="AJ159" s="167">
        <f t="shared" si="97"/>
        <v>9.264439513533073E-3</v>
      </c>
      <c r="AK159" s="167">
        <f t="shared" si="97"/>
        <v>9.2611243592063928E-3</v>
      </c>
      <c r="AL159" s="167">
        <f t="shared" si="97"/>
        <v>9.2542029231261879E-3</v>
      </c>
      <c r="AM159" s="167">
        <f t="shared" si="97"/>
        <v>9.2459873208417479E-3</v>
      </c>
    </row>
    <row r="160" spans="1:39" x14ac:dyDescent="0.25">
      <c r="A160" t="s">
        <v>216</v>
      </c>
      <c r="B160" s="167">
        <f t="shared" ref="B160:AD160" si="98">B106/(B33+B42)</f>
        <v>8.2115836532601245E-3</v>
      </c>
      <c r="C160" s="167">
        <f t="shared" si="98"/>
        <v>8.2174784643222459E-3</v>
      </c>
      <c r="D160" s="167">
        <f t="shared" si="98"/>
        <v>8.2317587297671309E-3</v>
      </c>
      <c r="E160" s="167">
        <f t="shared" si="98"/>
        <v>8.2460880082300351E-3</v>
      </c>
      <c r="F160" s="167">
        <f t="shared" si="98"/>
        <v>8.2598894416398786E-3</v>
      </c>
      <c r="G160" s="167">
        <f t="shared" si="98"/>
        <v>8.2781321172248293E-3</v>
      </c>
      <c r="H160" s="167">
        <f t="shared" si="98"/>
        <v>8.2972211688116752E-3</v>
      </c>
      <c r="I160" s="167">
        <f t="shared" si="98"/>
        <v>8.3174649769427161E-3</v>
      </c>
      <c r="J160" s="167">
        <f t="shared" si="98"/>
        <v>8.341605372688481E-3</v>
      </c>
      <c r="K160" s="167">
        <f t="shared" si="98"/>
        <v>8.3701103964896537E-3</v>
      </c>
      <c r="L160" s="167">
        <f t="shared" si="98"/>
        <v>8.3991458361054507E-3</v>
      </c>
      <c r="M160" s="167">
        <f t="shared" si="98"/>
        <v>8.4257832649712039E-3</v>
      </c>
      <c r="N160" s="167">
        <f t="shared" si="98"/>
        <v>8.4481584532944375E-3</v>
      </c>
      <c r="O160" s="167">
        <f t="shared" si="98"/>
        <v>8.4708103807714166E-3</v>
      </c>
      <c r="P160" s="167">
        <f t="shared" si="98"/>
        <v>8.4937133115289241E-3</v>
      </c>
      <c r="Q160" s="167">
        <f t="shared" si="98"/>
        <v>8.5168463180634955E-3</v>
      </c>
      <c r="R160" s="167">
        <f t="shared" si="98"/>
        <v>8.5401922099301152E-3</v>
      </c>
      <c r="S160" s="167">
        <f t="shared" si="98"/>
        <v>8.563736735917411E-3</v>
      </c>
      <c r="T160" s="167">
        <f t="shared" si="98"/>
        <v>8.5841217186277165E-3</v>
      </c>
      <c r="U160" s="167">
        <f t="shared" si="98"/>
        <v>8.6042254427322572E-3</v>
      </c>
      <c r="V160" s="167">
        <f t="shared" si="98"/>
        <v>8.6638444580638251E-3</v>
      </c>
      <c r="W160" s="167">
        <f t="shared" si="98"/>
        <v>8.7201261871212611E-3</v>
      </c>
      <c r="X160" s="167">
        <f t="shared" si="98"/>
        <v>8.7639555811561097E-3</v>
      </c>
      <c r="Y160" s="167">
        <f t="shared" si="98"/>
        <v>8.8067954684725291E-3</v>
      </c>
      <c r="Z160" s="167">
        <f t="shared" si="98"/>
        <v>8.8489773740047482E-3</v>
      </c>
      <c r="AA160" s="167">
        <f t="shared" si="98"/>
        <v>8.8925078752977917E-3</v>
      </c>
      <c r="AB160" s="167">
        <f t="shared" si="98"/>
        <v>8.9336989237270813E-3</v>
      </c>
      <c r="AC160" s="167">
        <f t="shared" si="98"/>
        <v>8.9721363725449744E-3</v>
      </c>
      <c r="AD160" s="167">
        <f t="shared" si="98"/>
        <v>9.0044183687293181E-3</v>
      </c>
      <c r="AE160" s="167">
        <f t="shared" ref="AE160:AM160" si="99">AE106/(AE33+AE42)</f>
        <v>9.051789436658313E-3</v>
      </c>
      <c r="AF160" s="167">
        <f t="shared" si="99"/>
        <v>9.0915487010991298E-3</v>
      </c>
      <c r="AG160" s="167">
        <f t="shared" si="99"/>
        <v>9.1299052464346667E-3</v>
      </c>
      <c r="AH160" s="167">
        <f t="shared" si="99"/>
        <v>9.1670576965544991E-3</v>
      </c>
      <c r="AI160" s="167">
        <f t="shared" si="99"/>
        <v>9.2029962274857175E-3</v>
      </c>
      <c r="AJ160" s="167">
        <f t="shared" si="99"/>
        <v>9.2378041946208477E-3</v>
      </c>
      <c r="AK160" s="167">
        <f t="shared" si="99"/>
        <v>9.2715578553016313E-3</v>
      </c>
      <c r="AL160" s="167">
        <f t="shared" si="99"/>
        <v>9.3020015183938164E-3</v>
      </c>
      <c r="AM160" s="167">
        <f t="shared" si="99"/>
        <v>9.3315066416316001E-3</v>
      </c>
    </row>
    <row r="161" spans="1:39" x14ac:dyDescent="0.25">
      <c r="A161" s="148" t="s">
        <v>225</v>
      </c>
      <c r="B161" s="167">
        <f t="shared" ref="B161:AD161" si="100">B107/(B34+B43)</f>
        <v>3.7419118181090588E-2</v>
      </c>
      <c r="C161" s="167">
        <f t="shared" si="100"/>
        <v>3.6952193755568429E-2</v>
      </c>
      <c r="D161" s="167">
        <f t="shared" si="100"/>
        <v>3.6759690945757567E-2</v>
      </c>
      <c r="E161" s="167">
        <f t="shared" si="100"/>
        <v>3.6531453771362264E-2</v>
      </c>
      <c r="F161" s="167">
        <f t="shared" si="100"/>
        <v>3.6268263467510199E-2</v>
      </c>
      <c r="G161" s="167">
        <f t="shared" si="100"/>
        <v>3.607274212622015E-2</v>
      </c>
      <c r="H161" s="167">
        <f t="shared" si="100"/>
        <v>3.5878963776280151E-2</v>
      </c>
      <c r="I161" s="167">
        <f t="shared" si="100"/>
        <v>3.5695589966535664E-2</v>
      </c>
      <c r="J161" s="167">
        <f t="shared" si="100"/>
        <v>3.5574159013248736E-2</v>
      </c>
      <c r="K161" s="167">
        <f t="shared" si="100"/>
        <v>3.5522357566068453E-2</v>
      </c>
      <c r="L161" s="167">
        <f t="shared" si="100"/>
        <v>3.5470818332403703E-2</v>
      </c>
      <c r="M161" s="167">
        <f t="shared" si="100"/>
        <v>3.5368720917971462E-2</v>
      </c>
      <c r="N161" s="167">
        <f t="shared" si="100"/>
        <v>3.5186176806577797E-2</v>
      </c>
      <c r="O161" s="167">
        <f t="shared" si="100"/>
        <v>3.500483791111484E-2</v>
      </c>
      <c r="P161" s="167">
        <f t="shared" si="100"/>
        <v>3.4824689770022753E-2</v>
      </c>
      <c r="Q161" s="167">
        <f t="shared" si="100"/>
        <v>3.4645718131792791E-2</v>
      </c>
      <c r="R161" s="167">
        <f t="shared" si="100"/>
        <v>3.4467908951000187E-2</v>
      </c>
      <c r="S161" s="167">
        <f t="shared" si="100"/>
        <v>3.4291248384424891E-2</v>
      </c>
      <c r="T161" s="167">
        <f t="shared" si="100"/>
        <v>3.4069885286530273E-2</v>
      </c>
      <c r="U161" s="167">
        <f t="shared" si="100"/>
        <v>3.3850174058512768E-2</v>
      </c>
      <c r="V161" s="167">
        <f t="shared" si="100"/>
        <v>3.3632094611044945E-2</v>
      </c>
      <c r="W161" s="167">
        <f t="shared" si="100"/>
        <v>3.3418585321322761E-2</v>
      </c>
      <c r="X161" s="167">
        <f t="shared" si="100"/>
        <v>3.3074604309315671E-2</v>
      </c>
      <c r="Y161" s="167">
        <f t="shared" si="100"/>
        <v>3.2766217069828511E-2</v>
      </c>
      <c r="Z161" s="167">
        <f t="shared" si="100"/>
        <v>3.249191033959449E-2</v>
      </c>
      <c r="AA161" s="167">
        <f t="shared" si="100"/>
        <v>3.2272841546109161E-2</v>
      </c>
      <c r="AB161" s="167">
        <f t="shared" si="100"/>
        <v>3.2055403498590061E-2</v>
      </c>
      <c r="AC161" s="167">
        <f t="shared" si="100"/>
        <v>3.1832243109642215E-2</v>
      </c>
      <c r="AD161" s="167">
        <f t="shared" si="100"/>
        <v>3.1560127537479603E-2</v>
      </c>
      <c r="AE161" s="167">
        <f t="shared" ref="AE161:AL162" si="101">AE107/(AE34+AE43)</f>
        <v>3.1496709833168088E-2</v>
      </c>
      <c r="AF161" s="167">
        <f t="shared" si="101"/>
        <v>3.1359909923436832E-2</v>
      </c>
      <c r="AG161" s="167">
        <f t="shared" si="101"/>
        <v>3.122474635354841E-2</v>
      </c>
      <c r="AH161" s="167">
        <f t="shared" si="101"/>
        <v>3.1092320789364282E-2</v>
      </c>
      <c r="AI161" s="167">
        <f t="shared" si="101"/>
        <v>3.0961404442554911E-2</v>
      </c>
      <c r="AJ161" s="167">
        <f t="shared" si="101"/>
        <v>3.0831972244815306E-2</v>
      </c>
      <c r="AK161" s="167">
        <f t="shared" si="101"/>
        <v>3.0703999680835602E-2</v>
      </c>
      <c r="AL161" s="167">
        <f t="shared" si="101"/>
        <v>3.0552360195821998E-2</v>
      </c>
      <c r="AM161" s="167"/>
    </row>
    <row r="162" spans="1:39" x14ac:dyDescent="0.25">
      <c r="A162" t="s">
        <v>100</v>
      </c>
      <c r="B162" s="167">
        <f t="shared" ref="B162:AD162" si="102">B108/(B35+B44)</f>
        <v>4.9632782090950886E-2</v>
      </c>
      <c r="C162" s="167">
        <f t="shared" si="102"/>
        <v>4.4122446618659925E-2</v>
      </c>
      <c r="D162" s="167">
        <f t="shared" si="102"/>
        <v>3.9753145212171048E-2</v>
      </c>
      <c r="E162" s="167">
        <f t="shared" si="102"/>
        <v>3.6160618004326871E-2</v>
      </c>
      <c r="F162" s="167">
        <f t="shared" si="102"/>
        <v>3.3152780408510857E-2</v>
      </c>
      <c r="G162" s="167">
        <f t="shared" si="102"/>
        <v>3.0160009566536108E-2</v>
      </c>
      <c r="H162" s="167">
        <f t="shared" si="102"/>
        <v>2.7682247918030443E-2</v>
      </c>
      <c r="I162" s="167">
        <f t="shared" si="102"/>
        <v>2.5598771717626732E-2</v>
      </c>
      <c r="J162" s="167">
        <f t="shared" si="102"/>
        <v>2.3830737936717927E-2</v>
      </c>
      <c r="K162" s="167">
        <f t="shared" si="102"/>
        <v>2.2314868361728274E-2</v>
      </c>
      <c r="L162" s="167">
        <f t="shared" si="102"/>
        <v>2.0993857867850463E-2</v>
      </c>
      <c r="M162" s="167">
        <f t="shared" si="102"/>
        <v>1.9883396186157126E-2</v>
      </c>
      <c r="N162" s="167">
        <f t="shared" si="102"/>
        <v>1.8880894145443403E-2</v>
      </c>
      <c r="O162" s="167">
        <f t="shared" si="102"/>
        <v>1.7979316209132457E-2</v>
      </c>
      <c r="P162" s="167">
        <f t="shared" si="102"/>
        <v>1.7164217087426648E-2</v>
      </c>
      <c r="Q162" s="167">
        <f t="shared" si="102"/>
        <v>1.6423783815339599E-2</v>
      </c>
      <c r="R162" s="167">
        <f t="shared" si="102"/>
        <v>1.5748262300734572E-2</v>
      </c>
      <c r="S162" s="167">
        <f t="shared" si="102"/>
        <v>1.5129527525809717E-2</v>
      </c>
      <c r="T162" s="167">
        <f t="shared" si="102"/>
        <v>1.4551876058900941E-2</v>
      </c>
      <c r="U162" s="167">
        <f t="shared" si="102"/>
        <v>1.4015289349869684E-2</v>
      </c>
      <c r="V162" s="167">
        <f t="shared" si="102"/>
        <v>1.3542953963322599E-2</v>
      </c>
      <c r="W162" s="167">
        <f t="shared" si="102"/>
        <v>1.3104571690684757E-2</v>
      </c>
      <c r="X162" s="167">
        <f t="shared" si="102"/>
        <v>1.2679211670029182E-2</v>
      </c>
      <c r="Y162" s="167">
        <f t="shared" si="102"/>
        <v>1.2280586885795895E-2</v>
      </c>
      <c r="Z162" s="167">
        <f t="shared" si="102"/>
        <v>1.1906514482895494E-2</v>
      </c>
      <c r="AA162" s="167">
        <f t="shared" si="102"/>
        <v>1.1581325852749628E-2</v>
      </c>
      <c r="AB162" s="167">
        <f t="shared" si="102"/>
        <v>1.1316175303273734E-2</v>
      </c>
      <c r="AC162" s="167">
        <f t="shared" si="102"/>
        <v>1.105864770312474E-2</v>
      </c>
      <c r="AD162" s="167">
        <f t="shared" si="102"/>
        <v>1.080444239126142E-2</v>
      </c>
      <c r="AE162" s="167">
        <f t="shared" si="101"/>
        <v>1.0514340071300619E-2</v>
      </c>
      <c r="AF162" s="167">
        <f t="shared" si="101"/>
        <v>1.0232464441076367E-2</v>
      </c>
      <c r="AG162" s="167">
        <f t="shared" si="101"/>
        <v>9.9592371032089302E-3</v>
      </c>
      <c r="AH162" s="167">
        <f t="shared" si="101"/>
        <v>9.6987838336084174E-3</v>
      </c>
      <c r="AI162" s="167">
        <f t="shared" si="101"/>
        <v>9.45113351162832E-3</v>
      </c>
      <c r="AJ162" s="167">
        <f t="shared" si="101"/>
        <v>9.2153697830504692E-3</v>
      </c>
      <c r="AK162" s="167">
        <f t="shared" si="101"/>
        <v>8.9906616960872404E-3</v>
      </c>
      <c r="AL162" s="167">
        <f t="shared" si="101"/>
        <v>8.7742348709529683E-3</v>
      </c>
      <c r="AM162" s="167">
        <f>AM108/(AM35+AM44)</f>
        <v>8.5675225705484567E-3</v>
      </c>
    </row>
    <row r="164" spans="1:39" x14ac:dyDescent="0.25">
      <c r="A164" s="166" t="s">
        <v>256</v>
      </c>
      <c r="B164" s="2">
        <v>2013</v>
      </c>
      <c r="C164" s="2">
        <v>2014</v>
      </c>
      <c r="D164" s="2">
        <v>2015</v>
      </c>
      <c r="E164" s="2">
        <v>2016</v>
      </c>
      <c r="F164" s="2">
        <v>2017</v>
      </c>
      <c r="G164" s="2">
        <v>2018</v>
      </c>
      <c r="H164" s="2">
        <v>2019</v>
      </c>
      <c r="I164" s="2">
        <v>2020</v>
      </c>
      <c r="J164" s="2">
        <v>2021</v>
      </c>
      <c r="K164" s="2">
        <v>2022</v>
      </c>
      <c r="L164" s="2">
        <v>2023</v>
      </c>
      <c r="M164" s="2">
        <v>2024</v>
      </c>
      <c r="N164" s="2">
        <v>2025</v>
      </c>
      <c r="O164" s="2">
        <v>2026</v>
      </c>
      <c r="P164" s="2">
        <v>2027</v>
      </c>
      <c r="Q164" s="2">
        <v>2028</v>
      </c>
      <c r="R164" s="2">
        <v>2029</v>
      </c>
      <c r="S164" s="2">
        <v>2030</v>
      </c>
      <c r="T164" s="2">
        <v>2031</v>
      </c>
      <c r="U164" s="2">
        <v>2032</v>
      </c>
      <c r="V164" s="2">
        <v>2033</v>
      </c>
      <c r="W164" s="2">
        <v>2034</v>
      </c>
      <c r="X164" s="2">
        <v>2035</v>
      </c>
      <c r="Y164" s="2">
        <v>2036</v>
      </c>
      <c r="Z164" s="2">
        <v>2037</v>
      </c>
      <c r="AA164" s="2">
        <v>2038</v>
      </c>
      <c r="AB164" s="2">
        <v>2039</v>
      </c>
      <c r="AC164" s="2">
        <v>2040</v>
      </c>
      <c r="AD164" s="2">
        <v>2041</v>
      </c>
      <c r="AE164" s="2">
        <v>2042</v>
      </c>
      <c r="AF164" s="2">
        <v>2043</v>
      </c>
      <c r="AG164" s="2">
        <v>2044</v>
      </c>
      <c r="AH164" s="2">
        <v>2045</v>
      </c>
      <c r="AI164" s="2">
        <v>2046</v>
      </c>
      <c r="AJ164" s="2">
        <v>2047</v>
      </c>
      <c r="AK164" s="2">
        <v>2048</v>
      </c>
      <c r="AL164" s="2">
        <v>2049</v>
      </c>
      <c r="AM164" s="2">
        <v>2050</v>
      </c>
    </row>
    <row r="165" spans="1:39" x14ac:dyDescent="0.25">
      <c r="A165" t="s">
        <v>215</v>
      </c>
      <c r="B165" s="167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>
        <f t="shared" ref="AF165:AM165" si="103">AF156/AE156-1</f>
        <v>-6.205051595919997E-4</v>
      </c>
      <c r="AG165" s="168">
        <f t="shared" si="103"/>
        <v>-6.1918396199989179E-4</v>
      </c>
      <c r="AH165" s="168">
        <f t="shared" si="103"/>
        <v>-6.1257991543683943E-4</v>
      </c>
      <c r="AI165" s="168">
        <f t="shared" si="103"/>
        <v>-6.1128070849914007E-4</v>
      </c>
      <c r="AJ165" s="168">
        <f t="shared" si="103"/>
        <v>-6.0985248203138109E-4</v>
      </c>
      <c r="AK165" s="168">
        <f t="shared" si="103"/>
        <v>-6.0828840873983214E-4</v>
      </c>
      <c r="AL165" s="168">
        <f t="shared" si="103"/>
        <v>-7.2527244169684479E-4</v>
      </c>
      <c r="AM165" s="168">
        <f t="shared" si="103"/>
        <v>-7.2264102276264897E-4</v>
      </c>
    </row>
    <row r="166" spans="1:39" x14ac:dyDescent="0.25">
      <c r="A166" t="s">
        <v>212</v>
      </c>
      <c r="B166" s="167"/>
      <c r="C166" s="168">
        <f>C157/B157-1</f>
        <v>-1.1449207792577631E-3</v>
      </c>
      <c r="D166" s="168">
        <f t="shared" ref="D166:AM166" si="104">D157/C157-1</f>
        <v>1.3946580099299943E-4</v>
      </c>
      <c r="E166" s="168">
        <f t="shared" si="104"/>
        <v>5.3530220594466549E-4</v>
      </c>
      <c r="F166" s="168">
        <f t="shared" si="104"/>
        <v>6.2457290614448269E-4</v>
      </c>
      <c r="G166" s="168">
        <f t="shared" si="104"/>
        <v>-1.7804890453240962E-2</v>
      </c>
      <c r="H166" s="168">
        <f t="shared" si="104"/>
        <v>-1.130026076605839E-2</v>
      </c>
      <c r="I166" s="168">
        <f t="shared" si="104"/>
        <v>-7.2553838617080979E-3</v>
      </c>
      <c r="J166" s="168">
        <f t="shared" si="104"/>
        <v>-4.2288773600114293E-3</v>
      </c>
      <c r="K166" s="168">
        <f t="shared" si="104"/>
        <v>-1.9476912985854078E-3</v>
      </c>
      <c r="L166" s="168">
        <f t="shared" si="104"/>
        <v>-6.3204516041992509E-4</v>
      </c>
      <c r="M166" s="168">
        <f t="shared" si="104"/>
        <v>2.1374064645600654E-3</v>
      </c>
      <c r="N166" s="168">
        <f t="shared" si="104"/>
        <v>1.8560588838936187E-3</v>
      </c>
      <c r="O166" s="168">
        <f t="shared" si="104"/>
        <v>2.0731087192735753E-3</v>
      </c>
      <c r="P166" s="168">
        <f t="shared" si="104"/>
        <v>2.2505930279934638E-3</v>
      </c>
      <c r="Q166" s="168">
        <f t="shared" si="104"/>
        <v>2.3978609249968308E-3</v>
      </c>
      <c r="R166" s="168">
        <f t="shared" si="104"/>
        <v>2.5216532752805332E-3</v>
      </c>
      <c r="S166" s="168">
        <f t="shared" si="104"/>
        <v>2.626929556272195E-3</v>
      </c>
      <c r="T166" s="168">
        <f t="shared" si="104"/>
        <v>2.0564663955362494E-3</v>
      </c>
      <c r="U166" s="168">
        <f t="shared" si="104"/>
        <v>1.8538030559180907E-3</v>
      </c>
      <c r="V166" s="168">
        <f t="shared" si="104"/>
        <v>4.987632635569561E-3</v>
      </c>
      <c r="W166" s="168">
        <f t="shared" si="104"/>
        <v>5.1848408834074267E-3</v>
      </c>
      <c r="X166" s="168">
        <f t="shared" si="104"/>
        <v>3.5667241666648142E-3</v>
      </c>
      <c r="Y166" s="168">
        <f t="shared" si="104"/>
        <v>3.3084037355899376E-3</v>
      </c>
      <c r="Z166" s="168">
        <f t="shared" si="104"/>
        <v>3.1083645384473169E-3</v>
      </c>
      <c r="AA166" s="168">
        <f t="shared" si="104"/>
        <v>7.0173982538783708E-3</v>
      </c>
      <c r="AB166" s="168">
        <f t="shared" si="104"/>
        <v>6.2050678061806863E-3</v>
      </c>
      <c r="AC166" s="168">
        <f t="shared" si="104"/>
        <v>5.4004972824099884E-3</v>
      </c>
      <c r="AD166" s="168">
        <f t="shared" si="104"/>
        <v>4.2635169213096624E-3</v>
      </c>
      <c r="AE166" s="168">
        <f t="shared" si="104"/>
        <v>5.5448488728848666E-3</v>
      </c>
      <c r="AF166" s="168">
        <f t="shared" si="104"/>
        <v>4.3174130210119621E-3</v>
      </c>
      <c r="AG166" s="168">
        <f t="shared" si="104"/>
        <v>2.9488324571544933E-3</v>
      </c>
      <c r="AH166" s="168">
        <f t="shared" si="104"/>
        <v>2.618122552249913E-3</v>
      </c>
      <c r="AI166" s="168">
        <f t="shared" si="104"/>
        <v>2.3039928247974295E-3</v>
      </c>
      <c r="AJ166" s="168">
        <f t="shared" si="104"/>
        <v>2.0148277243559054E-3</v>
      </c>
      <c r="AK166" s="168">
        <f t="shared" si="104"/>
        <v>1.7481546462452258E-3</v>
      </c>
      <c r="AL166" s="168">
        <f t="shared" si="104"/>
        <v>1.2528482486158232E-3</v>
      </c>
      <c r="AM166" s="168">
        <f t="shared" si="104"/>
        <v>1.0256968373159037E-3</v>
      </c>
    </row>
    <row r="167" spans="1:39" x14ac:dyDescent="0.25">
      <c r="A167" t="s">
        <v>213</v>
      </c>
      <c r="B167" s="167"/>
      <c r="C167" s="168">
        <f t="shared" ref="C167:AM167" si="105">C158/B158-1</f>
        <v>4.6717442279027299E-3</v>
      </c>
      <c r="D167" s="168">
        <f t="shared" si="105"/>
        <v>7.3944921932662666E-3</v>
      </c>
      <c r="E167" s="168">
        <f t="shared" si="105"/>
        <v>8.0839102510330552E-3</v>
      </c>
      <c r="F167" s="168">
        <f t="shared" si="105"/>
        <v>8.4133627527334109E-3</v>
      </c>
      <c r="G167" s="168">
        <f t="shared" si="105"/>
        <v>8.9539992463933959E-3</v>
      </c>
      <c r="H167" s="168">
        <f t="shared" si="105"/>
        <v>9.1839031509755031E-3</v>
      </c>
      <c r="I167" s="168">
        <f t="shared" si="105"/>
        <v>9.4030743773549919E-3</v>
      </c>
      <c r="J167" s="168">
        <f t="shared" si="105"/>
        <v>9.7985498595520859E-3</v>
      </c>
      <c r="K167" s="168">
        <f t="shared" si="105"/>
        <v>1.0220354745057003E-2</v>
      </c>
      <c r="L167" s="168">
        <f t="shared" si="105"/>
        <v>1.0367440910908243E-2</v>
      </c>
      <c r="M167" s="168">
        <f t="shared" si="105"/>
        <v>1.0303147394228107E-2</v>
      </c>
      <c r="N167" s="168">
        <f t="shared" si="105"/>
        <v>1.0101938560093338E-2</v>
      </c>
      <c r="O167" s="168">
        <f t="shared" si="105"/>
        <v>1.0222931469889618E-2</v>
      </c>
      <c r="P167" s="168">
        <f t="shared" si="105"/>
        <v>1.0342703003634046E-2</v>
      </c>
      <c r="Q167" s="168">
        <f t="shared" si="105"/>
        <v>1.0462090565042326E-2</v>
      </c>
      <c r="R167" s="168">
        <f t="shared" si="105"/>
        <v>1.0581721884364903E-2</v>
      </c>
      <c r="S167" s="168">
        <f t="shared" si="105"/>
        <v>1.0702081578389366E-2</v>
      </c>
      <c r="T167" s="168">
        <f t="shared" si="105"/>
        <v>1.0157715947610724E-2</v>
      </c>
      <c r="U167" s="168">
        <f t="shared" si="105"/>
        <v>9.8730455547089147E-3</v>
      </c>
      <c r="V167" s="168">
        <f t="shared" si="105"/>
        <v>9.6311750516762107E-3</v>
      </c>
      <c r="W167" s="168">
        <f t="shared" si="105"/>
        <v>9.4398226692078424E-3</v>
      </c>
      <c r="X167" s="168">
        <f t="shared" si="105"/>
        <v>8.5856475215499994E-3</v>
      </c>
      <c r="Y167" s="168">
        <f t="shared" si="105"/>
        <v>8.5811049791959526E-3</v>
      </c>
      <c r="Z167" s="168">
        <f t="shared" si="105"/>
        <v>8.6039231025623053E-3</v>
      </c>
      <c r="AA167" s="168">
        <f t="shared" si="105"/>
        <v>8.7759587492468594E-3</v>
      </c>
      <c r="AB167" s="168">
        <f t="shared" si="105"/>
        <v>2.6735679952349267E-2</v>
      </c>
      <c r="AC167" s="168">
        <f t="shared" si="105"/>
        <v>2.5564566781704157E-2</v>
      </c>
      <c r="AD167" s="168">
        <f t="shared" si="105"/>
        <v>2.4197036648622161E-2</v>
      </c>
      <c r="AE167" s="168">
        <f t="shared" si="105"/>
        <v>2.4564146141807131E-2</v>
      </c>
      <c r="AF167" s="168">
        <f t="shared" si="105"/>
        <v>2.3220680845577046E-2</v>
      </c>
      <c r="AG167" s="168">
        <f t="shared" si="105"/>
        <v>2.2415091824482092E-2</v>
      </c>
      <c r="AH167" s="168">
        <f t="shared" si="105"/>
        <v>2.1673118691541315E-2</v>
      </c>
      <c r="AI167" s="168">
        <f t="shared" si="105"/>
        <v>2.0973484420286015E-2</v>
      </c>
      <c r="AJ167" s="168">
        <f t="shared" si="105"/>
        <v>2.0319848711563893E-2</v>
      </c>
      <c r="AK167" s="168">
        <f t="shared" si="105"/>
        <v>1.9708256019987491E-2</v>
      </c>
      <c r="AL167" s="168">
        <f t="shared" si="105"/>
        <v>1.8934299871541826E-2</v>
      </c>
      <c r="AM167" s="168">
        <f t="shared" si="105"/>
        <v>1.839036478828171E-2</v>
      </c>
    </row>
    <row r="168" spans="1:39" x14ac:dyDescent="0.25">
      <c r="A168" t="s">
        <v>214</v>
      </c>
      <c r="B168" s="167"/>
      <c r="C168" s="168">
        <f t="shared" ref="C168:AM168" si="106">C159/B159-1</f>
        <v>-3.017903245486564E-3</v>
      </c>
      <c r="D168" s="168">
        <f t="shared" si="106"/>
        <v>-1.0830156399079804E-3</v>
      </c>
      <c r="E168" s="168">
        <f t="shared" si="106"/>
        <v>-1.2042640444064334E-3</v>
      </c>
      <c r="F168" s="168">
        <f t="shared" si="106"/>
        <v>-1.3279317265689761E-3</v>
      </c>
      <c r="G168" s="168">
        <f t="shared" si="106"/>
        <v>-7.3930127444843396E-4</v>
      </c>
      <c r="H168" s="168">
        <f t="shared" si="106"/>
        <v>-6.0215832285936965E-4</v>
      </c>
      <c r="I168" s="168">
        <f t="shared" si="106"/>
        <v>-4.0184587982683428E-4</v>
      </c>
      <c r="J168" s="168">
        <f t="shared" si="106"/>
        <v>1.7383830968364933E-4</v>
      </c>
      <c r="K168" s="168">
        <f t="shared" si="106"/>
        <v>8.1613668415059237E-4</v>
      </c>
      <c r="L168" s="168">
        <f t="shared" si="106"/>
        <v>9.6204938912536342E-4</v>
      </c>
      <c r="M168" s="168">
        <f t="shared" si="106"/>
        <v>7.3795130573617307E-4</v>
      </c>
      <c r="N168" s="168">
        <f t="shared" si="106"/>
        <v>2.8729103193070316E-4</v>
      </c>
      <c r="O168" s="168">
        <f t="shared" si="106"/>
        <v>4.3076480175918697E-4</v>
      </c>
      <c r="P168" s="168">
        <f t="shared" si="106"/>
        <v>5.757045316061582E-4</v>
      </c>
      <c r="Q168" s="168">
        <f t="shared" si="106"/>
        <v>7.2219152022112709E-4</v>
      </c>
      <c r="R168" s="168">
        <f t="shared" si="106"/>
        <v>8.7030961453482547E-4</v>
      </c>
      <c r="S168" s="168">
        <f t="shared" si="106"/>
        <v>1.020145374632131E-3</v>
      </c>
      <c r="T168" s="168">
        <f t="shared" si="106"/>
        <v>6.6731688494292563E-4</v>
      </c>
      <c r="U168" s="168">
        <f t="shared" si="106"/>
        <v>6.7273322448846429E-4</v>
      </c>
      <c r="V168" s="168">
        <f t="shared" si="106"/>
        <v>6.7818756256254886E-4</v>
      </c>
      <c r="W168" s="168">
        <f t="shared" si="106"/>
        <v>7.0810177592406376E-4</v>
      </c>
      <c r="X168" s="168">
        <f t="shared" si="106"/>
        <v>-3.9399168991349764E-4</v>
      </c>
      <c r="Y168" s="168">
        <f t="shared" si="106"/>
        <v>-1.3355079937182879E-4</v>
      </c>
      <c r="Z168" s="168">
        <f t="shared" si="106"/>
        <v>1.2936929758433635E-4</v>
      </c>
      <c r="AA168" s="168">
        <f t="shared" si="106"/>
        <v>5.9383894207898358E-4</v>
      </c>
      <c r="AB168" s="168">
        <f t="shared" si="106"/>
        <v>5.9785343811080693E-4</v>
      </c>
      <c r="AC168" s="168">
        <f t="shared" si="106"/>
        <v>5.3507594245294499E-4</v>
      </c>
      <c r="AD168" s="168">
        <f t="shared" si="106"/>
        <v>6.9431538957109851E-5</v>
      </c>
      <c r="AE168" s="168">
        <f t="shared" si="106"/>
        <v>1.9996918850704315E-3</v>
      </c>
      <c r="AF168" s="168">
        <f t="shared" si="106"/>
        <v>1.3267060327877278E-3</v>
      </c>
      <c r="AG168" s="168">
        <f t="shared" si="106"/>
        <v>9.8451787543707425E-4</v>
      </c>
      <c r="AH168" s="168">
        <f t="shared" si="106"/>
        <v>5.778002959244688E-5</v>
      </c>
      <c r="AI168" s="168">
        <f t="shared" si="106"/>
        <v>-7.9487736962646771E-5</v>
      </c>
      <c r="AJ168" s="168">
        <f t="shared" si="106"/>
        <v>-2.1804160816740747E-4</v>
      </c>
      <c r="AK168" s="168">
        <f t="shared" si="106"/>
        <v>-3.5783646942022518E-4</v>
      </c>
      <c r="AL168" s="168">
        <f t="shared" si="106"/>
        <v>-7.4736455442636629E-4</v>
      </c>
      <c r="AM168" s="168">
        <f t="shared" si="106"/>
        <v>-8.8776984389538072E-4</v>
      </c>
    </row>
    <row r="169" spans="1:39" x14ac:dyDescent="0.25">
      <c r="A169" t="s">
        <v>216</v>
      </c>
      <c r="B169" s="167"/>
      <c r="C169" s="168">
        <f t="shared" ref="C169:AM169" si="107">C160/B160-1</f>
        <v>7.1786531210471516E-4</v>
      </c>
      <c r="D169" s="168">
        <f t="shared" si="107"/>
        <v>1.7377916482392841E-3</v>
      </c>
      <c r="E169" s="168">
        <f t="shared" si="107"/>
        <v>1.7407311041670592E-3</v>
      </c>
      <c r="F169" s="168">
        <f t="shared" si="107"/>
        <v>1.6736946532791563E-3</v>
      </c>
      <c r="G169" s="168">
        <f t="shared" si="107"/>
        <v>2.2085859276741449E-3</v>
      </c>
      <c r="H169" s="168">
        <f t="shared" si="107"/>
        <v>2.3059612140190477E-3</v>
      </c>
      <c r="I169" s="168">
        <f t="shared" si="107"/>
        <v>2.439829880289901E-3</v>
      </c>
      <c r="J169" s="168">
        <f t="shared" si="107"/>
        <v>2.9023741984710583E-3</v>
      </c>
      <c r="K169" s="168">
        <f t="shared" si="107"/>
        <v>3.4172107798939866E-3</v>
      </c>
      <c r="L169" s="168">
        <f t="shared" si="107"/>
        <v>3.4689434476244951E-3</v>
      </c>
      <c r="M169" s="168">
        <f t="shared" si="107"/>
        <v>3.1714449761364172E-3</v>
      </c>
      <c r="N169" s="168">
        <f t="shared" si="107"/>
        <v>2.6555618177666052E-3</v>
      </c>
      <c r="O169" s="168">
        <f t="shared" si="107"/>
        <v>2.6812858213076662E-3</v>
      </c>
      <c r="P169" s="168">
        <f t="shared" si="107"/>
        <v>2.7037473072819562E-3</v>
      </c>
      <c r="Q169" s="168">
        <f t="shared" si="107"/>
        <v>2.7235445424289573E-3</v>
      </c>
      <c r="R169" s="168">
        <f t="shared" si="107"/>
        <v>2.7411427886288031E-3</v>
      </c>
      <c r="S169" s="168">
        <f t="shared" si="107"/>
        <v>2.7569082063421124E-3</v>
      </c>
      <c r="T169" s="168">
        <f t="shared" si="107"/>
        <v>2.3803840938743104E-3</v>
      </c>
      <c r="U169" s="168">
        <f t="shared" si="107"/>
        <v>2.3419663377926003E-3</v>
      </c>
      <c r="V169" s="168">
        <f t="shared" si="107"/>
        <v>6.929039194565334E-3</v>
      </c>
      <c r="W169" s="168">
        <f t="shared" si="107"/>
        <v>6.4961610668174963E-3</v>
      </c>
      <c r="X169" s="168">
        <f t="shared" si="107"/>
        <v>5.0262339207407525E-3</v>
      </c>
      <c r="Y169" s="168">
        <f t="shared" si="107"/>
        <v>4.8881908311506628E-3</v>
      </c>
      <c r="Z169" s="168">
        <f t="shared" si="107"/>
        <v>4.7896996907927925E-3</v>
      </c>
      <c r="AA169" s="168">
        <f t="shared" si="107"/>
        <v>4.9192691373491915E-3</v>
      </c>
      <c r="AB169" s="168">
        <f t="shared" si="107"/>
        <v>4.6321070508932305E-3</v>
      </c>
      <c r="AC169" s="168">
        <f t="shared" si="107"/>
        <v>4.3025234167906046E-3</v>
      </c>
      <c r="AD169" s="168">
        <f t="shared" si="107"/>
        <v>3.5980278100906649E-3</v>
      </c>
      <c r="AE169" s="168">
        <f t="shared" si="107"/>
        <v>5.2608692743005836E-3</v>
      </c>
      <c r="AF169" s="168">
        <f t="shared" si="107"/>
        <v>4.3924203848355603E-3</v>
      </c>
      <c r="AG169" s="168">
        <f t="shared" si="107"/>
        <v>4.2189231556224449E-3</v>
      </c>
      <c r="AH169" s="168">
        <f t="shared" si="107"/>
        <v>4.0693138775280691E-3</v>
      </c>
      <c r="AI169" s="168">
        <f t="shared" si="107"/>
        <v>3.9203997750254516E-3</v>
      </c>
      <c r="AJ169" s="168">
        <f t="shared" si="107"/>
        <v>3.7822428994562785E-3</v>
      </c>
      <c r="AK169" s="168">
        <f t="shared" si="107"/>
        <v>3.6538618885684215E-3</v>
      </c>
      <c r="AL169" s="168">
        <f t="shared" si="107"/>
        <v>3.2835542383826688E-3</v>
      </c>
      <c r="AM169" s="168">
        <f t="shared" si="107"/>
        <v>3.171911247212833E-3</v>
      </c>
    </row>
    <row r="170" spans="1:39" x14ac:dyDescent="0.25">
      <c r="A170" s="148" t="s">
        <v>225</v>
      </c>
      <c r="B170" s="167"/>
      <c r="C170" s="168">
        <f t="shared" ref="C170:AM170" si="108">C161/B161-1</f>
        <v>-1.2478231669235784E-2</v>
      </c>
      <c r="D170" s="168">
        <f t="shared" si="108"/>
        <v>-5.2095096460099688E-3</v>
      </c>
      <c r="E170" s="168">
        <f t="shared" si="108"/>
        <v>-6.2088980762131651E-3</v>
      </c>
      <c r="F170" s="168">
        <f t="shared" si="108"/>
        <v>-7.2044848118906213E-3</v>
      </c>
      <c r="G170" s="168">
        <f t="shared" si="108"/>
        <v>-5.3909760930572759E-3</v>
      </c>
      <c r="H170" s="168">
        <f t="shared" si="108"/>
        <v>-5.371877448682949E-3</v>
      </c>
      <c r="I170" s="168">
        <f t="shared" si="108"/>
        <v>-5.1109003840773548E-3</v>
      </c>
      <c r="J170" s="168">
        <f t="shared" si="108"/>
        <v>-3.4018474943477983E-3</v>
      </c>
      <c r="K170" s="168">
        <f t="shared" si="108"/>
        <v>-1.4561538098761817E-3</v>
      </c>
      <c r="L170" s="168">
        <f t="shared" si="108"/>
        <v>-1.4508956385818061E-3</v>
      </c>
      <c r="M170" s="168">
        <f t="shared" si="108"/>
        <v>-2.878349562602911E-3</v>
      </c>
      <c r="N170" s="168">
        <f t="shared" si="108"/>
        <v>-5.1611736770755812E-3</v>
      </c>
      <c r="O170" s="168">
        <f t="shared" si="108"/>
        <v>-5.1536970458539999E-3</v>
      </c>
      <c r="P170" s="168">
        <f t="shared" si="108"/>
        <v>-5.1463783820260289E-3</v>
      </c>
      <c r="Q170" s="168">
        <f t="shared" si="108"/>
        <v>-5.1392170156249195E-3</v>
      </c>
      <c r="R170" s="168">
        <f t="shared" si="108"/>
        <v>-5.1322123015667964E-3</v>
      </c>
      <c r="S170" s="168">
        <f t="shared" si="108"/>
        <v>-5.1253636194303898E-3</v>
      </c>
      <c r="T170" s="168">
        <f t="shared" si="108"/>
        <v>-6.4553817176035144E-3</v>
      </c>
      <c r="U170" s="168">
        <f t="shared" si="108"/>
        <v>-6.4488396767325984E-3</v>
      </c>
      <c r="V170" s="168">
        <f t="shared" si="108"/>
        <v>-6.44249116979001E-3</v>
      </c>
      <c r="W170" s="168">
        <f t="shared" si="108"/>
        <v>-6.3483791952722024E-3</v>
      </c>
      <c r="X170" s="168">
        <f t="shared" si="108"/>
        <v>-1.0293105129965285E-2</v>
      </c>
      <c r="Y170" s="168">
        <f t="shared" si="108"/>
        <v>-9.3239887801257471E-3</v>
      </c>
      <c r="Z170" s="168">
        <f t="shared" si="108"/>
        <v>-8.3716325766091115E-3</v>
      </c>
      <c r="AA170" s="168">
        <f t="shared" si="108"/>
        <v>-6.7422564938686147E-3</v>
      </c>
      <c r="AB170" s="168">
        <f t="shared" si="108"/>
        <v>-6.7374931088246548E-3</v>
      </c>
      <c r="AC170" s="168">
        <f t="shared" si="108"/>
        <v>-6.9617089348964489E-3</v>
      </c>
      <c r="AD170" s="168">
        <f t="shared" si="108"/>
        <v>-8.5484259222745607E-3</v>
      </c>
      <c r="AE170" s="168">
        <f t="shared" si="108"/>
        <v>-2.0094248426658634E-3</v>
      </c>
      <c r="AF170" s="168">
        <f t="shared" si="108"/>
        <v>-4.343307934570273E-3</v>
      </c>
      <c r="AG170" s="168">
        <f t="shared" si="108"/>
        <v>-4.3100751953183414E-3</v>
      </c>
      <c r="AH170" s="168">
        <f t="shared" si="108"/>
        <v>-4.241045313377878E-3</v>
      </c>
      <c r="AI170" s="168">
        <f t="shared" si="108"/>
        <v>-4.2105685097059142E-3</v>
      </c>
      <c r="AJ170" s="168">
        <f t="shared" si="108"/>
        <v>-4.1804369042673928E-3</v>
      </c>
      <c r="AK170" s="168">
        <f t="shared" si="108"/>
        <v>-4.1506447580960115E-3</v>
      </c>
      <c r="AL170" s="168">
        <f t="shared" si="108"/>
        <v>-4.9387534715307213E-3</v>
      </c>
      <c r="AM170" s="168">
        <f t="shared" si="108"/>
        <v>-1</v>
      </c>
    </row>
    <row r="171" spans="1:39" x14ac:dyDescent="0.25">
      <c r="A171" t="s">
        <v>100</v>
      </c>
      <c r="B171" s="167"/>
      <c r="C171" s="168">
        <f t="shared" ref="C171:AM171" si="109">C162/B162-1</f>
        <v>-0.11102209548103514</v>
      </c>
      <c r="D171" s="168">
        <f t="shared" si="109"/>
        <v>-9.9026725427348472E-2</v>
      </c>
      <c r="E171" s="168">
        <f t="shared" si="109"/>
        <v>-9.0370892382730772E-2</v>
      </c>
      <c r="F171" s="168">
        <f t="shared" si="109"/>
        <v>-8.3179927828006317E-2</v>
      </c>
      <c r="G171" s="168">
        <f t="shared" si="109"/>
        <v>-9.027209196627306E-2</v>
      </c>
      <c r="H171" s="168">
        <f t="shared" si="109"/>
        <v>-8.2153874753901013E-2</v>
      </c>
      <c r="I171" s="168">
        <f t="shared" si="109"/>
        <v>-7.5263981688664439E-2</v>
      </c>
      <c r="J171" s="168">
        <f t="shared" si="109"/>
        <v>-6.906713339262982E-2</v>
      </c>
      <c r="K171" s="168">
        <f t="shared" si="109"/>
        <v>-6.3609846200105791E-2</v>
      </c>
      <c r="L171" s="168">
        <f t="shared" si="109"/>
        <v>-5.919866846014854E-2</v>
      </c>
      <c r="M171" s="168">
        <f t="shared" si="109"/>
        <v>-5.2894598443189111E-2</v>
      </c>
      <c r="N171" s="168">
        <f t="shared" si="109"/>
        <v>-5.0419054739334057E-2</v>
      </c>
      <c r="O171" s="168">
        <f t="shared" si="109"/>
        <v>-4.7750807211030644E-2</v>
      </c>
      <c r="P171" s="168">
        <f t="shared" si="109"/>
        <v>-4.5335379400679554E-2</v>
      </c>
      <c r="Q171" s="168">
        <f t="shared" si="109"/>
        <v>-4.3138190825460998E-2</v>
      </c>
      <c r="R171" s="168">
        <f t="shared" si="109"/>
        <v>-4.1130687191224369E-2</v>
      </c>
      <c r="S171" s="168">
        <f t="shared" si="109"/>
        <v>-3.9289082383139773E-2</v>
      </c>
      <c r="T171" s="168">
        <f t="shared" si="109"/>
        <v>-3.818040357991026E-2</v>
      </c>
      <c r="U171" s="168">
        <f t="shared" si="109"/>
        <v>-3.6874057122211701E-2</v>
      </c>
      <c r="V171" s="168">
        <f t="shared" si="109"/>
        <v>-3.3701436677900376E-2</v>
      </c>
      <c r="W171" s="168">
        <f t="shared" si="109"/>
        <v>-3.2369767616805101E-2</v>
      </c>
      <c r="X171" s="168">
        <f t="shared" si="109"/>
        <v>-3.24589029459037E-2</v>
      </c>
      <c r="Y171" s="168">
        <f t="shared" si="109"/>
        <v>-3.1439240436023974E-2</v>
      </c>
      <c r="Z171" s="168">
        <f t="shared" si="109"/>
        <v>-3.0460466293598998E-2</v>
      </c>
      <c r="AA171" s="168">
        <f t="shared" si="109"/>
        <v>-2.7311824179361843E-2</v>
      </c>
      <c r="AB171" s="168">
        <f t="shared" si="109"/>
        <v>-2.2894662739581073E-2</v>
      </c>
      <c r="AC171" s="168">
        <f t="shared" si="109"/>
        <v>-2.2757477084549227E-2</v>
      </c>
      <c r="AD171" s="168">
        <f t="shared" si="109"/>
        <v>-2.2987016015664552E-2</v>
      </c>
      <c r="AE171" s="168">
        <f t="shared" si="109"/>
        <v>-2.6850281528219777E-2</v>
      </c>
      <c r="AF171" s="168">
        <f t="shared" si="109"/>
        <v>-2.6808684930559212E-2</v>
      </c>
      <c r="AG171" s="168">
        <f t="shared" si="109"/>
        <v>-2.6702007071787603E-2</v>
      </c>
      <c r="AH171" s="168">
        <f t="shared" si="109"/>
        <v>-2.6151929801590201E-2</v>
      </c>
      <c r="AI171" s="168">
        <f t="shared" si="109"/>
        <v>-2.5534162450547071E-2</v>
      </c>
      <c r="AJ171" s="168">
        <f t="shared" si="109"/>
        <v>-2.4945550529761995E-2</v>
      </c>
      <c r="AK171" s="168">
        <f t="shared" si="109"/>
        <v>-2.4384055361134527E-2</v>
      </c>
      <c r="AL171" s="168">
        <f t="shared" si="109"/>
        <v>-2.4072402282521832E-2</v>
      </c>
      <c r="AM171" s="168">
        <f t="shared" si="109"/>
        <v>-2.3559011520062123E-2</v>
      </c>
    </row>
  </sheetData>
  <mergeCells count="1">
    <mergeCell ref="A78:H78"/>
  </mergeCells>
  <conditionalFormatting sqref="B21:AM21">
    <cfRule type="cellIs" dxfId="1" priority="2" operator="equal">
      <formula>0</formula>
    </cfRule>
  </conditionalFormatting>
  <conditionalFormatting sqref="B48:AM4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19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30.140625" bestFit="1" customWidth="1"/>
    <col min="35" max="35" width="12" bestFit="1" customWidth="1"/>
  </cols>
  <sheetData>
    <row r="1" spans="1:39" ht="15.75" thickBot="1" x14ac:dyDescent="0.3"/>
    <row r="2" spans="1:39" x14ac:dyDescent="0.25">
      <c r="B2" s="105">
        <v>2013</v>
      </c>
      <c r="C2" s="105">
        <v>2014</v>
      </c>
      <c r="D2" s="105">
        <v>2015</v>
      </c>
      <c r="E2" s="105">
        <v>2016</v>
      </c>
      <c r="F2" s="105">
        <v>2017</v>
      </c>
      <c r="G2" s="105">
        <v>2018</v>
      </c>
      <c r="H2" s="105">
        <v>2019</v>
      </c>
      <c r="I2" s="105">
        <v>2020</v>
      </c>
      <c r="J2" s="105">
        <v>2021</v>
      </c>
      <c r="K2" s="105">
        <v>2022</v>
      </c>
      <c r="L2" s="105">
        <v>2023</v>
      </c>
      <c r="M2" s="105">
        <v>2024</v>
      </c>
      <c r="N2" s="105">
        <v>2025</v>
      </c>
      <c r="O2" s="105">
        <v>2026</v>
      </c>
      <c r="P2" s="105">
        <v>2027</v>
      </c>
      <c r="Q2" s="105">
        <v>2028</v>
      </c>
      <c r="R2" s="105">
        <v>2029</v>
      </c>
      <c r="S2" s="105">
        <v>2030</v>
      </c>
      <c r="T2" s="105">
        <v>2031</v>
      </c>
      <c r="U2" s="105">
        <v>2032</v>
      </c>
      <c r="V2" s="105">
        <v>2033</v>
      </c>
      <c r="W2" s="105">
        <v>2034</v>
      </c>
      <c r="X2" s="105">
        <v>2035</v>
      </c>
      <c r="Y2" s="105">
        <v>2036</v>
      </c>
      <c r="Z2" s="105">
        <v>2037</v>
      </c>
      <c r="AA2" s="105">
        <v>2038</v>
      </c>
      <c r="AB2" s="105">
        <v>2039</v>
      </c>
      <c r="AC2" s="105">
        <v>2040</v>
      </c>
      <c r="AD2" s="105">
        <v>2041</v>
      </c>
      <c r="AE2" s="105">
        <v>2042</v>
      </c>
      <c r="AF2" s="105">
        <v>2043</v>
      </c>
      <c r="AG2" s="105">
        <v>2044</v>
      </c>
      <c r="AH2" s="105">
        <v>2045</v>
      </c>
      <c r="AI2" s="105">
        <v>2046</v>
      </c>
      <c r="AJ2" s="105">
        <v>2047</v>
      </c>
      <c r="AK2" s="105">
        <v>2048</v>
      </c>
      <c r="AL2" s="105">
        <v>2049</v>
      </c>
      <c r="AM2" s="105">
        <v>2050</v>
      </c>
    </row>
    <row r="3" spans="1:39" x14ac:dyDescent="0.25">
      <c r="A3" s="3" t="s">
        <v>156</v>
      </c>
      <c r="B3" s="106" t="s">
        <v>157</v>
      </c>
      <c r="AM3" s="107" t="s">
        <v>158</v>
      </c>
    </row>
    <row r="4" spans="1:39" x14ac:dyDescent="0.25">
      <c r="A4" t="s">
        <v>159</v>
      </c>
      <c r="B4" s="108">
        <v>15.9</v>
      </c>
      <c r="C4" s="112">
        <v>22.530112200820906</v>
      </c>
      <c r="D4" s="112">
        <v>29.160224401641813</v>
      </c>
      <c r="E4" s="112">
        <v>35.790336602462723</v>
      </c>
      <c r="F4" s="112">
        <v>42.420448803283634</v>
      </c>
      <c r="G4" s="112">
        <v>49.050561004104551</v>
      </c>
      <c r="H4" s="112">
        <v>55.680673204925476</v>
      </c>
      <c r="I4" s="112">
        <v>62.310785405746401</v>
      </c>
      <c r="J4" s="112">
        <v>68.940897606567333</v>
      </c>
      <c r="K4" s="112">
        <v>75.571009807388265</v>
      </c>
      <c r="L4" s="112">
        <v>82.201122008209211</v>
      </c>
      <c r="M4" s="112">
        <v>88.831234209030171</v>
      </c>
      <c r="N4" s="112">
        <v>95.461346409851132</v>
      </c>
      <c r="O4" s="112">
        <v>102.09145861067211</v>
      </c>
      <c r="P4" s="112">
        <v>108.72157081149309</v>
      </c>
      <c r="Q4" s="112">
        <v>115.35168301231408</v>
      </c>
      <c r="R4" s="112">
        <v>121.98179521313509</v>
      </c>
      <c r="S4" s="112">
        <v>128.61190741395609</v>
      </c>
      <c r="T4" s="112">
        <v>135.24201961477712</v>
      </c>
      <c r="U4" s="112">
        <v>141.87213181559818</v>
      </c>
      <c r="V4" s="112">
        <v>148.50224401641924</v>
      </c>
      <c r="W4" s="112">
        <v>155.13235621724033</v>
      </c>
      <c r="X4" s="112">
        <v>161.76246841806145</v>
      </c>
      <c r="Y4" s="112">
        <v>168.39258061888256</v>
      </c>
      <c r="Z4" s="112">
        <v>175.02269281970371</v>
      </c>
      <c r="AA4" s="112">
        <v>181.65280502052488</v>
      </c>
      <c r="AB4" s="112">
        <v>188.28291722134605</v>
      </c>
      <c r="AC4" s="112">
        <v>194.91302942216726</v>
      </c>
      <c r="AD4" s="112">
        <v>201.54314162298849</v>
      </c>
      <c r="AE4" s="112">
        <v>208.17325382380972</v>
      </c>
      <c r="AF4" s="112">
        <v>214.80336602463098</v>
      </c>
      <c r="AG4" s="112">
        <v>221.43347822545226</v>
      </c>
      <c r="AH4" s="112">
        <v>228.06359042627355</v>
      </c>
      <c r="AI4" s="112">
        <v>234.69370262709486</v>
      </c>
      <c r="AJ4" s="112">
        <v>241.32381482791621</v>
      </c>
      <c r="AK4" s="112">
        <v>247.95392702873755</v>
      </c>
      <c r="AL4" s="112">
        <v>254.58403922955893</v>
      </c>
      <c r="AM4" s="113">
        <v>261.2141514303803</v>
      </c>
    </row>
    <row r="5" spans="1:39" x14ac:dyDescent="0.25">
      <c r="A5" t="s">
        <v>160</v>
      </c>
      <c r="B5" s="108">
        <v>0</v>
      </c>
      <c r="C5" s="112">
        <v>1.1317988118598654</v>
      </c>
      <c r="D5" s="112">
        <v>2.2635976237197308</v>
      </c>
      <c r="E5" s="112">
        <v>3.3953964355795963</v>
      </c>
      <c r="F5" s="112">
        <v>4.5271952474394617</v>
      </c>
      <c r="G5" s="112">
        <v>5.658994059299328</v>
      </c>
      <c r="H5" s="112">
        <v>6.7907928711591952</v>
      </c>
      <c r="I5" s="112">
        <v>7.9225916830190624</v>
      </c>
      <c r="J5" s="112">
        <v>9.0543904948789304</v>
      </c>
      <c r="K5" s="112">
        <v>10.1861893067388</v>
      </c>
      <c r="L5" s="112">
        <v>11.317988118598672</v>
      </c>
      <c r="M5" s="112">
        <v>12.449786930458544</v>
      </c>
      <c r="N5" s="112">
        <v>13.581585742318417</v>
      </c>
      <c r="O5" s="112">
        <v>14.713384554178292</v>
      </c>
      <c r="P5" s="112">
        <v>15.845183366038167</v>
      </c>
      <c r="Q5" s="112">
        <v>16.976982177898044</v>
      </c>
      <c r="R5" s="112">
        <v>18.108780989757925</v>
      </c>
      <c r="S5" s="112">
        <v>19.240579801617809</v>
      </c>
      <c r="T5" s="112">
        <v>20.372378613477693</v>
      </c>
      <c r="U5" s="112">
        <v>21.504177425337581</v>
      </c>
      <c r="V5" s="112">
        <v>22.635976237197468</v>
      </c>
      <c r="W5" s="112">
        <v>23.767775049057359</v>
      </c>
      <c r="X5" s="112">
        <v>24.899573860917251</v>
      </c>
      <c r="Y5" s="112">
        <v>26.031372672777145</v>
      </c>
      <c r="Z5" s="112">
        <v>27.163171484637044</v>
      </c>
      <c r="AA5" s="112">
        <v>28.294970296496942</v>
      </c>
      <c r="AB5" s="112">
        <v>29.426769108356844</v>
      </c>
      <c r="AC5" s="112">
        <v>30.558567920216749</v>
      </c>
      <c r="AD5" s="112">
        <v>31.690366732076654</v>
      </c>
      <c r="AE5" s="112">
        <v>32.822165543936563</v>
      </c>
      <c r="AF5" s="112">
        <v>33.953964355796479</v>
      </c>
      <c r="AG5" s="112">
        <v>35.085763167656395</v>
      </c>
      <c r="AH5" s="112">
        <v>36.217561979516319</v>
      </c>
      <c r="AI5" s="112">
        <v>37.349360791376249</v>
      </c>
      <c r="AJ5" s="112">
        <v>38.481159603236179</v>
      </c>
      <c r="AK5" s="112">
        <v>39.612958415096116</v>
      </c>
      <c r="AL5" s="112">
        <v>40.744757226956054</v>
      </c>
      <c r="AM5" s="113">
        <v>41.876556038815998</v>
      </c>
    </row>
    <row r="6" spans="1:39" x14ac:dyDescent="0.25">
      <c r="A6" t="s">
        <v>161</v>
      </c>
      <c r="B6" s="108">
        <v>4.5999999999999996</v>
      </c>
      <c r="C6" s="112">
        <v>6.6941894977472165</v>
      </c>
      <c r="D6" s="112">
        <v>8.7883789954944334</v>
      </c>
      <c r="E6" s="112">
        <v>10.882568493241649</v>
      </c>
      <c r="F6" s="112">
        <v>12.976757990988867</v>
      </c>
      <c r="G6" s="112">
        <v>15.070947488736085</v>
      </c>
      <c r="H6" s="112">
        <v>17.165136986483304</v>
      </c>
      <c r="I6" s="112">
        <v>19.259326484230527</v>
      </c>
      <c r="J6" s="112">
        <v>21.353515981977754</v>
      </c>
      <c r="K6" s="112">
        <v>23.447705479724981</v>
      </c>
      <c r="L6" s="112">
        <v>25.541894977472211</v>
      </c>
      <c r="M6" s="112">
        <v>27.636084475219441</v>
      </c>
      <c r="N6" s="112">
        <v>29.730273972966675</v>
      </c>
      <c r="O6" s="112">
        <v>31.824463470713908</v>
      </c>
      <c r="P6" s="112">
        <v>33.918652968461146</v>
      </c>
      <c r="Q6" s="112">
        <v>36.01284246620839</v>
      </c>
      <c r="R6" s="112">
        <v>38.107031963955635</v>
      </c>
      <c r="S6" s="112">
        <v>40.201221461702886</v>
      </c>
      <c r="T6" s="112">
        <v>42.295410959450145</v>
      </c>
      <c r="U6" s="112">
        <v>44.389600457197403</v>
      </c>
      <c r="V6" s="112">
        <v>46.483789954944669</v>
      </c>
      <c r="W6" s="112">
        <v>48.577979452691942</v>
      </c>
      <c r="X6" s="112">
        <v>50.672168950439215</v>
      </c>
      <c r="Y6" s="112">
        <v>52.766358448186494</v>
      </c>
      <c r="Z6" s="112">
        <v>54.860547945933781</v>
      </c>
      <c r="AA6" s="112">
        <v>56.954737443681068</v>
      </c>
      <c r="AB6" s="112">
        <v>59.048926941428363</v>
      </c>
      <c r="AC6" s="112">
        <v>61.143116439175664</v>
      </c>
      <c r="AD6" s="112">
        <v>63.237305936922965</v>
      </c>
      <c r="AE6" s="112">
        <v>65.331495434670273</v>
      </c>
      <c r="AF6" s="112">
        <v>67.425684932417596</v>
      </c>
      <c r="AG6" s="112">
        <v>69.519874430164919</v>
      </c>
      <c r="AH6" s="112">
        <v>71.614063927912255</v>
      </c>
      <c r="AI6" s="112">
        <v>73.708253425659592</v>
      </c>
      <c r="AJ6" s="112">
        <v>75.802442923406943</v>
      </c>
      <c r="AK6" s="112">
        <v>77.896632421154308</v>
      </c>
      <c r="AL6" s="112">
        <v>79.990821918901673</v>
      </c>
      <c r="AM6" s="113">
        <v>82.085011416649053</v>
      </c>
    </row>
    <row r="7" spans="1:39" x14ac:dyDescent="0.25">
      <c r="A7" t="s">
        <v>22</v>
      </c>
      <c r="B7" s="108">
        <v>1.5</v>
      </c>
      <c r="C7" s="112">
        <v>1.6765326100052658</v>
      </c>
      <c r="D7" s="112">
        <v>1.8530652200105315</v>
      </c>
      <c r="E7" s="112">
        <v>2.0295978300157973</v>
      </c>
      <c r="F7" s="112">
        <v>2.2061304400210635</v>
      </c>
      <c r="G7" s="112">
        <v>2.3826630500263297</v>
      </c>
      <c r="H7" s="112">
        <v>2.5591956600315964</v>
      </c>
      <c r="I7" s="112">
        <v>2.7357282700368635</v>
      </c>
      <c r="J7" s="112">
        <v>2.9122608800421306</v>
      </c>
      <c r="K7" s="112">
        <v>3.0887934900473981</v>
      </c>
      <c r="L7" s="112">
        <v>3.2653261000526661</v>
      </c>
      <c r="M7" s="112">
        <v>3.4418587100579341</v>
      </c>
      <c r="N7" s="112">
        <v>3.6183913200632025</v>
      </c>
      <c r="O7" s="112">
        <v>3.7949239300684714</v>
      </c>
      <c r="P7" s="112">
        <v>3.9714565400737403</v>
      </c>
      <c r="Q7" s="112">
        <v>4.1479891500790096</v>
      </c>
      <c r="R7" s="112">
        <v>4.3245217600842798</v>
      </c>
      <c r="S7" s="112">
        <v>4.50105437008955</v>
      </c>
      <c r="T7" s="112">
        <v>4.6775869800948211</v>
      </c>
      <c r="U7" s="112">
        <v>4.8541195901000931</v>
      </c>
      <c r="V7" s="112">
        <v>5.0306522001053651</v>
      </c>
      <c r="W7" s="112">
        <v>5.2071848101106379</v>
      </c>
      <c r="X7" s="112">
        <v>5.3837174201159108</v>
      </c>
      <c r="Y7" s="112">
        <v>5.5602500301211846</v>
      </c>
      <c r="Z7" s="112">
        <v>5.7367826401264583</v>
      </c>
      <c r="AA7" s="112">
        <v>5.913315250131733</v>
      </c>
      <c r="AB7" s="112">
        <v>6.0898478601370085</v>
      </c>
      <c r="AC7" s="112">
        <v>6.2663804701422841</v>
      </c>
      <c r="AD7" s="112">
        <v>6.4429130801475605</v>
      </c>
      <c r="AE7" s="112">
        <v>6.6194456901528378</v>
      </c>
      <c r="AF7" s="112">
        <v>6.7959783001581151</v>
      </c>
      <c r="AG7" s="112">
        <v>6.9725109101633933</v>
      </c>
      <c r="AH7" s="112">
        <v>7.1490435201686724</v>
      </c>
      <c r="AI7" s="112">
        <v>7.3255761301739515</v>
      </c>
      <c r="AJ7" s="112">
        <v>7.5021087401792315</v>
      </c>
      <c r="AK7" s="112">
        <v>7.6786413501845123</v>
      </c>
      <c r="AL7" s="112">
        <v>7.8551739601897932</v>
      </c>
      <c r="AM7" s="113">
        <v>8.0317065701950749</v>
      </c>
    </row>
    <row r="8" spans="1:39" x14ac:dyDescent="0.25">
      <c r="A8" t="s">
        <v>21</v>
      </c>
      <c r="B8" s="108">
        <v>2.1363670350000006</v>
      </c>
      <c r="C8" s="112">
        <v>2.1802392772972929</v>
      </c>
      <c r="D8" s="112">
        <v>2.2241115195945858</v>
      </c>
      <c r="E8" s="112">
        <v>2.2679837618918786</v>
      </c>
      <c r="F8" s="112">
        <v>2.3118560041891714</v>
      </c>
      <c r="G8" s="112">
        <v>2.3557282464864646</v>
      </c>
      <c r="H8" s="112">
        <v>2.3996004887837579</v>
      </c>
      <c r="I8" s="112">
        <v>2.4434727310810516</v>
      </c>
      <c r="J8" s="112">
        <v>2.4873449733783457</v>
      </c>
      <c r="K8" s="112">
        <v>2.5312172156756398</v>
      </c>
      <c r="L8" s="112">
        <v>2.5750894579729344</v>
      </c>
      <c r="M8" s="112">
        <v>2.6189617002702295</v>
      </c>
      <c r="N8" s="112">
        <v>2.6628339425675245</v>
      </c>
      <c r="O8" s="112">
        <v>2.70670618486482</v>
      </c>
      <c r="P8" s="112">
        <v>2.7505784271621159</v>
      </c>
      <c r="Q8" s="112">
        <v>2.7944506694594118</v>
      </c>
      <c r="R8" s="112">
        <v>2.8383229117567081</v>
      </c>
      <c r="S8" s="112">
        <v>2.8821951540540049</v>
      </c>
      <c r="T8" s="112">
        <v>2.9260673963513018</v>
      </c>
      <c r="U8" s="112">
        <v>2.969939638648599</v>
      </c>
      <c r="V8" s="112">
        <v>3.0138118809458967</v>
      </c>
      <c r="W8" s="112">
        <v>3.0576841232431944</v>
      </c>
      <c r="X8" s="112">
        <v>3.1015563655404925</v>
      </c>
      <c r="Y8" s="112">
        <v>3.1454286078377911</v>
      </c>
      <c r="Z8" s="112">
        <v>3.1893008501350897</v>
      </c>
      <c r="AA8" s="112">
        <v>3.2331730924323887</v>
      </c>
      <c r="AB8" s="112">
        <v>3.2770453347296882</v>
      </c>
      <c r="AC8" s="112">
        <v>3.3209175770269876</v>
      </c>
      <c r="AD8" s="112">
        <v>3.3647898193242876</v>
      </c>
      <c r="AE8" s="112">
        <v>3.4086620616215879</v>
      </c>
      <c r="AF8" s="112">
        <v>3.4525343039188883</v>
      </c>
      <c r="AG8" s="112">
        <v>3.4964065462161891</v>
      </c>
      <c r="AH8" s="112">
        <v>3.5402787885134903</v>
      </c>
      <c r="AI8" s="112">
        <v>3.5841510308107916</v>
      </c>
      <c r="AJ8" s="112">
        <v>3.6280232731080932</v>
      </c>
      <c r="AK8" s="112">
        <v>3.6718955154053954</v>
      </c>
      <c r="AL8" s="112">
        <v>3.7157677577026975</v>
      </c>
      <c r="AM8" s="113">
        <v>3.7596400000000001</v>
      </c>
    </row>
    <row r="9" spans="1:39" x14ac:dyDescent="0.25">
      <c r="A9" t="s">
        <v>125</v>
      </c>
      <c r="B9" s="108">
        <v>1.7041322700000003</v>
      </c>
      <c r="C9" s="112">
        <v>2.2673854424204674</v>
      </c>
      <c r="D9" s="112">
        <v>2.8306386148409342</v>
      </c>
      <c r="E9" s="112">
        <v>3.3938917872614009</v>
      </c>
      <c r="F9" s="112">
        <v>3.9571449596818682</v>
      </c>
      <c r="G9" s="112">
        <v>4.5203981321023354</v>
      </c>
      <c r="H9" s="112">
        <v>5.0836513045228031</v>
      </c>
      <c r="I9" s="112">
        <v>5.6469044769432717</v>
      </c>
      <c r="J9" s="112">
        <v>6.2101576493637412</v>
      </c>
      <c r="K9" s="112">
        <v>6.7734108217842106</v>
      </c>
      <c r="L9" s="112">
        <v>7.336663994204681</v>
      </c>
      <c r="M9" s="112">
        <v>7.8999171666251522</v>
      </c>
      <c r="N9" s="112">
        <v>8.4631703390456234</v>
      </c>
      <c r="O9" s="112">
        <v>9.0264235114660956</v>
      </c>
      <c r="P9" s="112">
        <v>9.5896766838865695</v>
      </c>
      <c r="Q9" s="112">
        <v>10.152929856307045</v>
      </c>
      <c r="R9" s="112">
        <v>10.716183028727521</v>
      </c>
      <c r="S9" s="112">
        <v>11.279436201147998</v>
      </c>
      <c r="T9" s="112">
        <v>11.842689373568476</v>
      </c>
      <c r="U9" s="112">
        <v>12.405942545988955</v>
      </c>
      <c r="V9" s="112">
        <v>12.969195718409434</v>
      </c>
      <c r="W9" s="112">
        <v>13.532448890829915</v>
      </c>
      <c r="X9" s="112">
        <v>14.095702063250398</v>
      </c>
      <c r="Y9" s="112">
        <v>14.658955235670881</v>
      </c>
      <c r="Z9" s="112">
        <v>15.222208408091365</v>
      </c>
      <c r="AA9" s="112">
        <v>15.785461580511852</v>
      </c>
      <c r="AB9" s="112">
        <v>16.348714752932338</v>
      </c>
      <c r="AC9" s="112">
        <v>16.911967925352826</v>
      </c>
      <c r="AD9" s="112">
        <v>17.475221097773318</v>
      </c>
      <c r="AE9" s="112">
        <v>18.038474270193809</v>
      </c>
      <c r="AF9" s="112">
        <v>18.601727442614305</v>
      </c>
      <c r="AG9" s="112">
        <v>19.164980615034803</v>
      </c>
      <c r="AH9" s="112">
        <v>19.728233787455302</v>
      </c>
      <c r="AI9" s="112">
        <v>20.291486959875805</v>
      </c>
      <c r="AJ9" s="112">
        <v>20.85474013229631</v>
      </c>
      <c r="AK9" s="112">
        <v>21.417993304716816</v>
      </c>
      <c r="AL9" s="112">
        <v>21.981246477137326</v>
      </c>
      <c r="AM9" s="113">
        <v>22.544499649557835</v>
      </c>
    </row>
    <row r="10" spans="1:39" x14ac:dyDescent="0.25">
      <c r="A10" t="s">
        <v>162</v>
      </c>
      <c r="B10" s="108">
        <v>68.521000000000015</v>
      </c>
      <c r="C10" s="112">
        <v>68.32490380287976</v>
      </c>
      <c r="D10" s="112">
        <v>68.128807605759505</v>
      </c>
      <c r="E10" s="112">
        <v>67.932711408639236</v>
      </c>
      <c r="F10" s="112">
        <v>67.736615211518966</v>
      </c>
      <c r="G10" s="112">
        <v>67.540519014398683</v>
      </c>
      <c r="H10" s="112">
        <v>67.344422817278385</v>
      </c>
      <c r="I10" s="112">
        <v>67.148326620158088</v>
      </c>
      <c r="J10" s="112">
        <v>66.952230423037776</v>
      </c>
      <c r="K10" s="112">
        <v>66.756134225917449</v>
      </c>
      <c r="L10" s="112">
        <v>66.560038028797123</v>
      </c>
      <c r="M10" s="112">
        <v>66.363941831676783</v>
      </c>
      <c r="N10" s="112">
        <v>66.167845634556429</v>
      </c>
      <c r="O10" s="112">
        <v>65.971749437436074</v>
      </c>
      <c r="P10" s="112">
        <v>65.775653240315705</v>
      </c>
      <c r="Q10" s="112">
        <v>65.579557043195337</v>
      </c>
      <c r="R10" s="112">
        <v>65.383460846074954</v>
      </c>
      <c r="S10" s="112">
        <v>65.187364648954571</v>
      </c>
      <c r="T10" s="112">
        <v>64.991268451834173</v>
      </c>
      <c r="U10" s="112">
        <v>64.795172254713762</v>
      </c>
      <c r="V10" s="112">
        <v>64.599076057593351</v>
      </c>
      <c r="W10" s="112">
        <v>64.402979860472925</v>
      </c>
      <c r="X10" s="112">
        <v>64.206883663352485</v>
      </c>
      <c r="Y10" s="112">
        <v>64.010787466232046</v>
      </c>
      <c r="Z10" s="112">
        <v>63.814691269111592</v>
      </c>
      <c r="AA10" s="112">
        <v>63.61859507199113</v>
      </c>
      <c r="AB10" s="112">
        <v>63.422498874870669</v>
      </c>
      <c r="AC10" s="112">
        <v>63.226402677750201</v>
      </c>
      <c r="AD10" s="112">
        <v>63.030306480629726</v>
      </c>
      <c r="AE10" s="112">
        <v>62.83421028350925</v>
      </c>
      <c r="AF10" s="112">
        <v>62.638114086388768</v>
      </c>
      <c r="AG10" s="112">
        <v>62.442017889268278</v>
      </c>
      <c r="AH10" s="112">
        <v>62.245921692147789</v>
      </c>
      <c r="AI10" s="112">
        <v>62.049825495027292</v>
      </c>
      <c r="AJ10" s="112">
        <v>61.853729297906789</v>
      </c>
      <c r="AK10" s="112">
        <v>61.657633100786285</v>
      </c>
      <c r="AL10" s="112">
        <v>61.461536903665774</v>
      </c>
      <c r="AM10" s="113">
        <v>61.265440706545263</v>
      </c>
    </row>
    <row r="11" spans="1:39" x14ac:dyDescent="0.25">
      <c r="A11" t="s">
        <v>18</v>
      </c>
      <c r="B11" s="108">
        <v>1.2025420000000004E-2</v>
      </c>
      <c r="C11" s="112">
        <v>4.3670678918918189E-2</v>
      </c>
      <c r="D11" s="112">
        <v>7.5315937837836369E-2</v>
      </c>
      <c r="E11" s="112">
        <v>0.10696119675675456</v>
      </c>
      <c r="F11" s="112">
        <v>0.13860645567567276</v>
      </c>
      <c r="G11" s="112">
        <v>0.17025171459459099</v>
      </c>
      <c r="H11" s="112">
        <v>0.20189697351350924</v>
      </c>
      <c r="I11" s="112">
        <v>0.2335422324324275</v>
      </c>
      <c r="J11" s="112">
        <v>0.26518749135134578</v>
      </c>
      <c r="K11" s="112">
        <v>0.29683275027026412</v>
      </c>
      <c r="L11" s="112">
        <v>0.32847800918918246</v>
      </c>
      <c r="M11" s="112">
        <v>0.36012326810810086</v>
      </c>
      <c r="N11" s="112">
        <v>0.39176852702701925</v>
      </c>
      <c r="O11" s="112">
        <v>0.4234137859459377</v>
      </c>
      <c r="P11" s="112">
        <v>0.45505904486485621</v>
      </c>
      <c r="Q11" s="112">
        <v>0.48670430378377472</v>
      </c>
      <c r="R11" s="112">
        <v>0.51834956270269328</v>
      </c>
      <c r="S11" s="112">
        <v>0.54999482162161195</v>
      </c>
      <c r="T11" s="112">
        <v>0.58164008054053062</v>
      </c>
      <c r="U11" s="112">
        <v>0.61328533945944941</v>
      </c>
      <c r="V11" s="112">
        <v>0.64493059837836819</v>
      </c>
      <c r="W11" s="112">
        <v>0.67657585729728709</v>
      </c>
      <c r="X11" s="112">
        <v>0.70822111621620609</v>
      </c>
      <c r="Y11" s="112">
        <v>0.7398663751351251</v>
      </c>
      <c r="Z11" s="112">
        <v>0.77151163405404422</v>
      </c>
      <c r="AA11" s="112">
        <v>0.80315689297296344</v>
      </c>
      <c r="AB11" s="112">
        <v>0.83480215189188267</v>
      </c>
      <c r="AC11" s="112">
        <v>0.86644741081080201</v>
      </c>
      <c r="AD11" s="112">
        <v>0.89809266972972146</v>
      </c>
      <c r="AE11" s="112">
        <v>0.92973792864864091</v>
      </c>
      <c r="AF11" s="112">
        <v>0.96138318756756047</v>
      </c>
      <c r="AG11" s="112">
        <v>0.99302844648648014</v>
      </c>
      <c r="AH11" s="112">
        <v>1.0246737054053998</v>
      </c>
      <c r="AI11" s="112">
        <v>1.0563189643243196</v>
      </c>
      <c r="AJ11" s="112">
        <v>1.0879642232432396</v>
      </c>
      <c r="AK11" s="112">
        <v>1.1196094821621596</v>
      </c>
      <c r="AL11" s="112">
        <v>1.1512547410810798</v>
      </c>
      <c r="AM11" s="113">
        <v>1.1829000000000001</v>
      </c>
    </row>
    <row r="12" spans="1:39" x14ac:dyDescent="0.25">
      <c r="A12" t="s">
        <v>163</v>
      </c>
      <c r="B12" s="108">
        <v>0.41868</v>
      </c>
      <c r="C12" s="112">
        <v>0.42044268257898243</v>
      </c>
      <c r="D12" s="112">
        <v>0.42220536515796492</v>
      </c>
      <c r="E12" s="112">
        <v>0.42396804773694746</v>
      </c>
      <c r="F12" s="112">
        <v>0.42573073031593001</v>
      </c>
      <c r="G12" s="112">
        <v>0.42749341289491261</v>
      </c>
      <c r="H12" s="112">
        <v>0.42925609547389526</v>
      </c>
      <c r="I12" s="112">
        <v>0.43101877805287792</v>
      </c>
      <c r="J12" s="112">
        <v>0.43278146063186063</v>
      </c>
      <c r="K12" s="112">
        <v>0.43454414321084339</v>
      </c>
      <c r="L12" s="112">
        <v>0.43630682578982616</v>
      </c>
      <c r="M12" s="112">
        <v>0.43806950836880898</v>
      </c>
      <c r="N12" s="112">
        <v>0.4398321909477918</v>
      </c>
      <c r="O12" s="112">
        <v>0.44159487352677468</v>
      </c>
      <c r="P12" s="112">
        <v>0.44335755610575756</v>
      </c>
      <c r="Q12" s="112">
        <v>0.44512023868474049</v>
      </c>
      <c r="R12" s="112">
        <v>0.44688292126372348</v>
      </c>
      <c r="S12" s="112">
        <v>0.44864560384270646</v>
      </c>
      <c r="T12" s="112">
        <v>0.45040828642168951</v>
      </c>
      <c r="U12" s="112">
        <v>0.45217096900067261</v>
      </c>
      <c r="V12" s="112">
        <v>0.45393365157965571</v>
      </c>
      <c r="W12" s="112">
        <v>0.45569633415863886</v>
      </c>
      <c r="X12" s="112">
        <v>0.45745901673762207</v>
      </c>
      <c r="Y12" s="112">
        <v>0.45922169931660528</v>
      </c>
      <c r="Z12" s="112">
        <v>0.46098438189558855</v>
      </c>
      <c r="AA12" s="112">
        <v>0.46274706447457187</v>
      </c>
      <c r="AB12" s="112">
        <v>0.46450974705355519</v>
      </c>
      <c r="AC12" s="112">
        <v>0.46627242963253857</v>
      </c>
      <c r="AD12" s="112">
        <v>0.468035112211522</v>
      </c>
      <c r="AE12" s="112">
        <v>0.46979779479050543</v>
      </c>
      <c r="AF12" s="112">
        <v>0.47156047736948892</v>
      </c>
      <c r="AG12" s="112">
        <v>0.47332315994847246</v>
      </c>
      <c r="AH12" s="112">
        <v>0.475085842527456</v>
      </c>
      <c r="AI12" s="112">
        <v>0.4768485251064396</v>
      </c>
      <c r="AJ12" s="112">
        <v>0.47861120768542326</v>
      </c>
      <c r="AK12" s="112">
        <v>0.48037389026440691</v>
      </c>
      <c r="AL12" s="112">
        <v>0.48213657284339062</v>
      </c>
      <c r="AM12" s="113">
        <v>0.48389925542237439</v>
      </c>
    </row>
    <row r="13" spans="1:39" x14ac:dyDescent="0.25">
      <c r="A13" t="s">
        <v>164</v>
      </c>
      <c r="B13" s="108">
        <v>0</v>
      </c>
      <c r="C13" s="112">
        <v>0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12">
        <v>0</v>
      </c>
      <c r="Q13" s="112">
        <v>0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12">
        <v>0</v>
      </c>
      <c r="AM13" s="113">
        <v>0</v>
      </c>
    </row>
    <row r="14" spans="1:39" x14ac:dyDescent="0.25">
      <c r="A14" t="s">
        <v>67</v>
      </c>
      <c r="B14" s="108">
        <v>403.7</v>
      </c>
      <c r="C14" s="112">
        <v>392.78918918918964</v>
      </c>
      <c r="D14" s="112">
        <v>381.8783783783793</v>
      </c>
      <c r="E14" s="112">
        <v>370.96756756756895</v>
      </c>
      <c r="F14" s="112">
        <v>360.05675675675855</v>
      </c>
      <c r="G14" s="112">
        <v>349.14594594594809</v>
      </c>
      <c r="H14" s="112">
        <v>338.23513513513763</v>
      </c>
      <c r="I14" s="112">
        <v>327.32432432432711</v>
      </c>
      <c r="J14" s="112">
        <v>316.41351351351653</v>
      </c>
      <c r="K14" s="112">
        <v>305.50270270270596</v>
      </c>
      <c r="L14" s="112">
        <v>294.59189189189533</v>
      </c>
      <c r="M14" s="112">
        <v>283.68108108108464</v>
      </c>
      <c r="N14" s="112">
        <v>272.77027027027395</v>
      </c>
      <c r="O14" s="112">
        <v>261.85945945946321</v>
      </c>
      <c r="P14" s="112">
        <v>250.94864864865241</v>
      </c>
      <c r="Q14" s="112">
        <v>240.03783783784161</v>
      </c>
      <c r="R14" s="112">
        <v>229.12702702703078</v>
      </c>
      <c r="S14" s="112">
        <v>218.21621621621995</v>
      </c>
      <c r="T14" s="112">
        <v>207.30540540540909</v>
      </c>
      <c r="U14" s="112">
        <v>196.3945945945982</v>
      </c>
      <c r="V14" s="112">
        <v>185.48378378378732</v>
      </c>
      <c r="W14" s="112">
        <v>174.5729729729764</v>
      </c>
      <c r="X14" s="112">
        <v>163.66216216216546</v>
      </c>
      <c r="Y14" s="112">
        <v>152.75135135135451</v>
      </c>
      <c r="Z14" s="112">
        <v>141.84054054054354</v>
      </c>
      <c r="AA14" s="112">
        <v>130.92972972973254</v>
      </c>
      <c r="AB14" s="112">
        <v>120.01891891892154</v>
      </c>
      <c r="AC14" s="112">
        <v>109.10810810811053</v>
      </c>
      <c r="AD14" s="112">
        <v>98.197297297299514</v>
      </c>
      <c r="AE14" s="112">
        <v>87.286486486488485</v>
      </c>
      <c r="AF14" s="112">
        <v>76.375675675677442</v>
      </c>
      <c r="AG14" s="112">
        <v>65.464864864866399</v>
      </c>
      <c r="AH14" s="112">
        <v>54.554054054055342</v>
      </c>
      <c r="AI14" s="112">
        <v>43.643243243244278</v>
      </c>
      <c r="AJ14" s="112">
        <v>32.732432432433214</v>
      </c>
      <c r="AK14" s="112">
        <v>21.821621621622143</v>
      </c>
      <c r="AL14" s="112">
        <v>10.910810810811071</v>
      </c>
      <c r="AM14" s="113">
        <v>0</v>
      </c>
    </row>
    <row r="15" spans="1:39" x14ac:dyDescent="0.25">
      <c r="A15" t="s">
        <v>165</v>
      </c>
      <c r="B15" s="108">
        <v>19.5</v>
      </c>
      <c r="C15" s="112">
        <v>18.972972972972997</v>
      </c>
      <c r="D15" s="112">
        <v>18.44594594594599</v>
      </c>
      <c r="E15" s="112">
        <v>17.918918918918983</v>
      </c>
      <c r="F15" s="112">
        <v>17.391891891891973</v>
      </c>
      <c r="G15" s="112">
        <v>16.864864864864959</v>
      </c>
      <c r="H15" s="112">
        <v>16.337837837837945</v>
      </c>
      <c r="I15" s="112">
        <v>15.81081081081093</v>
      </c>
      <c r="J15" s="112">
        <v>15.283783783783914</v>
      </c>
      <c r="K15" s="112">
        <v>14.756756756756896</v>
      </c>
      <c r="L15" s="112">
        <v>14.229729729729877</v>
      </c>
      <c r="M15" s="112">
        <v>13.702702702702858</v>
      </c>
      <c r="N15" s="112">
        <v>13.175675675675837</v>
      </c>
      <c r="O15" s="112">
        <v>12.648648648648814</v>
      </c>
      <c r="P15" s="112">
        <v>12.121621621621792</v>
      </c>
      <c r="Q15" s="112">
        <v>11.594594594594767</v>
      </c>
      <c r="R15" s="112">
        <v>11.067567567567741</v>
      </c>
      <c r="S15" s="112">
        <v>10.540540540540714</v>
      </c>
      <c r="T15" s="112">
        <v>10.013513513513686</v>
      </c>
      <c r="U15" s="112">
        <v>9.4864864864866565</v>
      </c>
      <c r="V15" s="112">
        <v>8.9594594594596266</v>
      </c>
      <c r="W15" s="112">
        <v>8.432432432432595</v>
      </c>
      <c r="X15" s="112">
        <v>7.9054054054055616</v>
      </c>
      <c r="Y15" s="112">
        <v>7.3783783783785273</v>
      </c>
      <c r="Z15" s="112">
        <v>6.851351351351493</v>
      </c>
      <c r="AA15" s="112">
        <v>6.3243243243244578</v>
      </c>
      <c r="AB15" s="112">
        <v>5.7972972972974217</v>
      </c>
      <c r="AC15" s="112">
        <v>5.2702702702703856</v>
      </c>
      <c r="AD15" s="112">
        <v>4.7432432432433487</v>
      </c>
      <c r="AE15" s="112">
        <v>4.2162162162163108</v>
      </c>
      <c r="AF15" s="112">
        <v>3.689189189189273</v>
      </c>
      <c r="AG15" s="112">
        <v>3.1621621621622347</v>
      </c>
      <c r="AH15" s="112">
        <v>2.6351351351351964</v>
      </c>
      <c r="AI15" s="112">
        <v>2.1081081081081576</v>
      </c>
      <c r="AJ15" s="112">
        <v>1.5810810810811184</v>
      </c>
      <c r="AK15" s="112">
        <v>1.054054054054079</v>
      </c>
      <c r="AL15" s="112">
        <v>0.52702702702703952</v>
      </c>
      <c r="AM15" s="113">
        <v>0</v>
      </c>
    </row>
    <row r="16" spans="1:39" x14ac:dyDescent="0.25">
      <c r="A16" t="s">
        <v>166</v>
      </c>
      <c r="B16" s="108">
        <v>5.4</v>
      </c>
      <c r="C16" s="112">
        <v>5.2540540540540608</v>
      </c>
      <c r="D16" s="112">
        <v>5.1081081081081212</v>
      </c>
      <c r="E16" s="112">
        <v>4.9621621621621808</v>
      </c>
      <c r="F16" s="112">
        <v>4.8162162162162403</v>
      </c>
      <c r="G16" s="112">
        <v>4.670270270270299</v>
      </c>
      <c r="H16" s="112">
        <v>4.5243243243243567</v>
      </c>
      <c r="I16" s="112">
        <v>4.3783783783784145</v>
      </c>
      <c r="J16" s="112">
        <v>4.2324324324324714</v>
      </c>
      <c r="K16" s="112">
        <v>4.0864864864865282</v>
      </c>
      <c r="L16" s="112">
        <v>3.9405405405405842</v>
      </c>
      <c r="M16" s="112">
        <v>3.7945945945946398</v>
      </c>
      <c r="N16" s="112">
        <v>3.6486486486486953</v>
      </c>
      <c r="O16" s="112">
        <v>3.5027027027027504</v>
      </c>
      <c r="P16" s="112">
        <v>3.3567567567568051</v>
      </c>
      <c r="Q16" s="112">
        <v>3.2108108108108597</v>
      </c>
      <c r="R16" s="112">
        <v>3.0648648648649139</v>
      </c>
      <c r="S16" s="112">
        <v>2.9189189189189677</v>
      </c>
      <c r="T16" s="112">
        <v>2.7729729729730215</v>
      </c>
      <c r="U16" s="112">
        <v>2.6270270270270748</v>
      </c>
      <c r="V16" s="112">
        <v>2.4810810810811277</v>
      </c>
      <c r="W16" s="112">
        <v>2.3351351351351806</v>
      </c>
      <c r="X16" s="112">
        <v>2.189189189189233</v>
      </c>
      <c r="Y16" s="112">
        <v>2.043243243243285</v>
      </c>
      <c r="Z16" s="112">
        <v>1.8972972972973368</v>
      </c>
      <c r="AA16" s="112">
        <v>1.7513513513513885</v>
      </c>
      <c r="AB16" s="112">
        <v>1.6054054054054401</v>
      </c>
      <c r="AC16" s="112">
        <v>1.4594594594594914</v>
      </c>
      <c r="AD16" s="112">
        <v>1.3135135135135427</v>
      </c>
      <c r="AE16" s="112">
        <v>1.1675675675675938</v>
      </c>
      <c r="AF16" s="112">
        <v>1.0216216216216449</v>
      </c>
      <c r="AG16" s="112">
        <v>0.87567567567569582</v>
      </c>
      <c r="AH16" s="112">
        <v>0.72972972972974659</v>
      </c>
      <c r="AI16" s="112">
        <v>0.58378378378379736</v>
      </c>
      <c r="AJ16" s="112">
        <v>0.43783783783784802</v>
      </c>
      <c r="AK16" s="112">
        <v>0.29189189189189868</v>
      </c>
      <c r="AL16" s="112">
        <v>0.14594594594594934</v>
      </c>
      <c r="AM16" s="113">
        <v>0</v>
      </c>
    </row>
    <row r="17" spans="1:39" x14ac:dyDescent="0.25">
      <c r="A17" t="s">
        <v>167</v>
      </c>
      <c r="B17" s="108">
        <v>19.8</v>
      </c>
      <c r="C17" s="112">
        <v>19.26486486486489</v>
      </c>
      <c r="D17" s="112">
        <v>18.729729729729776</v>
      </c>
      <c r="E17" s="112">
        <v>18.194594594594662</v>
      </c>
      <c r="F17" s="112">
        <v>17.659459459459544</v>
      </c>
      <c r="G17" s="112">
        <v>17.124324324324427</v>
      </c>
      <c r="H17" s="112">
        <v>16.589189189189305</v>
      </c>
      <c r="I17" s="112">
        <v>16.054054054054184</v>
      </c>
      <c r="J17" s="112">
        <v>15.518918918919059</v>
      </c>
      <c r="K17" s="112">
        <v>14.983783783783933</v>
      </c>
      <c r="L17" s="112">
        <v>14.448648648648806</v>
      </c>
      <c r="M17" s="112">
        <v>13.913513513513678</v>
      </c>
      <c r="N17" s="112">
        <v>13.378378378378548</v>
      </c>
      <c r="O17" s="112">
        <v>12.843243243243418</v>
      </c>
      <c r="P17" s="112">
        <v>12.308108108108286</v>
      </c>
      <c r="Q17" s="112">
        <v>11.772972972973152</v>
      </c>
      <c r="R17" s="112">
        <v>11.237837837838018</v>
      </c>
      <c r="S17" s="112">
        <v>10.702702702702883</v>
      </c>
      <c r="T17" s="112">
        <v>10.167567567567746</v>
      </c>
      <c r="U17" s="112">
        <v>9.6324324324326085</v>
      </c>
      <c r="V17" s="112">
        <v>9.0972972972974695</v>
      </c>
      <c r="W17" s="112">
        <v>8.5621621621623287</v>
      </c>
      <c r="X17" s="112">
        <v>8.027027027027188</v>
      </c>
      <c r="Y17" s="112">
        <v>7.4918918918920454</v>
      </c>
      <c r="Z17" s="112">
        <v>6.956756756756902</v>
      </c>
      <c r="AA17" s="112">
        <v>6.4216216216217585</v>
      </c>
      <c r="AB17" s="112">
        <v>5.8864864864866142</v>
      </c>
      <c r="AC17" s="112">
        <v>5.351351351351469</v>
      </c>
      <c r="AD17" s="112">
        <v>4.8162162162163238</v>
      </c>
      <c r="AE17" s="112">
        <v>4.2810810810811777</v>
      </c>
      <c r="AF17" s="112">
        <v>3.7459459459460311</v>
      </c>
      <c r="AG17" s="112">
        <v>3.2108108108108846</v>
      </c>
      <c r="AH17" s="112">
        <v>2.6756756756757376</v>
      </c>
      <c r="AI17" s="112">
        <v>2.1405405405405906</v>
      </c>
      <c r="AJ17" s="112">
        <v>1.6054054054054432</v>
      </c>
      <c r="AK17" s="112">
        <v>1.0702702702702955</v>
      </c>
      <c r="AL17" s="112">
        <v>0.53513513513514777</v>
      </c>
      <c r="AM17" s="113">
        <v>0</v>
      </c>
    </row>
    <row r="18" spans="1:39" ht="15.75" thickBot="1" x14ac:dyDescent="0.3">
      <c r="A18" s="97" t="s">
        <v>100</v>
      </c>
      <c r="B18" s="109">
        <v>543.1922047249999</v>
      </c>
      <c r="C18" s="114">
        <v>541.55035608561025</v>
      </c>
      <c r="D18" s="114">
        <v>539.90850744622048</v>
      </c>
      <c r="E18" s="114">
        <v>538.26665880683072</v>
      </c>
      <c r="F18" s="114">
        <v>536.62481016744096</v>
      </c>
      <c r="G18" s="114">
        <v>534.98296152805108</v>
      </c>
      <c r="H18" s="114">
        <v>533.34111288866109</v>
      </c>
      <c r="I18" s="114">
        <v>531.69926424927121</v>
      </c>
      <c r="J18" s="114">
        <v>530.05741560988122</v>
      </c>
      <c r="K18" s="114">
        <v>528.41556697049111</v>
      </c>
      <c r="L18" s="114">
        <v>526.77371833110112</v>
      </c>
      <c r="M18" s="114">
        <v>525.13186969171102</v>
      </c>
      <c r="N18" s="114">
        <v>523.4900210523208</v>
      </c>
      <c r="O18" s="114">
        <v>521.84817241293069</v>
      </c>
      <c r="P18" s="114">
        <v>520.20632377354048</v>
      </c>
      <c r="Q18" s="114">
        <v>518.56447513415026</v>
      </c>
      <c r="R18" s="114">
        <v>516.92262649475992</v>
      </c>
      <c r="S18" s="114">
        <v>515.28077785536971</v>
      </c>
      <c r="T18" s="114">
        <v>513.63892921597949</v>
      </c>
      <c r="U18" s="114">
        <v>511.99708057658927</v>
      </c>
      <c r="V18" s="114">
        <v>510.35523193719899</v>
      </c>
      <c r="W18" s="114">
        <v>508.71338329780883</v>
      </c>
      <c r="X18" s="114">
        <v>507.0715346584185</v>
      </c>
      <c r="Y18" s="114">
        <v>505.42968601902828</v>
      </c>
      <c r="Z18" s="114">
        <v>503.78783737963795</v>
      </c>
      <c r="AA18" s="114">
        <v>502.14598874024762</v>
      </c>
      <c r="AB18" s="114">
        <v>500.5041401008574</v>
      </c>
      <c r="AC18" s="114">
        <v>498.86229146146707</v>
      </c>
      <c r="AD18" s="114">
        <v>497.22044282207708</v>
      </c>
      <c r="AE18" s="114">
        <v>495.57859418268686</v>
      </c>
      <c r="AF18" s="114">
        <v>493.93674554329658</v>
      </c>
      <c r="AG18" s="114">
        <v>492.29489690390642</v>
      </c>
      <c r="AH18" s="114">
        <v>490.65304826451614</v>
      </c>
      <c r="AI18" s="114">
        <v>489.0111996251261</v>
      </c>
      <c r="AJ18" s="114">
        <v>487.36935098573605</v>
      </c>
      <c r="AK18" s="114">
        <v>485.72750234634594</v>
      </c>
      <c r="AL18" s="114">
        <v>484.0856537069559</v>
      </c>
      <c r="AM18" s="114">
        <v>482.44380506756585</v>
      </c>
    </row>
    <row r="19" spans="1:39" ht="15.75" thickBot="1" x14ac:dyDescent="0.3">
      <c r="A19" s="110" t="s">
        <v>168</v>
      </c>
      <c r="B19" s="111">
        <v>0.17450950860568801</v>
      </c>
      <c r="C19" s="115">
        <v>0.19438501668695665</v>
      </c>
      <c r="D19" s="115">
        <v>0.21438140664154412</v>
      </c>
      <c r="E19" s="115">
        <v>0.23449978462976684</v>
      </c>
      <c r="F19" s="115">
        <v>0.25474127034950272</v>
      </c>
      <c r="G19" s="115">
        <v>0.2751069972439229</v>
      </c>
      <c r="H19" s="115">
        <v>0.29559811271306119</v>
      </c>
      <c r="I19" s="115">
        <v>0.31621577832930209</v>
      </c>
      <c r="J19" s="115">
        <v>0.33696117005687565</v>
      </c>
      <c r="K19" s="115">
        <v>0.35783547847544234</v>
      </c>
      <c r="L19" s="115">
        <v>0.37883990900786013</v>
      </c>
      <c r="M19" s="115">
        <v>0.39997568215222457</v>
      </c>
      <c r="N19" s="115">
        <v>0.42124403371827407</v>
      </c>
      <c r="O19" s="115">
        <v>0.44264621506825996</v>
      </c>
      <c r="P19" s="115">
        <v>0.46418349336237585</v>
      </c>
      <c r="Q19" s="115">
        <v>0.48585715180885075</v>
      </c>
      <c r="R19" s="115">
        <v>0.50766848991880742</v>
      </c>
      <c r="S19" s="115">
        <v>0.52961882376599378</v>
      </c>
      <c r="T19" s="115">
        <v>0.55170948625149474</v>
      </c>
      <c r="U19" s="115">
        <v>0.57394182737353894</v>
      </c>
      <c r="V19" s="115">
        <v>0.59631721450251096</v>
      </c>
      <c r="W19" s="115">
        <v>0.61883703266129153</v>
      </c>
      <c r="X19" s="115">
        <v>0.64150268481104245</v>
      </c>
      <c r="Y19" s="115">
        <v>0.66431559214256186</v>
      </c>
      <c r="Z19" s="115">
        <v>0.68727719437333745</v>
      </c>
      <c r="AA19" s="115">
        <v>0.7103889500504259</v>
      </c>
      <c r="AB19" s="115">
        <v>0.73365233685929576</v>
      </c>
      <c r="AC19" s="115">
        <v>0.75706885193876661</v>
      </c>
      <c r="AD19" s="115">
        <v>0.78064001220218948</v>
      </c>
      <c r="AE19" s="115">
        <v>0.80436735466501186</v>
      </c>
      <c r="AF19" s="115">
        <v>0.82825243677887439</v>
      </c>
      <c r="AG19" s="115">
        <v>0.85229683677239387</v>
      </c>
      <c r="AH19" s="115">
        <v>0.87650215399878895</v>
      </c>
      <c r="AI19" s="115">
        <v>0.90087000929050676</v>
      </c>
      <c r="AJ19" s="115">
        <v>0.92540204532102055</v>
      </c>
      <c r="AK19" s="115">
        <v>0.95009992697396051</v>
      </c>
      <c r="AL19" s="115">
        <v>0.97496534171976224</v>
      </c>
      <c r="AM19" s="11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0" sqref="B10"/>
    </sheetView>
  </sheetViews>
  <sheetFormatPr baseColWidth="10" defaultRowHeight="15" x14ac:dyDescent="0.25"/>
  <cols>
    <col min="1" max="1" width="61.5703125" bestFit="1" customWidth="1"/>
    <col min="2" max="2" width="34.28515625" customWidth="1"/>
  </cols>
  <sheetData>
    <row r="1" spans="1:6" x14ac:dyDescent="0.25">
      <c r="A1" t="s">
        <v>47</v>
      </c>
    </row>
    <row r="2" spans="1:6" x14ac:dyDescent="0.25">
      <c r="A2" s="172" t="s">
        <v>48</v>
      </c>
      <c r="B2" s="172"/>
      <c r="C2" s="172"/>
      <c r="D2" s="172"/>
      <c r="E2" s="172"/>
      <c r="F2" s="172"/>
    </row>
    <row r="4" spans="1:6" x14ac:dyDescent="0.25">
      <c r="A4" t="s">
        <v>33</v>
      </c>
      <c r="B4">
        <v>648</v>
      </c>
    </row>
    <row r="5" spans="1:6" x14ac:dyDescent="0.25">
      <c r="A5" t="s">
        <v>34</v>
      </c>
      <c r="B5">
        <v>303</v>
      </c>
    </row>
    <row r="6" spans="1:6" x14ac:dyDescent="0.25">
      <c r="A6" t="s">
        <v>35</v>
      </c>
      <c r="B6">
        <v>766</v>
      </c>
    </row>
    <row r="7" spans="1:6" x14ac:dyDescent="0.25">
      <c r="A7" t="s">
        <v>36</v>
      </c>
      <c r="B7">
        <v>351</v>
      </c>
    </row>
    <row r="8" spans="1:6" x14ac:dyDescent="0.25">
      <c r="A8" t="s">
        <v>37</v>
      </c>
      <c r="B8">
        <v>652</v>
      </c>
    </row>
    <row r="9" spans="1:6" x14ac:dyDescent="0.25">
      <c r="A9" t="s">
        <v>38</v>
      </c>
      <c r="B9">
        <v>17</v>
      </c>
    </row>
    <row r="10" spans="1:6" x14ac:dyDescent="0.25">
      <c r="A10" t="s">
        <v>39</v>
      </c>
      <c r="B10">
        <v>670</v>
      </c>
    </row>
    <row r="11" spans="1:6" x14ac:dyDescent="0.25">
      <c r="A11" t="s">
        <v>40</v>
      </c>
      <c r="B11">
        <v>454</v>
      </c>
    </row>
    <row r="13" spans="1:6" x14ac:dyDescent="0.25">
      <c r="A13" t="s">
        <v>41</v>
      </c>
      <c r="B13">
        <f>B4+B5+B6/2</f>
        <v>1334</v>
      </c>
      <c r="C13" s="23">
        <f>B13/$B$15</f>
        <v>0.46675997200839747</v>
      </c>
    </row>
    <row r="14" spans="1:6" x14ac:dyDescent="0.25">
      <c r="A14" t="s">
        <v>42</v>
      </c>
      <c r="B14">
        <f>B6/2+B9+B10+B11</f>
        <v>1524</v>
      </c>
      <c r="C14" s="23">
        <f>B14/$B$15</f>
        <v>0.53324002799160253</v>
      </c>
    </row>
    <row r="15" spans="1:6" x14ac:dyDescent="0.25">
      <c r="A15" t="s">
        <v>43</v>
      </c>
      <c r="B15">
        <f>B14+B13</f>
        <v>2858</v>
      </c>
      <c r="C15" s="24"/>
    </row>
    <row r="16" spans="1:6" x14ac:dyDescent="0.25">
      <c r="A16" t="s">
        <v>53</v>
      </c>
      <c r="B16" s="23">
        <f>B10/B14</f>
        <v>0.43963254593175854</v>
      </c>
      <c r="C16" s="24"/>
    </row>
    <row r="17" spans="1:3" x14ac:dyDescent="0.25">
      <c r="C17" s="24"/>
    </row>
    <row r="19" spans="1:3" x14ac:dyDescent="0.25">
      <c r="B19" t="s">
        <v>45</v>
      </c>
      <c r="C19" t="s">
        <v>46</v>
      </c>
    </row>
    <row r="20" spans="1:3" x14ac:dyDescent="0.25">
      <c r="A20" t="s">
        <v>44</v>
      </c>
      <c r="B20">
        <v>4277</v>
      </c>
      <c r="C20">
        <v>12490</v>
      </c>
    </row>
    <row r="21" spans="1:3" x14ac:dyDescent="0.25">
      <c r="A21" t="s">
        <v>50</v>
      </c>
      <c r="B21">
        <v>-992</v>
      </c>
      <c r="C21">
        <v>-3015</v>
      </c>
    </row>
    <row r="22" spans="1:3" x14ac:dyDescent="0.25">
      <c r="A22" t="s">
        <v>51</v>
      </c>
      <c r="B22">
        <f>SUM(B20:B21)</f>
        <v>3285</v>
      </c>
      <c r="C22">
        <f>SUM(C20:C21)</f>
        <v>9475</v>
      </c>
    </row>
    <row r="23" spans="1:3" x14ac:dyDescent="0.25">
      <c r="A23" t="s">
        <v>52</v>
      </c>
      <c r="B23">
        <v>1500</v>
      </c>
      <c r="C23">
        <v>1800</v>
      </c>
    </row>
    <row r="24" spans="1:3" x14ac:dyDescent="0.25">
      <c r="A24" t="s">
        <v>49</v>
      </c>
      <c r="B24">
        <f>B22-B23</f>
        <v>1785</v>
      </c>
      <c r="C24">
        <v>7600</v>
      </c>
    </row>
  </sheetData>
  <mergeCells count="1">
    <mergeCell ref="A2:F2"/>
  </mergeCells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B22" sqref="B22"/>
    </sheetView>
  </sheetViews>
  <sheetFormatPr baseColWidth="10" defaultRowHeight="15" x14ac:dyDescent="0.25"/>
  <cols>
    <col min="1" max="1" width="57.85546875" customWidth="1"/>
    <col min="2" max="2" width="14" bestFit="1" customWidth="1"/>
    <col min="3" max="4" width="13.85546875" bestFit="1" customWidth="1"/>
    <col min="5" max="7" width="15.28515625" bestFit="1" customWidth="1"/>
    <col min="8" max="8" width="13.85546875" bestFit="1" customWidth="1"/>
    <col min="23" max="24" width="12.28515625" bestFit="1" customWidth="1"/>
  </cols>
  <sheetData>
    <row r="1" spans="1:28" x14ac:dyDescent="0.25">
      <c r="A1" t="s">
        <v>81</v>
      </c>
    </row>
    <row r="2" spans="1:28" x14ac:dyDescent="0.25">
      <c r="A2" t="s">
        <v>80</v>
      </c>
    </row>
    <row r="4" spans="1:28" x14ac:dyDescent="0.25">
      <c r="A4" t="s">
        <v>82</v>
      </c>
      <c r="B4">
        <v>4.7</v>
      </c>
      <c r="C4" t="s">
        <v>83</v>
      </c>
    </row>
    <row r="5" spans="1:28" x14ac:dyDescent="0.25">
      <c r="A5" t="s">
        <v>86</v>
      </c>
      <c r="B5" s="47">
        <f>B4/7</f>
        <v>0.67142857142857149</v>
      </c>
    </row>
    <row r="6" spans="1:28" x14ac:dyDescent="0.25">
      <c r="A6" s="49" t="s">
        <v>84</v>
      </c>
      <c r="B6" s="49">
        <v>2015</v>
      </c>
      <c r="C6" s="49">
        <v>2016</v>
      </c>
      <c r="D6" s="49">
        <v>2017</v>
      </c>
      <c r="E6" s="49">
        <v>2018</v>
      </c>
      <c r="F6" s="49">
        <v>2019</v>
      </c>
      <c r="G6" s="49">
        <v>2020</v>
      </c>
      <c r="H6" s="49">
        <v>2021</v>
      </c>
    </row>
    <row r="7" spans="1:28" x14ac:dyDescent="0.25">
      <c r="A7" t="s">
        <v>85</v>
      </c>
      <c r="B7">
        <v>0.5</v>
      </c>
      <c r="C7">
        <v>2.5</v>
      </c>
      <c r="D7">
        <v>4.5</v>
      </c>
      <c r="E7">
        <v>8</v>
      </c>
      <c r="F7">
        <v>8</v>
      </c>
      <c r="G7">
        <v>7.5</v>
      </c>
      <c r="H7">
        <v>4</v>
      </c>
    </row>
    <row r="8" spans="1:28" x14ac:dyDescent="0.25">
      <c r="A8" t="s">
        <v>91</v>
      </c>
      <c r="B8">
        <f>SUM(B7:H7)</f>
        <v>35</v>
      </c>
    </row>
    <row r="9" spans="1:28" x14ac:dyDescent="0.25">
      <c r="A9" t="s">
        <v>92</v>
      </c>
      <c r="B9">
        <v>20</v>
      </c>
    </row>
    <row r="10" spans="1:28" x14ac:dyDescent="0.25">
      <c r="A10" t="s">
        <v>87</v>
      </c>
      <c r="B10" s="48">
        <f>B4*1000/B8</f>
        <v>134.28571428571428</v>
      </c>
    </row>
    <row r="11" spans="1:28" x14ac:dyDescent="0.25">
      <c r="A11" s="49" t="s">
        <v>84</v>
      </c>
      <c r="B11" s="49">
        <v>2015</v>
      </c>
      <c r="C11" s="49">
        <v>2016</v>
      </c>
      <c r="D11" s="49">
        <v>2017</v>
      </c>
      <c r="E11" s="49">
        <v>2018</v>
      </c>
      <c r="F11" s="49">
        <v>2019</v>
      </c>
      <c r="G11" s="49">
        <v>2020</v>
      </c>
      <c r="H11" s="49">
        <v>2021</v>
      </c>
      <c r="Z11" s="57" t="s">
        <v>102</v>
      </c>
      <c r="AA11" s="57"/>
    </row>
    <row r="12" spans="1:28" x14ac:dyDescent="0.25">
      <c r="A12" t="s">
        <v>88</v>
      </c>
      <c r="B12" s="13">
        <f>$B$10*1000000*B7</f>
        <v>67142857.142857134</v>
      </c>
      <c r="C12" s="13">
        <f t="shared" ref="C12:H12" si="0">$B$10*1000000*C7</f>
        <v>335714285.71428567</v>
      </c>
      <c r="D12" s="13">
        <f t="shared" si="0"/>
        <v>604285714.28571415</v>
      </c>
      <c r="E12" s="13">
        <f t="shared" si="0"/>
        <v>1074285714.2857141</v>
      </c>
      <c r="F12" s="13">
        <f t="shared" si="0"/>
        <v>1074285714.2857141</v>
      </c>
      <c r="G12" s="13">
        <f t="shared" si="0"/>
        <v>1007142857.1428571</v>
      </c>
      <c r="H12" s="13">
        <f t="shared" si="0"/>
        <v>537142857.14285707</v>
      </c>
    </row>
    <row r="13" spans="1:28" x14ac:dyDescent="0.25">
      <c r="A13" s="49" t="s">
        <v>84</v>
      </c>
      <c r="B13" s="49">
        <v>2015</v>
      </c>
      <c r="C13" s="49">
        <v>2016</v>
      </c>
      <c r="D13" s="49">
        <v>2017</v>
      </c>
      <c r="E13" s="49">
        <v>2018</v>
      </c>
      <c r="F13" s="49">
        <v>2019</v>
      </c>
      <c r="G13" s="49">
        <v>2020</v>
      </c>
      <c r="H13" s="49">
        <v>2021</v>
      </c>
      <c r="I13" s="49">
        <v>2022</v>
      </c>
      <c r="J13" s="49">
        <v>2023</v>
      </c>
      <c r="K13" s="49">
        <v>2024</v>
      </c>
      <c r="L13" s="49">
        <v>2025</v>
      </c>
      <c r="M13" s="49">
        <v>2026</v>
      </c>
      <c r="N13" s="49">
        <v>2027</v>
      </c>
      <c r="O13" s="49">
        <v>2028</v>
      </c>
      <c r="P13" s="49">
        <v>2029</v>
      </c>
      <c r="Q13" s="49">
        <v>2030</v>
      </c>
      <c r="R13" s="49">
        <v>2031</v>
      </c>
      <c r="S13" s="49">
        <v>2032</v>
      </c>
      <c r="T13" s="49">
        <v>2033</v>
      </c>
      <c r="U13" s="49">
        <v>2034</v>
      </c>
      <c r="V13" s="49">
        <v>2035</v>
      </c>
      <c r="W13" s="49">
        <v>2036</v>
      </c>
      <c r="X13" s="49">
        <v>2037</v>
      </c>
      <c r="Y13" s="49">
        <v>2038</v>
      </c>
      <c r="Z13" s="49">
        <v>2039</v>
      </c>
      <c r="AA13" s="49">
        <v>2040</v>
      </c>
    </row>
    <row r="14" spans="1:28" x14ac:dyDescent="0.25">
      <c r="A14" t="s">
        <v>93</v>
      </c>
      <c r="B14" s="13">
        <f>$B$12/$B$9</f>
        <v>3357142.8571428568</v>
      </c>
      <c r="C14" s="13">
        <f>$B$12/$B$9</f>
        <v>3357142.8571428568</v>
      </c>
      <c r="D14" s="13">
        <f t="shared" ref="D14:K14" si="1">$B$12/$B$9</f>
        <v>3357142.8571428568</v>
      </c>
      <c r="E14" s="13">
        <f t="shared" si="1"/>
        <v>3357142.8571428568</v>
      </c>
      <c r="F14" s="13">
        <f t="shared" si="1"/>
        <v>3357142.8571428568</v>
      </c>
      <c r="G14" s="13">
        <f t="shared" si="1"/>
        <v>3357142.8571428568</v>
      </c>
      <c r="H14" s="13">
        <f t="shared" si="1"/>
        <v>3357142.8571428568</v>
      </c>
      <c r="I14" s="13">
        <f t="shared" si="1"/>
        <v>3357142.8571428568</v>
      </c>
      <c r="J14" s="13">
        <f t="shared" si="1"/>
        <v>3357142.8571428568</v>
      </c>
      <c r="K14" s="13">
        <f t="shared" si="1"/>
        <v>3357142.8571428568</v>
      </c>
      <c r="L14" s="13">
        <f>$B$12/$B$9</f>
        <v>3357142.8571428568</v>
      </c>
      <c r="M14" s="13">
        <f>$B$12/$B$9</f>
        <v>3357142.8571428568</v>
      </c>
      <c r="N14" s="13">
        <f t="shared" ref="N14:U14" si="2">$B$12/$B$9</f>
        <v>3357142.8571428568</v>
      </c>
      <c r="O14" s="13">
        <f t="shared" si="2"/>
        <v>3357142.8571428568</v>
      </c>
      <c r="P14" s="13">
        <f t="shared" si="2"/>
        <v>3357142.8571428568</v>
      </c>
      <c r="Q14" s="13">
        <f t="shared" si="2"/>
        <v>3357142.8571428568</v>
      </c>
      <c r="R14" s="13">
        <f t="shared" si="2"/>
        <v>3357142.8571428568</v>
      </c>
      <c r="S14" s="13">
        <f t="shared" si="2"/>
        <v>3357142.8571428568</v>
      </c>
      <c r="T14" s="13">
        <f t="shared" si="2"/>
        <v>3357142.8571428568</v>
      </c>
      <c r="U14" s="13">
        <f t="shared" si="2"/>
        <v>3357142.8571428568</v>
      </c>
      <c r="V14" s="56">
        <f>420000000/7</f>
        <v>60000000</v>
      </c>
      <c r="W14" s="56">
        <f t="shared" ref="W14:AA19" si="3">420000000/7</f>
        <v>60000000</v>
      </c>
      <c r="X14" s="56">
        <f t="shared" si="3"/>
        <v>60000000</v>
      </c>
      <c r="Y14" s="56">
        <f t="shared" si="3"/>
        <v>60000000</v>
      </c>
      <c r="Z14" s="56">
        <f t="shared" si="3"/>
        <v>60000000</v>
      </c>
      <c r="AA14" s="56">
        <f t="shared" si="3"/>
        <v>60000000</v>
      </c>
    </row>
    <row r="15" spans="1:28" x14ac:dyDescent="0.25">
      <c r="A15" t="s">
        <v>95</v>
      </c>
      <c r="C15" s="13">
        <f>$C$12/$B$9</f>
        <v>16785714.285714284</v>
      </c>
      <c r="D15" s="13">
        <f t="shared" ref="D15:V15" si="4">$C$12/$B$9</f>
        <v>16785714.285714284</v>
      </c>
      <c r="E15" s="13">
        <f t="shared" si="4"/>
        <v>16785714.285714284</v>
      </c>
      <c r="F15" s="13">
        <f t="shared" si="4"/>
        <v>16785714.285714284</v>
      </c>
      <c r="G15" s="13">
        <f t="shared" si="4"/>
        <v>16785714.285714284</v>
      </c>
      <c r="H15" s="13">
        <f t="shared" si="4"/>
        <v>16785714.285714284</v>
      </c>
      <c r="I15" s="13">
        <f t="shared" si="4"/>
        <v>16785714.285714284</v>
      </c>
      <c r="J15" s="13">
        <f t="shared" si="4"/>
        <v>16785714.285714284</v>
      </c>
      <c r="K15" s="13">
        <f t="shared" si="4"/>
        <v>16785714.285714284</v>
      </c>
      <c r="L15" s="13">
        <f t="shared" si="4"/>
        <v>16785714.285714284</v>
      </c>
      <c r="M15" s="13">
        <f t="shared" si="4"/>
        <v>16785714.285714284</v>
      </c>
      <c r="N15" s="13">
        <f t="shared" si="4"/>
        <v>16785714.285714284</v>
      </c>
      <c r="O15" s="13">
        <f t="shared" si="4"/>
        <v>16785714.285714284</v>
      </c>
      <c r="P15" s="13">
        <f t="shared" si="4"/>
        <v>16785714.285714284</v>
      </c>
      <c r="Q15" s="13">
        <f t="shared" si="4"/>
        <v>16785714.285714284</v>
      </c>
      <c r="R15" s="13">
        <f t="shared" si="4"/>
        <v>16785714.285714284</v>
      </c>
      <c r="S15" s="13">
        <f t="shared" si="4"/>
        <v>16785714.285714284</v>
      </c>
      <c r="T15" s="13">
        <f t="shared" si="4"/>
        <v>16785714.285714284</v>
      </c>
      <c r="U15" s="13">
        <f t="shared" si="4"/>
        <v>16785714.285714284</v>
      </c>
      <c r="V15" s="13">
        <f t="shared" si="4"/>
        <v>16785714.285714284</v>
      </c>
      <c r="W15" s="56">
        <f t="shared" si="3"/>
        <v>60000000</v>
      </c>
      <c r="X15" s="56">
        <f t="shared" si="3"/>
        <v>60000000</v>
      </c>
      <c r="Y15" s="56">
        <f t="shared" si="3"/>
        <v>60000000</v>
      </c>
      <c r="Z15" s="56">
        <f t="shared" si="3"/>
        <v>60000000</v>
      </c>
      <c r="AA15" s="56">
        <f t="shared" si="3"/>
        <v>60000000</v>
      </c>
    </row>
    <row r="16" spans="1:28" x14ac:dyDescent="0.25">
      <c r="A16" t="s">
        <v>94</v>
      </c>
      <c r="D16" s="13">
        <f>$D$12/$B$9</f>
        <v>30214285.714285709</v>
      </c>
      <c r="E16" s="13">
        <f t="shared" ref="E16:W16" si="5">$D$12/$B$9</f>
        <v>30214285.714285709</v>
      </c>
      <c r="F16" s="13">
        <f t="shared" si="5"/>
        <v>30214285.714285709</v>
      </c>
      <c r="G16" s="13">
        <f t="shared" si="5"/>
        <v>30214285.714285709</v>
      </c>
      <c r="H16" s="13">
        <f t="shared" si="5"/>
        <v>30214285.714285709</v>
      </c>
      <c r="I16" s="13">
        <f t="shared" si="5"/>
        <v>30214285.714285709</v>
      </c>
      <c r="J16" s="13">
        <f t="shared" si="5"/>
        <v>30214285.714285709</v>
      </c>
      <c r="K16" s="13">
        <f t="shared" si="5"/>
        <v>30214285.714285709</v>
      </c>
      <c r="L16" s="13">
        <f t="shared" si="5"/>
        <v>30214285.714285709</v>
      </c>
      <c r="M16" s="13">
        <f t="shared" si="5"/>
        <v>30214285.714285709</v>
      </c>
      <c r="N16" s="13">
        <f t="shared" si="5"/>
        <v>30214285.714285709</v>
      </c>
      <c r="O16" s="13">
        <f t="shared" si="5"/>
        <v>30214285.714285709</v>
      </c>
      <c r="P16" s="13">
        <f t="shared" si="5"/>
        <v>30214285.714285709</v>
      </c>
      <c r="Q16" s="13">
        <f t="shared" si="5"/>
        <v>30214285.714285709</v>
      </c>
      <c r="R16" s="13">
        <f t="shared" si="5"/>
        <v>30214285.714285709</v>
      </c>
      <c r="S16" s="13">
        <f t="shared" si="5"/>
        <v>30214285.714285709</v>
      </c>
      <c r="T16" s="13">
        <f t="shared" si="5"/>
        <v>30214285.714285709</v>
      </c>
      <c r="U16" s="13">
        <f t="shared" si="5"/>
        <v>30214285.714285709</v>
      </c>
      <c r="V16" s="13">
        <f t="shared" si="5"/>
        <v>30214285.714285709</v>
      </c>
      <c r="W16" s="13">
        <f t="shared" si="5"/>
        <v>30214285.714285709</v>
      </c>
      <c r="X16" s="56">
        <f t="shared" si="3"/>
        <v>60000000</v>
      </c>
      <c r="Y16" s="56">
        <f t="shared" si="3"/>
        <v>60000000</v>
      </c>
      <c r="Z16" s="56">
        <f t="shared" si="3"/>
        <v>60000000</v>
      </c>
      <c r="AA16" s="56">
        <f t="shared" si="3"/>
        <v>60000000</v>
      </c>
      <c r="AB16" s="13"/>
    </row>
    <row r="17" spans="1:31" x14ac:dyDescent="0.25">
      <c r="A17" t="s">
        <v>96</v>
      </c>
      <c r="E17" s="13">
        <f>$E$12/$B$9</f>
        <v>53714285.714285709</v>
      </c>
      <c r="F17" s="13">
        <f t="shared" ref="F17:X17" si="6">$E$12/$B$9</f>
        <v>53714285.714285709</v>
      </c>
      <c r="G17" s="13">
        <f t="shared" si="6"/>
        <v>53714285.714285709</v>
      </c>
      <c r="H17" s="13">
        <f t="shared" si="6"/>
        <v>53714285.714285709</v>
      </c>
      <c r="I17" s="13">
        <f t="shared" si="6"/>
        <v>53714285.714285709</v>
      </c>
      <c r="J17" s="13">
        <f t="shared" si="6"/>
        <v>53714285.714285709</v>
      </c>
      <c r="K17" s="13">
        <f t="shared" si="6"/>
        <v>53714285.714285709</v>
      </c>
      <c r="L17" s="13">
        <f t="shared" si="6"/>
        <v>53714285.714285709</v>
      </c>
      <c r="M17" s="13">
        <f t="shared" si="6"/>
        <v>53714285.714285709</v>
      </c>
      <c r="N17" s="13">
        <f t="shared" si="6"/>
        <v>53714285.714285709</v>
      </c>
      <c r="O17" s="13">
        <f t="shared" si="6"/>
        <v>53714285.714285709</v>
      </c>
      <c r="P17" s="13">
        <f t="shared" si="6"/>
        <v>53714285.714285709</v>
      </c>
      <c r="Q17" s="13">
        <f t="shared" si="6"/>
        <v>53714285.714285709</v>
      </c>
      <c r="R17" s="13">
        <f t="shared" si="6"/>
        <v>53714285.714285709</v>
      </c>
      <c r="S17" s="13">
        <f t="shared" si="6"/>
        <v>53714285.714285709</v>
      </c>
      <c r="T17" s="13">
        <f t="shared" si="6"/>
        <v>53714285.714285709</v>
      </c>
      <c r="U17" s="13">
        <f t="shared" si="6"/>
        <v>53714285.714285709</v>
      </c>
      <c r="V17" s="13">
        <f t="shared" si="6"/>
        <v>53714285.714285709</v>
      </c>
      <c r="W17" s="13">
        <f t="shared" si="6"/>
        <v>53714285.714285709</v>
      </c>
      <c r="X17" s="13">
        <f t="shared" si="6"/>
        <v>53714285.714285709</v>
      </c>
      <c r="Y17" s="56">
        <f t="shared" si="3"/>
        <v>60000000</v>
      </c>
      <c r="Z17" s="56">
        <f t="shared" si="3"/>
        <v>60000000</v>
      </c>
      <c r="AA17" s="56">
        <f t="shared" si="3"/>
        <v>60000000</v>
      </c>
      <c r="AB17" s="13"/>
      <c r="AC17" s="13"/>
    </row>
    <row r="18" spans="1:31" x14ac:dyDescent="0.25">
      <c r="A18" t="s">
        <v>97</v>
      </c>
      <c r="F18" s="13">
        <f>$F$12/$B$9</f>
        <v>53714285.714285709</v>
      </c>
      <c r="G18" s="13">
        <f t="shared" ref="G18:Y18" si="7">$F$12/$B$9</f>
        <v>53714285.714285709</v>
      </c>
      <c r="H18" s="13">
        <f t="shared" si="7"/>
        <v>53714285.714285709</v>
      </c>
      <c r="I18" s="13">
        <f t="shared" si="7"/>
        <v>53714285.714285709</v>
      </c>
      <c r="J18" s="13">
        <f t="shared" si="7"/>
        <v>53714285.714285709</v>
      </c>
      <c r="K18" s="13">
        <f t="shared" si="7"/>
        <v>53714285.714285709</v>
      </c>
      <c r="L18" s="13">
        <f t="shared" si="7"/>
        <v>53714285.714285709</v>
      </c>
      <c r="M18" s="13">
        <f t="shared" si="7"/>
        <v>53714285.714285709</v>
      </c>
      <c r="N18" s="13">
        <f t="shared" si="7"/>
        <v>53714285.714285709</v>
      </c>
      <c r="O18" s="13">
        <f t="shared" si="7"/>
        <v>53714285.714285709</v>
      </c>
      <c r="P18" s="13">
        <f t="shared" si="7"/>
        <v>53714285.714285709</v>
      </c>
      <c r="Q18" s="13">
        <f t="shared" si="7"/>
        <v>53714285.714285709</v>
      </c>
      <c r="R18" s="13">
        <f t="shared" si="7"/>
        <v>53714285.714285709</v>
      </c>
      <c r="S18" s="13">
        <f t="shared" si="7"/>
        <v>53714285.714285709</v>
      </c>
      <c r="T18" s="13">
        <f t="shared" si="7"/>
        <v>53714285.714285709</v>
      </c>
      <c r="U18" s="13">
        <f t="shared" si="7"/>
        <v>53714285.714285709</v>
      </c>
      <c r="V18" s="13">
        <f t="shared" si="7"/>
        <v>53714285.714285709</v>
      </c>
      <c r="W18" s="13">
        <f t="shared" si="7"/>
        <v>53714285.714285709</v>
      </c>
      <c r="X18" s="13">
        <f t="shared" si="7"/>
        <v>53714285.714285709</v>
      </c>
      <c r="Y18" s="13">
        <f t="shared" si="7"/>
        <v>53714285.714285709</v>
      </c>
      <c r="Z18" s="56">
        <f t="shared" si="3"/>
        <v>60000000</v>
      </c>
      <c r="AA18" s="56">
        <f t="shared" si="3"/>
        <v>60000000</v>
      </c>
      <c r="AB18" s="13"/>
      <c r="AC18" s="13"/>
      <c r="AD18" s="13"/>
    </row>
    <row r="19" spans="1:31" x14ac:dyDescent="0.25">
      <c r="A19" t="s">
        <v>98</v>
      </c>
      <c r="G19" s="13">
        <f>$G$12/$B$9</f>
        <v>50357142.857142851</v>
      </c>
      <c r="H19" s="13">
        <f t="shared" ref="H19:Z19" si="8">$G$12/$B$9</f>
        <v>50357142.857142851</v>
      </c>
      <c r="I19" s="13">
        <f t="shared" si="8"/>
        <v>50357142.857142851</v>
      </c>
      <c r="J19" s="13">
        <f t="shared" si="8"/>
        <v>50357142.857142851</v>
      </c>
      <c r="K19" s="13">
        <f t="shared" si="8"/>
        <v>50357142.857142851</v>
      </c>
      <c r="L19" s="13">
        <f t="shared" si="8"/>
        <v>50357142.857142851</v>
      </c>
      <c r="M19" s="13">
        <f t="shared" si="8"/>
        <v>50357142.857142851</v>
      </c>
      <c r="N19" s="13">
        <f t="shared" si="8"/>
        <v>50357142.857142851</v>
      </c>
      <c r="O19" s="13">
        <f t="shared" si="8"/>
        <v>50357142.857142851</v>
      </c>
      <c r="P19" s="13">
        <f t="shared" si="8"/>
        <v>50357142.857142851</v>
      </c>
      <c r="Q19" s="13">
        <f t="shared" si="8"/>
        <v>50357142.857142851</v>
      </c>
      <c r="R19" s="13">
        <f t="shared" si="8"/>
        <v>50357142.857142851</v>
      </c>
      <c r="S19" s="13">
        <f t="shared" si="8"/>
        <v>50357142.857142851</v>
      </c>
      <c r="T19" s="13">
        <f t="shared" si="8"/>
        <v>50357142.857142851</v>
      </c>
      <c r="U19" s="13">
        <f t="shared" si="8"/>
        <v>50357142.857142851</v>
      </c>
      <c r="V19" s="13">
        <f t="shared" si="8"/>
        <v>50357142.857142851</v>
      </c>
      <c r="W19" s="13">
        <f t="shared" si="8"/>
        <v>50357142.857142851</v>
      </c>
      <c r="X19" s="13">
        <f t="shared" si="8"/>
        <v>50357142.857142851</v>
      </c>
      <c r="Y19" s="13">
        <f t="shared" si="8"/>
        <v>50357142.857142851</v>
      </c>
      <c r="Z19" s="13">
        <f t="shared" si="8"/>
        <v>50357142.857142851</v>
      </c>
      <c r="AA19" s="56">
        <f t="shared" si="3"/>
        <v>60000000</v>
      </c>
      <c r="AB19" s="13"/>
      <c r="AC19" s="13"/>
      <c r="AD19" s="13"/>
      <c r="AE19" s="13"/>
    </row>
    <row r="20" spans="1:31" x14ac:dyDescent="0.25">
      <c r="A20" t="s">
        <v>99</v>
      </c>
      <c r="H20" s="13">
        <f>$H$12/$B$9</f>
        <v>26857142.857142854</v>
      </c>
      <c r="I20" s="13">
        <f t="shared" ref="I20:AA20" si="9">$H$12/$B$9</f>
        <v>26857142.857142854</v>
      </c>
      <c r="J20" s="13">
        <f t="shared" si="9"/>
        <v>26857142.857142854</v>
      </c>
      <c r="K20" s="13">
        <f t="shared" si="9"/>
        <v>26857142.857142854</v>
      </c>
      <c r="L20" s="13">
        <f t="shared" si="9"/>
        <v>26857142.857142854</v>
      </c>
      <c r="M20" s="13">
        <f t="shared" si="9"/>
        <v>26857142.857142854</v>
      </c>
      <c r="N20" s="13">
        <f t="shared" si="9"/>
        <v>26857142.857142854</v>
      </c>
      <c r="O20" s="13">
        <f t="shared" si="9"/>
        <v>26857142.857142854</v>
      </c>
      <c r="P20" s="13">
        <f t="shared" si="9"/>
        <v>26857142.857142854</v>
      </c>
      <c r="Q20" s="13">
        <f t="shared" si="9"/>
        <v>26857142.857142854</v>
      </c>
      <c r="R20" s="13">
        <f t="shared" si="9"/>
        <v>26857142.857142854</v>
      </c>
      <c r="S20" s="13">
        <f t="shared" si="9"/>
        <v>26857142.857142854</v>
      </c>
      <c r="T20" s="13">
        <f t="shared" si="9"/>
        <v>26857142.857142854</v>
      </c>
      <c r="U20" s="13">
        <f t="shared" si="9"/>
        <v>26857142.857142854</v>
      </c>
      <c r="V20" s="13">
        <f t="shared" si="9"/>
        <v>26857142.857142854</v>
      </c>
      <c r="W20" s="13">
        <f t="shared" si="9"/>
        <v>26857142.857142854</v>
      </c>
      <c r="X20" s="13">
        <f t="shared" si="9"/>
        <v>26857142.857142854</v>
      </c>
      <c r="Y20" s="13">
        <f t="shared" si="9"/>
        <v>26857142.857142854</v>
      </c>
      <c r="Z20" s="13">
        <f t="shared" si="9"/>
        <v>26857142.857142854</v>
      </c>
      <c r="AA20" s="13">
        <f t="shared" si="9"/>
        <v>26857142.857142854</v>
      </c>
    </row>
    <row r="21" spans="1:31" x14ac:dyDescent="0.25">
      <c r="A21" t="s">
        <v>100</v>
      </c>
      <c r="B21" s="13">
        <f>SUM(B14:B20)</f>
        <v>3357142.8571428568</v>
      </c>
      <c r="C21" s="13">
        <f t="shared" ref="C21:AA21" si="10">SUM(C14:C20)</f>
        <v>20142857.142857142</v>
      </c>
      <c r="D21" s="13">
        <f t="shared" si="10"/>
        <v>50357142.857142851</v>
      </c>
      <c r="E21" s="13">
        <f t="shared" si="10"/>
        <v>104071428.57142857</v>
      </c>
      <c r="F21" s="13">
        <f t="shared" si="10"/>
        <v>157785714.28571427</v>
      </c>
      <c r="G21" s="13">
        <f t="shared" si="10"/>
        <v>208142857.14285713</v>
      </c>
      <c r="H21" s="13">
        <f t="shared" si="10"/>
        <v>235000000</v>
      </c>
      <c r="I21" s="13">
        <f t="shared" si="10"/>
        <v>235000000</v>
      </c>
      <c r="J21" s="13">
        <f t="shared" si="10"/>
        <v>235000000</v>
      </c>
      <c r="K21" s="13">
        <f t="shared" si="10"/>
        <v>235000000</v>
      </c>
      <c r="L21" s="13">
        <f t="shared" si="10"/>
        <v>235000000</v>
      </c>
      <c r="M21" s="13">
        <f t="shared" si="10"/>
        <v>235000000</v>
      </c>
      <c r="N21" s="13">
        <f t="shared" si="10"/>
        <v>235000000</v>
      </c>
      <c r="O21" s="13">
        <f t="shared" si="10"/>
        <v>235000000</v>
      </c>
      <c r="P21" s="13">
        <f t="shared" si="10"/>
        <v>235000000</v>
      </c>
      <c r="Q21" s="13">
        <f t="shared" si="10"/>
        <v>235000000</v>
      </c>
      <c r="R21" s="13">
        <f t="shared" si="10"/>
        <v>235000000</v>
      </c>
      <c r="S21" s="13">
        <f t="shared" si="10"/>
        <v>235000000</v>
      </c>
      <c r="T21" s="13">
        <f t="shared" si="10"/>
        <v>235000000</v>
      </c>
      <c r="U21" s="13">
        <f t="shared" si="10"/>
        <v>235000000</v>
      </c>
      <c r="V21" s="13">
        <f t="shared" si="10"/>
        <v>291642857.14285713</v>
      </c>
      <c r="W21" s="13">
        <f>SUM(W14:W20)</f>
        <v>334857142.85714281</v>
      </c>
      <c r="X21" s="13">
        <f>SUM(X14:X20)</f>
        <v>364642857.14285713</v>
      </c>
      <c r="Y21" s="13">
        <f t="shared" si="10"/>
        <v>370928571.42857146</v>
      </c>
      <c r="Z21" s="13">
        <f t="shared" si="10"/>
        <v>377214285.71428573</v>
      </c>
      <c r="AA21" s="13">
        <f t="shared" si="10"/>
        <v>386857142.85714287</v>
      </c>
    </row>
    <row r="22" spans="1:31" x14ac:dyDescent="0.25">
      <c r="A22" t="s">
        <v>101</v>
      </c>
      <c r="B22" s="13">
        <f>B21/1000000</f>
        <v>3.3571428571428568</v>
      </c>
      <c r="C22" s="13">
        <f t="shared" ref="C22:AA22" si="11">C21/1000000</f>
        <v>20.142857142857142</v>
      </c>
      <c r="D22" s="13">
        <f t="shared" si="11"/>
        <v>50.357142857142854</v>
      </c>
      <c r="E22" s="13">
        <f t="shared" si="11"/>
        <v>104.07142857142857</v>
      </c>
      <c r="F22" s="13">
        <f t="shared" si="11"/>
        <v>157.78571428571428</v>
      </c>
      <c r="G22" s="13">
        <f t="shared" si="11"/>
        <v>208.14285714285714</v>
      </c>
      <c r="H22" s="13">
        <f t="shared" si="11"/>
        <v>235</v>
      </c>
      <c r="I22" s="13">
        <f t="shared" si="11"/>
        <v>235</v>
      </c>
      <c r="J22" s="13">
        <f t="shared" si="11"/>
        <v>235</v>
      </c>
      <c r="K22" s="13">
        <f t="shared" si="11"/>
        <v>235</v>
      </c>
      <c r="L22" s="13">
        <f t="shared" si="11"/>
        <v>235</v>
      </c>
      <c r="M22" s="13">
        <f t="shared" si="11"/>
        <v>235</v>
      </c>
      <c r="N22" s="13">
        <f t="shared" si="11"/>
        <v>235</v>
      </c>
      <c r="O22" s="13">
        <f t="shared" si="11"/>
        <v>235</v>
      </c>
      <c r="P22" s="13">
        <f t="shared" si="11"/>
        <v>235</v>
      </c>
      <c r="Q22" s="13">
        <f t="shared" si="11"/>
        <v>235</v>
      </c>
      <c r="R22" s="13">
        <f t="shared" si="11"/>
        <v>235</v>
      </c>
      <c r="S22" s="13">
        <f t="shared" si="11"/>
        <v>235</v>
      </c>
      <c r="T22" s="13">
        <f t="shared" si="11"/>
        <v>235</v>
      </c>
      <c r="U22" s="13">
        <f t="shared" si="11"/>
        <v>235</v>
      </c>
      <c r="V22" s="13">
        <f t="shared" si="11"/>
        <v>291.64285714285711</v>
      </c>
      <c r="W22" s="13">
        <f t="shared" si="11"/>
        <v>334.85714285714283</v>
      </c>
      <c r="X22" s="13">
        <f t="shared" si="11"/>
        <v>364.64285714285711</v>
      </c>
      <c r="Y22" s="13">
        <f t="shared" si="11"/>
        <v>370.92857142857144</v>
      </c>
      <c r="Z22" s="13">
        <f t="shared" si="11"/>
        <v>377.21428571428572</v>
      </c>
      <c r="AA22" s="13">
        <f t="shared" si="11"/>
        <v>386.85714285714289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A40" workbookViewId="0">
      <selection activeCell="J3" sqref="J3"/>
    </sheetView>
  </sheetViews>
  <sheetFormatPr baseColWidth="10" defaultColWidth="9.140625" defaultRowHeight="15" x14ac:dyDescent="0.25"/>
  <cols>
    <col min="1" max="1" width="33.140625" bestFit="1" customWidth="1"/>
    <col min="2" max="4" width="10.85546875" bestFit="1" customWidth="1"/>
    <col min="5" max="39" width="11.85546875" bestFit="1" customWidth="1"/>
  </cols>
  <sheetData>
    <row r="1" spans="1:39" x14ac:dyDescent="0.25">
      <c r="A1" s="3" t="s">
        <v>156</v>
      </c>
      <c r="B1" s="84">
        <v>2013</v>
      </c>
      <c r="C1" s="84">
        <v>2014</v>
      </c>
      <c r="D1" s="84">
        <v>2015</v>
      </c>
      <c r="E1" s="84">
        <v>2016</v>
      </c>
      <c r="F1" s="84">
        <v>2017</v>
      </c>
      <c r="G1" s="84">
        <v>2018</v>
      </c>
      <c r="H1" s="84">
        <v>2019</v>
      </c>
      <c r="I1" s="84">
        <v>2020</v>
      </c>
      <c r="J1" s="84">
        <v>2021</v>
      </c>
      <c r="K1" s="84">
        <v>2022</v>
      </c>
      <c r="L1" s="84">
        <v>2023</v>
      </c>
      <c r="M1" s="84">
        <v>2024</v>
      </c>
      <c r="N1" s="84">
        <v>2025</v>
      </c>
      <c r="O1" s="84">
        <v>2026</v>
      </c>
      <c r="P1" s="84">
        <v>2027</v>
      </c>
      <c r="Q1" s="84">
        <v>2028</v>
      </c>
      <c r="R1" s="84">
        <v>2029</v>
      </c>
      <c r="S1" s="84">
        <v>2030</v>
      </c>
      <c r="T1" s="84">
        <v>2031</v>
      </c>
      <c r="U1" s="84">
        <v>2032</v>
      </c>
      <c r="V1" s="84">
        <v>2033</v>
      </c>
      <c r="W1" s="84">
        <v>2034</v>
      </c>
      <c r="X1" s="84">
        <v>2035</v>
      </c>
      <c r="Y1" s="84">
        <v>2036</v>
      </c>
      <c r="Z1" s="84">
        <v>2037</v>
      </c>
      <c r="AA1" s="84">
        <v>2038</v>
      </c>
      <c r="AB1" s="84">
        <v>2039</v>
      </c>
      <c r="AC1" s="84">
        <v>2040</v>
      </c>
      <c r="AD1" s="84">
        <v>2041</v>
      </c>
      <c r="AE1" s="84">
        <v>2042</v>
      </c>
      <c r="AF1" s="84">
        <v>2043</v>
      </c>
      <c r="AG1" s="84">
        <v>2044</v>
      </c>
      <c r="AH1" s="84">
        <v>2045</v>
      </c>
      <c r="AI1" s="84">
        <v>2046</v>
      </c>
      <c r="AJ1" s="84">
        <v>2047</v>
      </c>
      <c r="AK1" s="84">
        <v>2048</v>
      </c>
      <c r="AL1" s="84">
        <v>2049</v>
      </c>
      <c r="AM1" s="84">
        <v>2050</v>
      </c>
    </row>
    <row r="2" spans="1:39" x14ac:dyDescent="0.25">
      <c r="A2" t="s">
        <v>159</v>
      </c>
      <c r="B2" s="108">
        <v>15.9</v>
      </c>
      <c r="C2" s="128">
        <v>22.530112200820906</v>
      </c>
      <c r="D2" s="128">
        <v>29.160224401641813</v>
      </c>
      <c r="E2" s="128">
        <v>35.790336602462723</v>
      </c>
      <c r="F2" s="128">
        <v>42.420448803283634</v>
      </c>
      <c r="G2" s="128">
        <v>49.050561004104551</v>
      </c>
      <c r="H2" s="128">
        <v>55.680673204925476</v>
      </c>
      <c r="I2" s="128">
        <v>62.310785405746401</v>
      </c>
      <c r="J2" s="128">
        <v>68.940897606567333</v>
      </c>
      <c r="K2" s="128">
        <v>75.571009807388265</v>
      </c>
      <c r="L2" s="128">
        <v>82.201122008209211</v>
      </c>
      <c r="M2" s="128">
        <v>88.831234209030171</v>
      </c>
      <c r="N2" s="128">
        <v>95.461346409851132</v>
      </c>
      <c r="O2" s="128">
        <v>102.09145861067211</v>
      </c>
      <c r="P2" s="128">
        <v>108.72157081149309</v>
      </c>
      <c r="Q2" s="128">
        <v>115.35168301231408</v>
      </c>
      <c r="R2" s="128">
        <v>121.98179521313509</v>
      </c>
      <c r="S2" s="128">
        <v>128.61190741395609</v>
      </c>
      <c r="T2" s="128">
        <v>135.24201961477712</v>
      </c>
      <c r="U2" s="128">
        <v>141.87213181559818</v>
      </c>
      <c r="V2" s="128">
        <v>148.50224401641924</v>
      </c>
      <c r="W2" s="128">
        <v>155.13235621724033</v>
      </c>
      <c r="X2" s="128">
        <v>161.76246841806145</v>
      </c>
      <c r="Y2" s="128">
        <v>168.39258061888256</v>
      </c>
      <c r="Z2" s="128">
        <v>175.02269281970371</v>
      </c>
      <c r="AA2" s="128">
        <v>181.65280502052488</v>
      </c>
      <c r="AB2" s="128">
        <v>188.28291722134605</v>
      </c>
      <c r="AC2" s="128">
        <v>194.91302942216726</v>
      </c>
      <c r="AD2" s="128">
        <v>201.54314162298849</v>
      </c>
      <c r="AE2" s="128">
        <v>208.17325382380972</v>
      </c>
      <c r="AF2" s="128">
        <v>214.80336602463098</v>
      </c>
      <c r="AG2" s="128">
        <v>221.43347822545226</v>
      </c>
      <c r="AH2" s="128">
        <v>228.06359042627355</v>
      </c>
      <c r="AI2" s="128">
        <v>234.69370262709486</v>
      </c>
      <c r="AJ2" s="128">
        <v>241.32381482791621</v>
      </c>
      <c r="AK2" s="128">
        <v>247.95392702873755</v>
      </c>
      <c r="AL2" s="128">
        <v>254.58403922955893</v>
      </c>
      <c r="AM2" s="129">
        <v>261.2141514303803</v>
      </c>
    </row>
    <row r="3" spans="1:39" x14ac:dyDescent="0.25">
      <c r="A3" t="s">
        <v>160</v>
      </c>
      <c r="B3" s="108">
        <v>0</v>
      </c>
      <c r="C3" s="128">
        <f>'Données capacités de production'!C15/1000000</f>
        <v>0</v>
      </c>
      <c r="D3" s="128">
        <f>'Données capacités de production'!D15/1000000</f>
        <v>0</v>
      </c>
      <c r="E3" s="128">
        <f>'Données capacités de production'!E15/1000000</f>
        <v>0</v>
      </c>
      <c r="F3" s="128">
        <f>'Données capacités de production'!F15/1000000</f>
        <v>0</v>
      </c>
      <c r="G3" s="128">
        <f>'Données capacités de production'!G15/1000000</f>
        <v>1.8863313530997785</v>
      </c>
      <c r="H3" s="128">
        <f>'Données capacités de production'!H15/1000000</f>
        <v>3.772662706199557</v>
      </c>
      <c r="I3" s="128">
        <f>'Données capacités de production'!I15/1000000</f>
        <v>5.658994059299336</v>
      </c>
      <c r="J3" s="128">
        <f>'Données capacités de production'!J15/1000000</f>
        <v>7.545325412399114</v>
      </c>
      <c r="K3" s="128">
        <f>'Données capacités de production'!K15/1000000</f>
        <v>9.431656765498893</v>
      </c>
      <c r="L3" s="128">
        <f>'Données capacités de production'!L15/1000000</f>
        <v>11.317988118598672</v>
      </c>
      <c r="M3" s="128">
        <f>'Données capacités de production'!M15/1000000</f>
        <v>12.449786930458544</v>
      </c>
      <c r="N3" s="128">
        <f>'Données capacités de production'!N15/1000000</f>
        <v>13.581585742318419</v>
      </c>
      <c r="O3" s="128">
        <f>'Données capacités de production'!O15/1000000</f>
        <v>14.713384554178292</v>
      </c>
      <c r="P3" s="128">
        <f>'Données capacités de production'!P15/1000000</f>
        <v>15.845183366038167</v>
      </c>
      <c r="Q3" s="128">
        <f>'Données capacités de production'!Q15/1000000</f>
        <v>16.976982177898044</v>
      </c>
      <c r="R3" s="128">
        <f>'Données capacités de production'!R15/1000000</f>
        <v>18.108780989757925</v>
      </c>
      <c r="S3" s="128">
        <f>'Données capacités de production'!S15/1000000</f>
        <v>19.240579801617809</v>
      </c>
      <c r="T3" s="128">
        <f>'Données capacités de production'!T15/1000000</f>
        <v>20.372378613477693</v>
      </c>
      <c r="U3" s="128">
        <f>'Données capacités de production'!U15/1000000</f>
        <v>21.504177425337581</v>
      </c>
      <c r="V3" s="128">
        <f>'Données capacités de production'!V15/1000000</f>
        <v>22.635976237197468</v>
      </c>
      <c r="W3" s="128">
        <f>'Données capacités de production'!W15/1000000</f>
        <v>23.767775049057359</v>
      </c>
      <c r="X3" s="128">
        <f>'Données capacités de production'!X15/1000000</f>
        <v>24.899573860917251</v>
      </c>
      <c r="Y3" s="128">
        <f>'Données capacités de production'!Y15/1000000</f>
        <v>26.031372672777145</v>
      </c>
      <c r="Z3" s="128">
        <f>'Données capacités de production'!Z15/1000000</f>
        <v>27.163171484637044</v>
      </c>
      <c r="AA3" s="128">
        <f>'Données capacités de production'!AA15/1000000</f>
        <v>28.294970296496942</v>
      </c>
      <c r="AB3" s="128">
        <f>'Données capacités de production'!AB15/1000000</f>
        <v>29.426769108356844</v>
      </c>
      <c r="AC3" s="128">
        <f>'Données capacités de production'!AC15/1000000</f>
        <v>30.558567920216749</v>
      </c>
      <c r="AD3" s="128">
        <f>'Données capacités de production'!AD15/1000000</f>
        <v>31.690366732076654</v>
      </c>
      <c r="AE3" s="128">
        <f>'Données capacités de production'!AE15/1000000</f>
        <v>32.822165543936563</v>
      </c>
      <c r="AF3" s="128">
        <f>'Données capacités de production'!AF15/1000000</f>
        <v>33.953964355796479</v>
      </c>
      <c r="AG3" s="128">
        <f>'Données capacités de production'!AG15/1000000</f>
        <v>35.085763167656388</v>
      </c>
      <c r="AH3" s="128">
        <f>'Données capacités de production'!AH15/1000000</f>
        <v>36.217561979516319</v>
      </c>
      <c r="AI3" s="128">
        <f>'Données capacités de production'!AI15/1000000</f>
        <v>37.349360791376249</v>
      </c>
      <c r="AJ3" s="128">
        <f>'Données capacités de production'!AJ15/1000000</f>
        <v>38.481159603236179</v>
      </c>
      <c r="AK3" s="128">
        <f>'Données capacités de production'!AK15/1000000</f>
        <v>39.612958415096116</v>
      </c>
      <c r="AL3" s="128">
        <f>'Données capacités de production'!AL15/1000000</f>
        <v>40.744757226956054</v>
      </c>
      <c r="AM3" s="129">
        <f>'Données capacités de production'!AM15/1000000</f>
        <v>41.876556038815998</v>
      </c>
    </row>
    <row r="4" spans="1:39" x14ac:dyDescent="0.25">
      <c r="A4" t="s">
        <v>206</v>
      </c>
      <c r="B4" s="108">
        <v>4.5999999999999996</v>
      </c>
      <c r="C4" s="128">
        <v>6.6941894977472165</v>
      </c>
      <c r="D4" s="128">
        <v>8.7883789954944334</v>
      </c>
      <c r="E4" s="128">
        <v>10.882568493241649</v>
      </c>
      <c r="F4" s="128">
        <v>12.976757990988867</v>
      </c>
      <c r="G4" s="128">
        <v>15.070947488736085</v>
      </c>
      <c r="H4" s="128">
        <v>17.165136986483304</v>
      </c>
      <c r="I4" s="128">
        <v>19.259326484230527</v>
      </c>
      <c r="J4" s="128">
        <v>21.353515981977754</v>
      </c>
      <c r="K4" s="128">
        <v>23.447705479724981</v>
      </c>
      <c r="L4" s="128">
        <v>25.541894977472211</v>
      </c>
      <c r="M4" s="128">
        <v>27.636084475219441</v>
      </c>
      <c r="N4" s="128">
        <v>29.730273972966675</v>
      </c>
      <c r="O4" s="128">
        <v>31.824463470713908</v>
      </c>
      <c r="P4" s="128">
        <v>33.918652968461146</v>
      </c>
      <c r="Q4" s="128">
        <v>36.01284246620839</v>
      </c>
      <c r="R4" s="128">
        <v>38.107031963955635</v>
      </c>
      <c r="S4" s="128">
        <v>40.201221461702886</v>
      </c>
      <c r="T4" s="128">
        <v>42.295410959450145</v>
      </c>
      <c r="U4" s="128">
        <v>44.389600457197403</v>
      </c>
      <c r="V4" s="128">
        <v>46.483789954944669</v>
      </c>
      <c r="W4" s="128">
        <v>48.577979452691942</v>
      </c>
      <c r="X4" s="128">
        <v>50.672168950439215</v>
      </c>
      <c r="Y4" s="128">
        <v>52.766358448186494</v>
      </c>
      <c r="Z4" s="128">
        <v>54.860547945933781</v>
      </c>
      <c r="AA4" s="128">
        <v>56.954737443681068</v>
      </c>
      <c r="AB4" s="128">
        <v>59.048926941428363</v>
      </c>
      <c r="AC4" s="128">
        <v>61.143116439175664</v>
      </c>
      <c r="AD4" s="128">
        <v>63.237305936922965</v>
      </c>
      <c r="AE4" s="128">
        <v>65.331495434670273</v>
      </c>
      <c r="AF4" s="128">
        <v>67.425684932417596</v>
      </c>
      <c r="AG4" s="128">
        <v>69.519874430164919</v>
      </c>
      <c r="AH4" s="128">
        <v>71.614063927912255</v>
      </c>
      <c r="AI4" s="128">
        <v>73.708253425659592</v>
      </c>
      <c r="AJ4" s="128">
        <v>75.802442923406943</v>
      </c>
      <c r="AK4" s="128">
        <v>77.896632421154308</v>
      </c>
      <c r="AL4" s="128">
        <v>79.990821918901673</v>
      </c>
      <c r="AM4" s="129">
        <v>82.085011416649053</v>
      </c>
    </row>
    <row r="5" spans="1:39" x14ac:dyDescent="0.25">
      <c r="A5" t="s">
        <v>22</v>
      </c>
      <c r="B5" s="108">
        <v>1.5</v>
      </c>
      <c r="C5" s="128">
        <v>1.6765326100052658</v>
      </c>
      <c r="D5" s="128">
        <v>1.8530652200105315</v>
      </c>
      <c r="E5" s="128">
        <v>2.0295978300157973</v>
      </c>
      <c r="F5" s="128">
        <v>2.2061304400210635</v>
      </c>
      <c r="G5" s="128">
        <v>2.3826630500263297</v>
      </c>
      <c r="H5" s="128">
        <v>2.5591956600315964</v>
      </c>
      <c r="I5" s="128">
        <v>2.7357282700368635</v>
      </c>
      <c r="J5" s="128">
        <v>2.9122608800421306</v>
      </c>
      <c r="K5" s="128">
        <v>3.0887934900473981</v>
      </c>
      <c r="L5" s="128">
        <v>3.2653261000526661</v>
      </c>
      <c r="M5" s="128">
        <v>3.4418587100579341</v>
      </c>
      <c r="N5" s="128">
        <v>3.6183913200632025</v>
      </c>
      <c r="O5" s="128">
        <v>3.7949239300684714</v>
      </c>
      <c r="P5" s="128">
        <v>3.9714565400737403</v>
      </c>
      <c r="Q5" s="128">
        <v>4.1479891500790096</v>
      </c>
      <c r="R5" s="128">
        <v>4.3245217600842798</v>
      </c>
      <c r="S5" s="128">
        <v>4.50105437008955</v>
      </c>
      <c r="T5" s="128">
        <v>4.6775869800948211</v>
      </c>
      <c r="U5" s="128">
        <v>4.8541195901000931</v>
      </c>
      <c r="V5" s="128">
        <v>5.0306522001053651</v>
      </c>
      <c r="W5" s="128">
        <v>5.2071848101106379</v>
      </c>
      <c r="X5" s="128">
        <v>5.3837174201159108</v>
      </c>
      <c r="Y5" s="128">
        <v>5.5602500301211846</v>
      </c>
      <c r="Z5" s="128">
        <v>5.7367826401264583</v>
      </c>
      <c r="AA5" s="128">
        <v>5.913315250131733</v>
      </c>
      <c r="AB5" s="128">
        <v>6.0898478601370085</v>
      </c>
      <c r="AC5" s="128">
        <v>6.2663804701422841</v>
      </c>
      <c r="AD5" s="128">
        <v>6.4429130801475605</v>
      </c>
      <c r="AE5" s="128">
        <v>6.6194456901528378</v>
      </c>
      <c r="AF5" s="128">
        <v>6.7959783001581151</v>
      </c>
      <c r="AG5" s="128">
        <v>6.9725109101633933</v>
      </c>
      <c r="AH5" s="128">
        <v>7.1490435201686724</v>
      </c>
      <c r="AI5" s="128">
        <v>7.3255761301739515</v>
      </c>
      <c r="AJ5" s="128">
        <v>7.5021087401792315</v>
      </c>
      <c r="AK5" s="128">
        <v>7.6786413501845123</v>
      </c>
      <c r="AL5" s="128">
        <v>7.8551739601897932</v>
      </c>
      <c r="AM5" s="129">
        <v>8.0317065701950749</v>
      </c>
    </row>
    <row r="6" spans="1:39" x14ac:dyDescent="0.25">
      <c r="A6" t="s">
        <v>215</v>
      </c>
      <c r="B6" s="10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9"/>
    </row>
    <row r="7" spans="1:39" x14ac:dyDescent="0.25">
      <c r="A7" t="s">
        <v>21</v>
      </c>
      <c r="B7" s="108">
        <v>2.1363670350000006</v>
      </c>
      <c r="C7" s="128">
        <v>2.1802392772972929</v>
      </c>
      <c r="D7" s="128">
        <v>2.2241115195945858</v>
      </c>
      <c r="E7" s="128">
        <v>2.2679837618918786</v>
      </c>
      <c r="F7" s="128">
        <v>2.3118560041891714</v>
      </c>
      <c r="G7" s="128">
        <v>2.3557282464864646</v>
      </c>
      <c r="H7" s="128">
        <v>2.3996004887837579</v>
      </c>
      <c r="I7" s="128">
        <v>2.4434727310810516</v>
      </c>
      <c r="J7" s="128">
        <v>2.4873449733783457</v>
      </c>
      <c r="K7" s="128">
        <v>2.5312172156756398</v>
      </c>
      <c r="L7" s="128">
        <v>2.5750894579729344</v>
      </c>
      <c r="M7" s="128">
        <v>2.6189617002702295</v>
      </c>
      <c r="N7" s="128">
        <v>2.6628339425675245</v>
      </c>
      <c r="O7" s="128">
        <v>2.70670618486482</v>
      </c>
      <c r="P7" s="128">
        <v>2.7505784271621159</v>
      </c>
      <c r="Q7" s="128">
        <v>2.7944506694594118</v>
      </c>
      <c r="R7" s="128">
        <v>2.8383229117567081</v>
      </c>
      <c r="S7" s="128">
        <v>2.8821951540540049</v>
      </c>
      <c r="T7" s="128">
        <v>2.9260673963513018</v>
      </c>
      <c r="U7" s="128">
        <v>2.969939638648599</v>
      </c>
      <c r="V7" s="128">
        <v>3.0138118809458967</v>
      </c>
      <c r="W7" s="128">
        <v>3.0576841232431944</v>
      </c>
      <c r="X7" s="128">
        <v>3.1015563655404925</v>
      </c>
      <c r="Y7" s="128">
        <v>3.1454286078377911</v>
      </c>
      <c r="Z7" s="128">
        <v>3.1893008501350897</v>
      </c>
      <c r="AA7" s="128">
        <v>3.2331730924323887</v>
      </c>
      <c r="AB7" s="128">
        <v>3.2770453347296882</v>
      </c>
      <c r="AC7" s="128">
        <v>3.3209175770269876</v>
      </c>
      <c r="AD7" s="128">
        <v>3.3647898193242876</v>
      </c>
      <c r="AE7" s="128">
        <v>3.4086620616215879</v>
      </c>
      <c r="AF7" s="128">
        <v>3.4525343039188883</v>
      </c>
      <c r="AG7" s="128">
        <v>3.4964065462161891</v>
      </c>
      <c r="AH7" s="128">
        <v>3.5402787885134903</v>
      </c>
      <c r="AI7" s="128">
        <v>3.5841510308107916</v>
      </c>
      <c r="AJ7" s="128">
        <v>3.6280232731080932</v>
      </c>
      <c r="AK7" s="128">
        <v>3.6718955154053954</v>
      </c>
      <c r="AL7" s="128">
        <v>3.7157677577026975</v>
      </c>
      <c r="AM7" s="129">
        <v>3.7596400000000001</v>
      </c>
    </row>
    <row r="8" spans="1:39" x14ac:dyDescent="0.25">
      <c r="A8" t="s">
        <v>125</v>
      </c>
      <c r="B8" s="108">
        <v>1.7041322700000003</v>
      </c>
      <c r="C8" s="128">
        <v>2.2673854424204674</v>
      </c>
      <c r="D8" s="128">
        <v>2.8306386148409342</v>
      </c>
      <c r="E8" s="128">
        <v>3.3938917872614009</v>
      </c>
      <c r="F8" s="128">
        <v>3.9571449596818682</v>
      </c>
      <c r="G8" s="128">
        <v>4.5203981321023354</v>
      </c>
      <c r="H8" s="128">
        <v>5.0836513045228031</v>
      </c>
      <c r="I8" s="128">
        <v>5.6469044769432717</v>
      </c>
      <c r="J8" s="128">
        <v>6.2101576493637412</v>
      </c>
      <c r="K8" s="128">
        <v>6.7734108217842106</v>
      </c>
      <c r="L8" s="128">
        <v>7.336663994204681</v>
      </c>
      <c r="M8" s="128">
        <v>7.8999171666251522</v>
      </c>
      <c r="N8" s="128">
        <v>8.4631703390456234</v>
      </c>
      <c r="O8" s="128">
        <v>9.0264235114660956</v>
      </c>
      <c r="P8" s="128">
        <v>9.5896766838865695</v>
      </c>
      <c r="Q8" s="128">
        <v>10.152929856307045</v>
      </c>
      <c r="R8" s="128">
        <v>10.716183028727521</v>
      </c>
      <c r="S8" s="128">
        <v>11.279436201147998</v>
      </c>
      <c r="T8" s="128">
        <v>11.842689373568476</v>
      </c>
      <c r="U8" s="128">
        <v>12.405942545988955</v>
      </c>
      <c r="V8" s="128">
        <v>12.969195718409434</v>
      </c>
      <c r="W8" s="128">
        <v>13.532448890829915</v>
      </c>
      <c r="X8" s="128">
        <v>14.095702063250398</v>
      </c>
      <c r="Y8" s="128">
        <v>14.658955235670881</v>
      </c>
      <c r="Z8" s="128">
        <v>15.222208408091365</v>
      </c>
      <c r="AA8" s="128">
        <v>15.785461580511852</v>
      </c>
      <c r="AB8" s="128">
        <v>16.348714752932338</v>
      </c>
      <c r="AC8" s="128">
        <v>16.911967925352826</v>
      </c>
      <c r="AD8" s="128">
        <v>17.475221097773318</v>
      </c>
      <c r="AE8" s="128">
        <v>18.038474270193809</v>
      </c>
      <c r="AF8" s="128">
        <v>18.601727442614305</v>
      </c>
      <c r="AG8" s="128">
        <v>19.164980615034803</v>
      </c>
      <c r="AH8" s="128">
        <v>19.728233787455302</v>
      </c>
      <c r="AI8" s="128">
        <v>20.291486959875805</v>
      </c>
      <c r="AJ8" s="128">
        <v>20.85474013229631</v>
      </c>
      <c r="AK8" s="128">
        <v>21.417993304716816</v>
      </c>
      <c r="AL8" s="128">
        <v>21.981246477137326</v>
      </c>
      <c r="AM8" s="129">
        <v>22.544499649557835</v>
      </c>
    </row>
    <row r="9" spans="1:39" x14ac:dyDescent="0.25">
      <c r="A9" t="s">
        <v>162</v>
      </c>
      <c r="B9" s="108">
        <v>68.521000000000015</v>
      </c>
      <c r="C9" s="128">
        <v>68.32490380287976</v>
      </c>
      <c r="D9" s="128">
        <v>68.128807605759505</v>
      </c>
      <c r="E9" s="128">
        <v>67.932711408639236</v>
      </c>
      <c r="F9" s="128">
        <v>67.736615211518966</v>
      </c>
      <c r="G9" s="128">
        <v>67.540519014398683</v>
      </c>
      <c r="H9" s="128">
        <v>67.344422817278385</v>
      </c>
      <c r="I9" s="128">
        <v>67.148326620158088</v>
      </c>
      <c r="J9" s="128">
        <v>66.952230423037776</v>
      </c>
      <c r="K9" s="128">
        <v>66.756134225917449</v>
      </c>
      <c r="L9" s="128">
        <v>66.560038028797123</v>
      </c>
      <c r="M9" s="128">
        <v>66.363941831676783</v>
      </c>
      <c r="N9" s="128">
        <v>66.167845634556429</v>
      </c>
      <c r="O9" s="128">
        <v>65.971749437436074</v>
      </c>
      <c r="P9" s="128">
        <v>65.775653240315705</v>
      </c>
      <c r="Q9" s="128">
        <v>65.579557043195337</v>
      </c>
      <c r="R9" s="128">
        <v>65.383460846074954</v>
      </c>
      <c r="S9" s="128">
        <v>65.187364648954571</v>
      </c>
      <c r="T9" s="128">
        <v>64.991268451834173</v>
      </c>
      <c r="U9" s="128">
        <v>64.795172254713762</v>
      </c>
      <c r="V9" s="128">
        <v>64.599076057593351</v>
      </c>
      <c r="W9" s="128">
        <v>64.402979860472925</v>
      </c>
      <c r="X9" s="128">
        <v>64.206883663352485</v>
      </c>
      <c r="Y9" s="128">
        <v>64.010787466232046</v>
      </c>
      <c r="Z9" s="128">
        <v>63.814691269111592</v>
      </c>
      <c r="AA9" s="128">
        <v>63.61859507199113</v>
      </c>
      <c r="AB9" s="128">
        <v>63.422498874870669</v>
      </c>
      <c r="AC9" s="128">
        <v>63.226402677750201</v>
      </c>
      <c r="AD9" s="128">
        <v>63.030306480629726</v>
      </c>
      <c r="AE9" s="128">
        <v>62.83421028350925</v>
      </c>
      <c r="AF9" s="128">
        <v>62.638114086388768</v>
      </c>
      <c r="AG9" s="128">
        <v>62.442017889268278</v>
      </c>
      <c r="AH9" s="128">
        <v>62.245921692147789</v>
      </c>
      <c r="AI9" s="128">
        <v>62.049825495027292</v>
      </c>
      <c r="AJ9" s="128">
        <v>61.853729297906789</v>
      </c>
      <c r="AK9" s="128">
        <v>61.657633100786285</v>
      </c>
      <c r="AL9" s="128">
        <v>61.461536903665774</v>
      </c>
      <c r="AM9" s="129">
        <v>61.265440706545263</v>
      </c>
    </row>
    <row r="10" spans="1:39" x14ac:dyDescent="0.25">
      <c r="A10" t="s">
        <v>18</v>
      </c>
      <c r="B10" s="108">
        <v>1.2025420000000004E-2</v>
      </c>
      <c r="C10" s="128">
        <v>4.3670678918918189E-2</v>
      </c>
      <c r="D10" s="128">
        <v>7.5315937837836369E-2</v>
      </c>
      <c r="E10" s="128">
        <v>0.10696119675675456</v>
      </c>
      <c r="F10" s="128">
        <v>0.13860645567567276</v>
      </c>
      <c r="G10" s="128">
        <v>0.17025171459459099</v>
      </c>
      <c r="H10" s="128">
        <v>0.20189697351350924</v>
      </c>
      <c r="I10" s="128">
        <v>0.2335422324324275</v>
      </c>
      <c r="J10" s="128">
        <v>0.26518749135134578</v>
      </c>
      <c r="K10" s="128">
        <v>0.29683275027026412</v>
      </c>
      <c r="L10" s="128">
        <v>0.32847800918918246</v>
      </c>
      <c r="M10" s="128">
        <v>0.36012326810810086</v>
      </c>
      <c r="N10" s="128">
        <v>0.39176852702701925</v>
      </c>
      <c r="O10" s="128">
        <v>0.4234137859459377</v>
      </c>
      <c r="P10" s="128">
        <v>0.45505904486485621</v>
      </c>
      <c r="Q10" s="128">
        <v>0.48670430378377472</v>
      </c>
      <c r="R10" s="128">
        <v>0.51834956270269328</v>
      </c>
      <c r="S10" s="128">
        <v>0.54999482162161195</v>
      </c>
      <c r="T10" s="128">
        <v>0.58164008054053062</v>
      </c>
      <c r="U10" s="128">
        <v>0.61328533945944941</v>
      </c>
      <c r="V10" s="128">
        <v>0.64493059837836819</v>
      </c>
      <c r="W10" s="128">
        <v>0.67657585729728709</v>
      </c>
      <c r="X10" s="128">
        <v>0.70822111621620609</v>
      </c>
      <c r="Y10" s="128">
        <v>0.7398663751351251</v>
      </c>
      <c r="Z10" s="128">
        <v>0.77151163405404422</v>
      </c>
      <c r="AA10" s="128">
        <v>0.80315689297296344</v>
      </c>
      <c r="AB10" s="128">
        <v>0.83480215189188267</v>
      </c>
      <c r="AC10" s="128">
        <v>0.86644741081080201</v>
      </c>
      <c r="AD10" s="128">
        <v>0.89809266972972146</v>
      </c>
      <c r="AE10" s="128">
        <v>0.92973792864864091</v>
      </c>
      <c r="AF10" s="128">
        <v>0.96138318756756047</v>
      </c>
      <c r="AG10" s="128">
        <v>0.99302844648648014</v>
      </c>
      <c r="AH10" s="128">
        <v>1.0246737054053998</v>
      </c>
      <c r="AI10" s="128">
        <v>1.0563189643243196</v>
      </c>
      <c r="AJ10" s="128">
        <v>1.0879642232432396</v>
      </c>
      <c r="AK10" s="128">
        <v>1.1196094821621596</v>
      </c>
      <c r="AL10" s="128">
        <v>1.1512547410810798</v>
      </c>
      <c r="AM10" s="129">
        <v>1.1829000000000001</v>
      </c>
    </row>
    <row r="11" spans="1:39" x14ac:dyDescent="0.25">
      <c r="A11" t="s">
        <v>163</v>
      </c>
      <c r="B11" s="108">
        <v>0.41868</v>
      </c>
      <c r="C11" s="128">
        <v>0.42044268257898243</v>
      </c>
      <c r="D11" s="128">
        <v>0.42220536515796492</v>
      </c>
      <c r="E11" s="128">
        <v>0.42396804773694746</v>
      </c>
      <c r="F11" s="128">
        <v>0.42573073031593001</v>
      </c>
      <c r="G11" s="128">
        <v>0.42749341289491261</v>
      </c>
      <c r="H11" s="128">
        <v>0.42925609547389526</v>
      </c>
      <c r="I11" s="128">
        <v>0.43101877805287792</v>
      </c>
      <c r="J11" s="128">
        <v>0.43278146063186063</v>
      </c>
      <c r="K11" s="128">
        <v>0.43454414321084339</v>
      </c>
      <c r="L11" s="128">
        <v>0.43630682578982616</v>
      </c>
      <c r="M11" s="128">
        <v>0.43806950836880898</v>
      </c>
      <c r="N11" s="128">
        <v>0.4398321909477918</v>
      </c>
      <c r="O11" s="128">
        <v>0.44159487352677468</v>
      </c>
      <c r="P11" s="128">
        <v>0.44335755610575756</v>
      </c>
      <c r="Q11" s="128">
        <v>0.44512023868474049</v>
      </c>
      <c r="R11" s="128">
        <v>0.44688292126372348</v>
      </c>
      <c r="S11" s="128">
        <v>0.44864560384270646</v>
      </c>
      <c r="T11" s="128">
        <v>0.45040828642168951</v>
      </c>
      <c r="U11" s="128">
        <v>0.45217096900067261</v>
      </c>
      <c r="V11" s="128">
        <v>0.45393365157965571</v>
      </c>
      <c r="W11" s="128">
        <v>0.45569633415863886</v>
      </c>
      <c r="X11" s="128">
        <v>0.45745901673762207</v>
      </c>
      <c r="Y11" s="128">
        <v>0.45922169931660528</v>
      </c>
      <c r="Z11" s="128">
        <v>0.46098438189558855</v>
      </c>
      <c r="AA11" s="128">
        <v>0.46274706447457187</v>
      </c>
      <c r="AB11" s="128">
        <v>0.46450974705355519</v>
      </c>
      <c r="AC11" s="128">
        <v>0.46627242963253857</v>
      </c>
      <c r="AD11" s="128">
        <v>0.468035112211522</v>
      </c>
      <c r="AE11" s="128">
        <v>0.46979779479050543</v>
      </c>
      <c r="AF11" s="128">
        <v>0.47156047736948892</v>
      </c>
      <c r="AG11" s="128">
        <v>0.47332315994847246</v>
      </c>
      <c r="AH11" s="128">
        <v>0.475085842527456</v>
      </c>
      <c r="AI11" s="128">
        <v>0.4768485251064396</v>
      </c>
      <c r="AJ11" s="128">
        <v>0.47861120768542326</v>
      </c>
      <c r="AK11" s="128">
        <v>0.48037389026440691</v>
      </c>
      <c r="AL11" s="128">
        <v>0.48213657284339062</v>
      </c>
      <c r="AM11" s="129">
        <v>0.48389925542237439</v>
      </c>
    </row>
    <row r="12" spans="1:39" x14ac:dyDescent="0.25">
      <c r="A12" t="s">
        <v>164</v>
      </c>
      <c r="B12" s="108">
        <v>0</v>
      </c>
      <c r="C12" s="128">
        <v>1.8655274254697294E-62</v>
      </c>
      <c r="D12" s="128">
        <v>3.7042209372026934E-62</v>
      </c>
      <c r="E12" s="128">
        <v>5.5030495597514206E-62</v>
      </c>
      <c r="F12" s="128">
        <v>7.2493627470979888E-62</v>
      </c>
      <c r="G12" s="128">
        <v>8.9309786298825521E-62</v>
      </c>
      <c r="H12" s="128">
        <v>1.0536268257210305E-61</v>
      </c>
      <c r="I12" s="128">
        <v>1.2054235255973215E-61</v>
      </c>
      <c r="J12" s="128">
        <v>1.3474590367730547E-61</v>
      </c>
      <c r="K12" s="128">
        <v>1.4787820363916405E-61</v>
      </c>
      <c r="L12" s="128">
        <v>1.5985250884164377E-61</v>
      </c>
      <c r="M12" s="128">
        <v>1.7059102789518433E-61</v>
      </c>
      <c r="N12" s="128">
        <v>1.8002541671876497E-61</v>
      </c>
      <c r="O12" s="128">
        <v>1.8809720212813219E-61</v>
      </c>
      <c r="P12" s="128">
        <v>1.9475813138563009E-61</v>
      </c>
      <c r="Q12" s="128">
        <v>1.9997044573014247E-61</v>
      </c>
      <c r="R12" s="128">
        <v>2.0370707646664559E-61</v>
      </c>
      <c r="S12" s="128">
        <v>2.0595176276204181E-61</v>
      </c>
      <c r="T12" s="128">
        <v>2.0669909086317255E-61</v>
      </c>
      <c r="U12" s="128">
        <v>2.059544550200886E-61</v>
      </c>
      <c r="V12" s="128">
        <v>2.0373394095871842E-61</v>
      </c>
      <c r="W12" s="128">
        <v>2.0006413329803224E-61</v>
      </c>
      <c r="X12" s="128">
        <v>1.9498184884376159E-61</v>
      </c>
      <c r="Y12" s="128">
        <v>1.8853379820993616E-61</v>
      </c>
      <c r="Z12" s="128">
        <v>1.8077617871734105E-61</v>
      </c>
      <c r="AA12" s="128">
        <v>1.7177420199104645E-61</v>
      </c>
      <c r="AB12" s="128">
        <v>1.6160156012419623E-61</v>
      </c>
      <c r="AC12" s="128">
        <v>1.5033983468926443E-61</v>
      </c>
      <c r="AD12" s="128">
        <v>1.3807785325823987E-61</v>
      </c>
      <c r="AE12" s="128">
        <v>1.2491099843719337E-61</v>
      </c>
      <c r="AF12" s="128">
        <v>1.1094047472620027E-61</v>
      </c>
      <c r="AG12" s="128">
        <v>9.6272538780716629E-62</v>
      </c>
      <c r="AH12" s="128">
        <v>8.1017698873622169E-62</v>
      </c>
      <c r="AI12" s="128">
        <v>6.5289889536944953E-62</v>
      </c>
      <c r="AJ12" s="128">
        <v>4.9205627497790377E-62</v>
      </c>
      <c r="AK12" s="128">
        <v>3.2883155113554141E-62</v>
      </c>
      <c r="AL12" s="128">
        <v>1.6441577556777071E-62</v>
      </c>
      <c r="AM12" s="129">
        <v>0</v>
      </c>
    </row>
    <row r="13" spans="1:39" x14ac:dyDescent="0.25">
      <c r="A13" t="s">
        <v>67</v>
      </c>
      <c r="B13" s="108">
        <v>403.7</v>
      </c>
      <c r="C13" s="128">
        <v>392.78918918918964</v>
      </c>
      <c r="D13" s="128">
        <v>381.8783783783793</v>
      </c>
      <c r="E13" s="128">
        <v>370.96756756756895</v>
      </c>
      <c r="F13" s="128">
        <v>360.05675675675855</v>
      </c>
      <c r="G13" s="128">
        <v>349.14594594594809</v>
      </c>
      <c r="H13" s="128">
        <v>338.23513513513763</v>
      </c>
      <c r="I13" s="128">
        <v>327.32432432432711</v>
      </c>
      <c r="J13" s="128">
        <v>316.41351351351653</v>
      </c>
      <c r="K13" s="128">
        <v>305.50270270270596</v>
      </c>
      <c r="L13" s="128">
        <v>294.59189189189533</v>
      </c>
      <c r="M13" s="128">
        <v>283.68108108108464</v>
      </c>
      <c r="N13" s="128">
        <v>272.77027027027395</v>
      </c>
      <c r="O13" s="128">
        <v>261.85945945946321</v>
      </c>
      <c r="P13" s="128">
        <v>250.94864864865241</v>
      </c>
      <c r="Q13" s="128">
        <v>240.03783783784161</v>
      </c>
      <c r="R13" s="128">
        <v>229.12702702703078</v>
      </c>
      <c r="S13" s="128">
        <v>218.21621621621995</v>
      </c>
      <c r="T13" s="128">
        <v>207.30540540540909</v>
      </c>
      <c r="U13" s="128">
        <v>196.3945945945982</v>
      </c>
      <c r="V13" s="128">
        <v>185.48378378378732</v>
      </c>
      <c r="W13" s="128">
        <v>174.5729729729764</v>
      </c>
      <c r="X13" s="128">
        <v>163.66216216216546</v>
      </c>
      <c r="Y13" s="128">
        <v>152.75135135135451</v>
      </c>
      <c r="Z13" s="128">
        <v>141.84054054054354</v>
      </c>
      <c r="AA13" s="128">
        <v>130.92972972973254</v>
      </c>
      <c r="AB13" s="128">
        <v>120.01891891892154</v>
      </c>
      <c r="AC13" s="128">
        <v>109.10810810811053</v>
      </c>
      <c r="AD13" s="128">
        <v>98.197297297299514</v>
      </c>
      <c r="AE13" s="128">
        <v>87.286486486488485</v>
      </c>
      <c r="AF13" s="128">
        <v>76.375675675677442</v>
      </c>
      <c r="AG13" s="128">
        <v>65.464864864866399</v>
      </c>
      <c r="AH13" s="128">
        <v>54.554054054055342</v>
      </c>
      <c r="AI13" s="128">
        <v>43.643243243244278</v>
      </c>
      <c r="AJ13" s="128">
        <v>32.732432432433214</v>
      </c>
      <c r="AK13" s="128">
        <v>21.821621621622143</v>
      </c>
      <c r="AL13" s="128">
        <v>10.910810810811071</v>
      </c>
      <c r="AM13" s="129">
        <v>0</v>
      </c>
    </row>
    <row r="14" spans="1:39" x14ac:dyDescent="0.25">
      <c r="A14" t="s">
        <v>165</v>
      </c>
      <c r="B14" s="108">
        <v>19.5</v>
      </c>
      <c r="C14" s="128">
        <v>18.972972972972997</v>
      </c>
      <c r="D14" s="128">
        <v>18.44594594594599</v>
      </c>
      <c r="E14" s="128">
        <v>17.918918918918983</v>
      </c>
      <c r="F14" s="128">
        <v>17.391891891891973</v>
      </c>
      <c r="G14" s="128">
        <v>16.864864864864959</v>
      </c>
      <c r="H14" s="128">
        <v>16.337837837837945</v>
      </c>
      <c r="I14" s="128">
        <v>15.81081081081093</v>
      </c>
      <c r="J14" s="128">
        <v>15.283783783783914</v>
      </c>
      <c r="K14" s="128">
        <v>14.756756756756896</v>
      </c>
      <c r="L14" s="128">
        <v>14.229729729729877</v>
      </c>
      <c r="M14" s="128">
        <v>13.702702702702858</v>
      </c>
      <c r="N14" s="128">
        <v>13.175675675675837</v>
      </c>
      <c r="O14" s="128">
        <v>12.648648648648814</v>
      </c>
      <c r="P14" s="128">
        <v>12.121621621621792</v>
      </c>
      <c r="Q14" s="128">
        <v>11.594594594594767</v>
      </c>
      <c r="R14" s="128">
        <v>11.067567567567741</v>
      </c>
      <c r="S14" s="128">
        <v>10.540540540540714</v>
      </c>
      <c r="T14" s="128">
        <v>10.013513513513686</v>
      </c>
      <c r="U14" s="128">
        <v>9.4864864864866565</v>
      </c>
      <c r="V14" s="128">
        <v>8.9594594594596266</v>
      </c>
      <c r="W14" s="128">
        <v>8.432432432432595</v>
      </c>
      <c r="X14" s="128">
        <v>7.9054054054055616</v>
      </c>
      <c r="Y14" s="128">
        <v>7.3783783783785273</v>
      </c>
      <c r="Z14" s="128">
        <v>6.851351351351493</v>
      </c>
      <c r="AA14" s="128">
        <v>6.3243243243244578</v>
      </c>
      <c r="AB14" s="128">
        <v>5.7972972972974217</v>
      </c>
      <c r="AC14" s="128">
        <v>5.2702702702703856</v>
      </c>
      <c r="AD14" s="128">
        <v>4.7432432432433487</v>
      </c>
      <c r="AE14" s="128">
        <v>4.2162162162163108</v>
      </c>
      <c r="AF14" s="128">
        <v>3.689189189189273</v>
      </c>
      <c r="AG14" s="128">
        <v>3.1621621621622347</v>
      </c>
      <c r="AH14" s="128">
        <v>2.6351351351351964</v>
      </c>
      <c r="AI14" s="128">
        <v>2.1081081081081576</v>
      </c>
      <c r="AJ14" s="128">
        <v>1.5810810810811184</v>
      </c>
      <c r="AK14" s="128">
        <v>1.054054054054079</v>
      </c>
      <c r="AL14" s="128">
        <v>0.52702702702703952</v>
      </c>
      <c r="AM14" s="129">
        <v>0</v>
      </c>
    </row>
    <row r="15" spans="1:39" x14ac:dyDescent="0.25">
      <c r="A15" t="s">
        <v>166</v>
      </c>
      <c r="B15" s="108">
        <v>5.4</v>
      </c>
      <c r="C15" s="128">
        <v>5.2540540540540608</v>
      </c>
      <c r="D15" s="128">
        <v>5.1081081081081212</v>
      </c>
      <c r="E15" s="128">
        <v>4.9621621621621808</v>
      </c>
      <c r="F15" s="128">
        <v>4.8162162162162403</v>
      </c>
      <c r="G15" s="128">
        <v>4.670270270270299</v>
      </c>
      <c r="H15" s="128">
        <v>4.5243243243243567</v>
      </c>
      <c r="I15" s="128">
        <v>4.3783783783784145</v>
      </c>
      <c r="J15" s="128">
        <v>4.2324324324324714</v>
      </c>
      <c r="K15" s="128">
        <v>4.0864864864865282</v>
      </c>
      <c r="L15" s="128">
        <v>3.9405405405405842</v>
      </c>
      <c r="M15" s="128">
        <v>3.7945945945946398</v>
      </c>
      <c r="N15" s="128">
        <v>3.6486486486486953</v>
      </c>
      <c r="O15" s="128">
        <v>3.5027027027027504</v>
      </c>
      <c r="P15" s="128">
        <v>3.3567567567568051</v>
      </c>
      <c r="Q15" s="128">
        <v>3.2108108108108597</v>
      </c>
      <c r="R15" s="128">
        <v>3.0648648648649139</v>
      </c>
      <c r="S15" s="128">
        <v>2.9189189189189677</v>
      </c>
      <c r="T15" s="128">
        <v>2.7729729729730215</v>
      </c>
      <c r="U15" s="128">
        <v>2.6270270270270748</v>
      </c>
      <c r="V15" s="128">
        <v>2.4810810810811277</v>
      </c>
      <c r="W15" s="128">
        <v>2.3351351351351806</v>
      </c>
      <c r="X15" s="128">
        <v>2.189189189189233</v>
      </c>
      <c r="Y15" s="128">
        <v>2.043243243243285</v>
      </c>
      <c r="Z15" s="128">
        <v>1.8972972972973368</v>
      </c>
      <c r="AA15" s="128">
        <v>1.7513513513513885</v>
      </c>
      <c r="AB15" s="128">
        <v>1.6054054054054401</v>
      </c>
      <c r="AC15" s="128">
        <v>1.4594594594594914</v>
      </c>
      <c r="AD15" s="128">
        <v>1.3135135135135427</v>
      </c>
      <c r="AE15" s="128">
        <v>1.1675675675675938</v>
      </c>
      <c r="AF15" s="128">
        <v>1.0216216216216449</v>
      </c>
      <c r="AG15" s="128">
        <v>0.87567567567569582</v>
      </c>
      <c r="AH15" s="128">
        <v>0.72972972972974659</v>
      </c>
      <c r="AI15" s="128">
        <v>0.58378378378379736</v>
      </c>
      <c r="AJ15" s="128">
        <v>0.43783783783784802</v>
      </c>
      <c r="AK15" s="128">
        <v>0.29189189189189868</v>
      </c>
      <c r="AL15" s="128">
        <v>0.14594594594594934</v>
      </c>
      <c r="AM15" s="129">
        <v>0</v>
      </c>
    </row>
    <row r="16" spans="1:39" x14ac:dyDescent="0.25">
      <c r="A16" t="s">
        <v>167</v>
      </c>
      <c r="B16" s="108">
        <v>19.8</v>
      </c>
      <c r="C16" s="128">
        <v>19.26486486486489</v>
      </c>
      <c r="D16" s="128">
        <v>18.729729729729776</v>
      </c>
      <c r="E16" s="128">
        <v>18.194594594594662</v>
      </c>
      <c r="F16" s="128">
        <v>17.659459459459544</v>
      </c>
      <c r="G16" s="128">
        <v>17.124324324324427</v>
      </c>
      <c r="H16" s="128">
        <v>16.589189189189305</v>
      </c>
      <c r="I16" s="128">
        <v>16.054054054054184</v>
      </c>
      <c r="J16" s="128">
        <v>15.518918918919059</v>
      </c>
      <c r="K16" s="128">
        <v>14.983783783783933</v>
      </c>
      <c r="L16" s="128">
        <v>14.448648648648806</v>
      </c>
      <c r="M16" s="128">
        <v>13.913513513513678</v>
      </c>
      <c r="N16" s="128">
        <v>13.378378378378548</v>
      </c>
      <c r="O16" s="128">
        <v>12.843243243243418</v>
      </c>
      <c r="P16" s="128">
        <v>12.308108108108286</v>
      </c>
      <c r="Q16" s="128">
        <v>11.772972972973152</v>
      </c>
      <c r="R16" s="128">
        <v>11.237837837838018</v>
      </c>
      <c r="S16" s="128">
        <v>10.702702702702883</v>
      </c>
      <c r="T16" s="128">
        <v>10.167567567567746</v>
      </c>
      <c r="U16" s="128">
        <v>9.6324324324326085</v>
      </c>
      <c r="V16" s="128">
        <v>9.0972972972974695</v>
      </c>
      <c r="W16" s="128">
        <v>8.5621621621623287</v>
      </c>
      <c r="X16" s="128">
        <v>8.027027027027188</v>
      </c>
      <c r="Y16" s="128">
        <v>7.4918918918920454</v>
      </c>
      <c r="Z16" s="128">
        <v>6.956756756756902</v>
      </c>
      <c r="AA16" s="128">
        <v>6.4216216216217585</v>
      </c>
      <c r="AB16" s="128">
        <v>5.8864864864866142</v>
      </c>
      <c r="AC16" s="128">
        <v>5.351351351351469</v>
      </c>
      <c r="AD16" s="128">
        <v>4.8162162162163238</v>
      </c>
      <c r="AE16" s="128">
        <v>4.2810810810811777</v>
      </c>
      <c r="AF16" s="128">
        <v>3.7459459459460311</v>
      </c>
      <c r="AG16" s="128">
        <v>3.2108108108108846</v>
      </c>
      <c r="AH16" s="128">
        <v>2.6756756756757376</v>
      </c>
      <c r="AI16" s="128">
        <v>2.1405405405405906</v>
      </c>
      <c r="AJ16" s="128">
        <v>1.6054054054054432</v>
      </c>
      <c r="AK16" s="128">
        <v>1.0702702702702955</v>
      </c>
      <c r="AL16" s="128">
        <v>0.53513513513514777</v>
      </c>
      <c r="AM16" s="129">
        <v>0</v>
      </c>
    </row>
    <row r="17" spans="1:39" ht="15.75" thickBot="1" x14ac:dyDescent="0.3">
      <c r="A17" s="97" t="s">
        <v>100</v>
      </c>
      <c r="B17" s="109">
        <v>543.1922047249999</v>
      </c>
      <c r="C17" s="109">
        <v>541.55035608561025</v>
      </c>
      <c r="D17" s="109">
        <v>539.90850744622048</v>
      </c>
      <c r="E17" s="109">
        <v>538.26665880683072</v>
      </c>
      <c r="F17" s="109">
        <v>536.62481016744096</v>
      </c>
      <c r="G17" s="109">
        <v>534.98296152805108</v>
      </c>
      <c r="H17" s="109">
        <v>533.34111288866109</v>
      </c>
      <c r="I17" s="109">
        <v>531.69926424927121</v>
      </c>
      <c r="J17" s="109">
        <v>530.05741560988122</v>
      </c>
      <c r="K17" s="109">
        <v>528.41556697049111</v>
      </c>
      <c r="L17" s="109">
        <v>526.77371833110112</v>
      </c>
      <c r="M17" s="109">
        <v>525.13186969171102</v>
      </c>
      <c r="N17" s="109">
        <v>523.4900210523208</v>
      </c>
      <c r="O17" s="109">
        <v>521.84817241293069</v>
      </c>
      <c r="P17" s="109">
        <v>520.20632377354048</v>
      </c>
      <c r="Q17" s="109">
        <v>518.56447513415026</v>
      </c>
      <c r="R17" s="109">
        <v>516.92262649475992</v>
      </c>
      <c r="S17" s="109">
        <v>515.28077785536971</v>
      </c>
      <c r="T17" s="109">
        <v>513.63892921597949</v>
      </c>
      <c r="U17" s="109">
        <v>511.99708057658927</v>
      </c>
      <c r="V17" s="109">
        <v>510.35523193719899</v>
      </c>
      <c r="W17" s="109">
        <v>508.71338329780883</v>
      </c>
      <c r="X17" s="109">
        <v>507.0715346584185</v>
      </c>
      <c r="Y17" s="109">
        <v>505.42968601902828</v>
      </c>
      <c r="Z17" s="109">
        <v>503.78783737963795</v>
      </c>
      <c r="AA17" s="109">
        <v>502.14598874024762</v>
      </c>
      <c r="AB17" s="109">
        <v>500.5041401008574</v>
      </c>
      <c r="AC17" s="109">
        <v>498.86229146146707</v>
      </c>
      <c r="AD17" s="109">
        <v>497.22044282207708</v>
      </c>
      <c r="AE17" s="109">
        <v>495.57859418268686</v>
      </c>
      <c r="AF17" s="109">
        <v>493.93674554329658</v>
      </c>
      <c r="AG17" s="109">
        <v>492.29489690390642</v>
      </c>
      <c r="AH17" s="109">
        <v>490.65304826451614</v>
      </c>
      <c r="AI17" s="109">
        <v>489.0111996251261</v>
      </c>
      <c r="AJ17" s="109">
        <v>487.36935098573605</v>
      </c>
      <c r="AK17" s="109">
        <v>485.72750234634594</v>
      </c>
      <c r="AL17" s="109">
        <v>484.0856537069559</v>
      </c>
      <c r="AM17" s="130">
        <v>482.44380506756585</v>
      </c>
    </row>
    <row r="18" spans="1:39" ht="15.75" thickBot="1" x14ac:dyDescent="0.3"/>
    <row r="19" spans="1:39" x14ac:dyDescent="0.25">
      <c r="A19" s="131" t="s">
        <v>207</v>
      </c>
      <c r="B19" s="132">
        <f>B47</f>
        <v>2013</v>
      </c>
      <c r="C19" s="132">
        <f t="shared" ref="C19:AM19" si="0">C47</f>
        <v>2014</v>
      </c>
      <c r="D19" s="132">
        <f t="shared" si="0"/>
        <v>2015</v>
      </c>
      <c r="E19" s="132">
        <f t="shared" si="0"/>
        <v>2016</v>
      </c>
      <c r="F19" s="132">
        <f t="shared" si="0"/>
        <v>2017</v>
      </c>
      <c r="G19" s="132">
        <f t="shared" si="0"/>
        <v>2018</v>
      </c>
      <c r="H19" s="132">
        <f t="shared" si="0"/>
        <v>2019</v>
      </c>
      <c r="I19" s="132">
        <f t="shared" si="0"/>
        <v>2020</v>
      </c>
      <c r="J19" s="132">
        <f t="shared" si="0"/>
        <v>2021</v>
      </c>
      <c r="K19" s="132">
        <f t="shared" si="0"/>
        <v>2022</v>
      </c>
      <c r="L19" s="132">
        <f t="shared" si="0"/>
        <v>2023</v>
      </c>
      <c r="M19" s="132">
        <f t="shared" si="0"/>
        <v>2024</v>
      </c>
      <c r="N19" s="132">
        <f t="shared" si="0"/>
        <v>2025</v>
      </c>
      <c r="O19" s="132">
        <f t="shared" si="0"/>
        <v>2026</v>
      </c>
      <c r="P19" s="132">
        <f t="shared" si="0"/>
        <v>2027</v>
      </c>
      <c r="Q19" s="132">
        <f t="shared" si="0"/>
        <v>2028</v>
      </c>
      <c r="R19" s="132">
        <f t="shared" si="0"/>
        <v>2029</v>
      </c>
      <c r="S19" s="132">
        <f t="shared" si="0"/>
        <v>2030</v>
      </c>
      <c r="T19" s="132">
        <f t="shared" si="0"/>
        <v>2031</v>
      </c>
      <c r="U19" s="132">
        <f t="shared" si="0"/>
        <v>2032</v>
      </c>
      <c r="V19" s="132">
        <f t="shared" si="0"/>
        <v>2033</v>
      </c>
      <c r="W19" s="132">
        <f t="shared" si="0"/>
        <v>2034</v>
      </c>
      <c r="X19" s="132">
        <f t="shared" si="0"/>
        <v>2035</v>
      </c>
      <c r="Y19" s="132">
        <f t="shared" si="0"/>
        <v>2036</v>
      </c>
      <c r="Z19" s="132">
        <f t="shared" si="0"/>
        <v>2037</v>
      </c>
      <c r="AA19" s="132">
        <f t="shared" si="0"/>
        <v>2038</v>
      </c>
      <c r="AB19" s="132">
        <f t="shared" si="0"/>
        <v>2039</v>
      </c>
      <c r="AC19" s="132">
        <f t="shared" si="0"/>
        <v>2040</v>
      </c>
      <c r="AD19" s="132">
        <f t="shared" si="0"/>
        <v>2041</v>
      </c>
      <c r="AE19" s="132">
        <f t="shared" si="0"/>
        <v>2042</v>
      </c>
      <c r="AF19" s="132">
        <f t="shared" si="0"/>
        <v>2043</v>
      </c>
      <c r="AG19" s="132">
        <f t="shared" si="0"/>
        <v>2044</v>
      </c>
      <c r="AH19" s="132">
        <f t="shared" si="0"/>
        <v>2045</v>
      </c>
      <c r="AI19" s="132">
        <f t="shared" si="0"/>
        <v>2046</v>
      </c>
      <c r="AJ19" s="132">
        <f t="shared" si="0"/>
        <v>2047</v>
      </c>
      <c r="AK19" s="132">
        <f t="shared" si="0"/>
        <v>2048</v>
      </c>
      <c r="AL19" s="132">
        <f t="shared" si="0"/>
        <v>2049</v>
      </c>
      <c r="AM19" s="133">
        <f t="shared" si="0"/>
        <v>2050</v>
      </c>
    </row>
    <row r="20" spans="1:39" x14ac:dyDescent="0.25">
      <c r="A20" s="134" t="str">
        <f t="shared" ref="A20:A28" si="1">A48</f>
        <v>Eolien terrestre</v>
      </c>
      <c r="B20" s="139">
        <f>'Coûts annuel génération élec'!E8</f>
        <v>1272</v>
      </c>
      <c r="C20" s="140">
        <f>'Coûts annuel génération élec'!F8</f>
        <v>1798.0412630063656</v>
      </c>
      <c r="D20" s="140">
        <f>'Coûts annuel génération élec'!G8</f>
        <v>2322.8948129534242</v>
      </c>
      <c r="E20" s="140">
        <f>'Coûts annuel génération élec'!H8</f>
        <v>2843.3806498411768</v>
      </c>
      <c r="F20" s="140">
        <f>'Coûts annuel génération élec'!I8</f>
        <v>3359.4987736696221</v>
      </c>
      <c r="G20" s="140">
        <f>'Coûts annuel génération élec'!J8</f>
        <v>3871.2491844387623</v>
      </c>
      <c r="H20" s="140">
        <f>'Coûts annuel génération élec'!K8</f>
        <v>4378.6318821485957</v>
      </c>
      <c r="I20" s="140">
        <f>'Coûts annuel génération élec'!L8</f>
        <v>4881.646866799123</v>
      </c>
      <c r="J20" s="140">
        <f>'Coûts annuel génération élec'!M8</f>
        <v>5380.2941383903435</v>
      </c>
      <c r="K20" s="140">
        <f>'Coûts annuel génération élec'!N8</f>
        <v>5874.5736969222571</v>
      </c>
      <c r="L20" s="140">
        <f>'Coûts annuel génération élec'!O8</f>
        <v>6364.4855423948666</v>
      </c>
      <c r="M20" s="140">
        <f>'Coûts annuel génération élec'!P8</f>
        <v>6850.0296748081701</v>
      </c>
      <c r="N20" s="140">
        <f>'Coûts annuel génération élec'!Q8</f>
        <v>7331.2060941621685</v>
      </c>
      <c r="O20" s="140">
        <f>'Coûts annuel génération élec'!R8</f>
        <v>7808.01480045686</v>
      </c>
      <c r="P20" s="140">
        <f>'Coûts annuel génération élec'!S8</f>
        <v>8280.4557936922483</v>
      </c>
      <c r="Q20" s="140">
        <f>'Coûts annuel génération élec'!T8</f>
        <v>8748.529073868327</v>
      </c>
      <c r="R20" s="140">
        <f>'Coûts annuel génération élec'!U8</f>
        <v>9212.2346409851034</v>
      </c>
      <c r="S20" s="140">
        <f>'Coûts annuel génération élec'!V8</f>
        <v>9671.5724950425738</v>
      </c>
      <c r="T20" s="140">
        <f>'Coûts annuel génération élec'!W8</f>
        <v>10129.054071049839</v>
      </c>
      <c r="U20" s="140">
        <f>'Coûts annuel génération élec'!X8</f>
        <v>10584.679369006903</v>
      </c>
      <c r="V20" s="140">
        <f>'Coûts annuel génération élec'!Y8</f>
        <v>10978.028388913757</v>
      </c>
      <c r="W20" s="140">
        <f>'Coûts annuel génération élec'!Z8</f>
        <v>11358.197609620689</v>
      </c>
      <c r="X20" s="140">
        <f>'Coûts annuel génération élec'!AA8</f>
        <v>11739.220737286509</v>
      </c>
      <c r="Y20" s="140">
        <f>'Coûts annuel génération élec'!AB8</f>
        <v>12121.097771911234</v>
      </c>
      <c r="Z20" s="140">
        <f>'Coûts annuel génération élec'!AC8</f>
        <v>12503.828713494855</v>
      </c>
      <c r="AA20" s="140">
        <f>'Coûts annuel génération élec'!AD8</f>
        <v>12887.413562037371</v>
      </c>
      <c r="AB20" s="140">
        <f>'Coûts annuel génération élec'!AE8</f>
        <v>13271.852317538785</v>
      </c>
      <c r="AC20" s="140">
        <f>'Coûts annuel génération élec'!AF8</f>
        <v>13657.144979999091</v>
      </c>
      <c r="AD20" s="140">
        <f>'Coûts annuel génération élec'!AG8</f>
        <v>14043.291549418303</v>
      </c>
      <c r="AE20" s="140">
        <f>'Coûts annuel génération élec'!AH8</f>
        <v>14430.292025796409</v>
      </c>
      <c r="AF20" s="140">
        <f>'Coûts annuel génération élec'!AI8</f>
        <v>14818.146409133409</v>
      </c>
      <c r="AG20" s="140">
        <f>'Coûts annuel génération élec'!AJ8</f>
        <v>15206.854699429312</v>
      </c>
      <c r="AH20" s="140">
        <f>'Coûts annuel génération élec'!AK8</f>
        <v>15596.41689668411</v>
      </c>
      <c r="AI20" s="140">
        <f>'Coûts annuel génération élec'!AL8</f>
        <v>15986.833000897803</v>
      </c>
      <c r="AJ20" s="140">
        <f>'Coûts annuel génération élec'!AM8</f>
        <v>16378.103012070394</v>
      </c>
      <c r="AK20" s="140">
        <f>'Coûts annuel génération élec'!AN8</f>
        <v>16770.226930201883</v>
      </c>
      <c r="AL20" s="140">
        <f>'Coûts annuel génération élec'!AO8</f>
        <v>17163.204755292274</v>
      </c>
      <c r="AM20" s="139">
        <f>'Coûts annuel génération élec'!AP8</f>
        <v>17557.03648734156</v>
      </c>
    </row>
    <row r="21" spans="1:39" x14ac:dyDescent="0.25">
      <c r="A21" s="134" t="str">
        <f t="shared" si="1"/>
        <v>Eolien en mer</v>
      </c>
      <c r="B21" s="139">
        <f>'Coûts annuel génération élec'!E12</f>
        <v>0</v>
      </c>
      <c r="C21" s="140">
        <f>'Coûts annuel génération élec'!F12</f>
        <v>0</v>
      </c>
      <c r="D21" s="140">
        <f>'Coûts annuel génération élec'!G12</f>
        <v>0</v>
      </c>
      <c r="E21" s="140">
        <f>'Coûts annuel génération élec'!H12</f>
        <v>0</v>
      </c>
      <c r="F21" s="140">
        <f>'Coûts annuel génération élec'!I12</f>
        <v>0</v>
      </c>
      <c r="G21" s="140">
        <f>'Coûts annuel génération élec'!J12</f>
        <v>252.43551931188281</v>
      </c>
      <c r="H21" s="140">
        <f>'Coûts annuel génération élec'!K12</f>
        <v>498.76820189314867</v>
      </c>
      <c r="I21" s="140">
        <f>'Coûts annuel génération élec'!L12</f>
        <v>738.99804774379777</v>
      </c>
      <c r="J21" s="140">
        <f>'Coûts annuel génération élec'!M12</f>
        <v>973.12505686382985</v>
      </c>
      <c r="K21" s="140">
        <f>'Coûts annuel génération élec'!N12</f>
        <v>1201.149229253245</v>
      </c>
      <c r="L21" s="140">
        <f>'Coûts annuel génération élec'!O12</f>
        <v>1423.0705649120434</v>
      </c>
      <c r="M21" s="140">
        <f>'Coûts annuel génération élec'!P12</f>
        <v>1552.5616642689527</v>
      </c>
      <c r="N21" s="140">
        <f>'Coûts annuel génération élec'!Q12</f>
        <v>1678.391061587492</v>
      </c>
      <c r="O21" s="140">
        <f>'Coûts annuel génération élec'!R12</f>
        <v>1800.558756867661</v>
      </c>
      <c r="P21" s="140">
        <f>'Coûts annuel génération élec'!S12</f>
        <v>1919.06475010946</v>
      </c>
      <c r="Q21" s="140">
        <f>'Coûts annuel génération élec'!T12</f>
        <v>2033.9090413128888</v>
      </c>
      <c r="R21" s="140">
        <f>'Coûts annuel génération élec'!U12</f>
        <v>2145.0916304779475</v>
      </c>
      <c r="S21" s="140">
        <f>'Coûts annuel génération élec'!V12</f>
        <v>2252.6125176046367</v>
      </c>
      <c r="T21" s="140">
        <f>'Coûts annuel génération élec'!W12</f>
        <v>2359.2845556224306</v>
      </c>
      <c r="U21" s="140">
        <f>'Coûts annuel génération élec'!X12</f>
        <v>2465.1077445313304</v>
      </c>
      <c r="V21" s="140">
        <f>'Coûts annuel génération élec'!Y12</f>
        <v>2570.0820843313354</v>
      </c>
      <c r="W21" s="140">
        <f>'Coûts annuel génération élec'!Z12</f>
        <v>2674.2075750224458</v>
      </c>
      <c r="X21" s="140">
        <f>'Coûts annuel génération élec'!AA12</f>
        <v>2777.484216604661</v>
      </c>
      <c r="Y21" s="140">
        <f>'Coûts annuel génération élec'!AB12</f>
        <v>2879.912009077982</v>
      </c>
      <c r="Z21" s="140">
        <f>'Coûts annuel génération élec'!AC12</f>
        <v>2981.4909524424083</v>
      </c>
      <c r="AA21" s="140">
        <f>'Coûts annuel génération élec'!AD12</f>
        <v>2997.6690178119379</v>
      </c>
      <c r="AB21" s="140">
        <f>'Coûts annuel génération élec'!AE12</f>
        <v>3017.6863222883653</v>
      </c>
      <c r="AC21" s="140">
        <f>'Coûts annuel génération élec'!AF12</f>
        <v>3041.5428658716901</v>
      </c>
      <c r="AD21" s="140">
        <f>'Coûts annuel génération élec'!AG12</f>
        <v>3069.2386485619118</v>
      </c>
      <c r="AE21" s="140">
        <f>'Coûts annuel génération élec'!AH12</f>
        <v>3100.7736703590308</v>
      </c>
      <c r="AF21" s="140">
        <f>'Coûts annuel génération élec'!AI12</f>
        <v>3136.1479312630477</v>
      </c>
      <c r="AG21" s="140">
        <f>'Coûts annuel génération élec'!AJ12</f>
        <v>3197.930831110461</v>
      </c>
      <c r="AH21" s="140">
        <f>'Coûts annuel génération élec'!AK12</f>
        <v>3261.6777347784559</v>
      </c>
      <c r="AI21" s="140">
        <f>'Coûts annuel génération élec'!AL12</f>
        <v>3327.3886422670312</v>
      </c>
      <c r="AJ21" s="140">
        <f>'Coûts annuel génération élec'!AM12</f>
        <v>3395.0635535761862</v>
      </c>
      <c r="AK21" s="140">
        <f>'Coûts annuel génération élec'!AN12</f>
        <v>3464.7024687059238</v>
      </c>
      <c r="AL21" s="140">
        <f>'Coûts annuel génération élec'!AO12</f>
        <v>3536.3053876562399</v>
      </c>
      <c r="AM21" s="139">
        <f>'Coûts annuel génération élec'!AP12</f>
        <v>3609.8723104271367</v>
      </c>
    </row>
    <row r="22" spans="1:39" x14ac:dyDescent="0.25">
      <c r="A22" s="134" t="str">
        <f t="shared" si="1"/>
        <v>Solaire</v>
      </c>
      <c r="B22" s="139">
        <f>'Coûts annuel génération élec'!E17</f>
        <v>825.56192536506228</v>
      </c>
      <c r="C22" s="140">
        <f>'Coûts annuel génération élec'!F17</f>
        <v>1192.9435761030027</v>
      </c>
      <c r="D22" s="140">
        <f>'Coûts annuel génération élec'!G17</f>
        <v>1551.8627223963872</v>
      </c>
      <c r="E22" s="140">
        <f>'Coûts annuel génération élec'!H17</f>
        <v>1902.3193642452156</v>
      </c>
      <c r="F22" s="140">
        <f>'Coûts annuel génération élec'!I17</f>
        <v>2244.3135016494884</v>
      </c>
      <c r="G22" s="140">
        <f>'Coûts annuel génération élec'!J17</f>
        <v>2577.8451346092047</v>
      </c>
      <c r="H22" s="140">
        <f>'Coûts annuel génération élec'!K17</f>
        <v>2902.9142631243649</v>
      </c>
      <c r="I22" s="140">
        <f>'Coûts annuel génération élec'!L17</f>
        <v>3219.520887194969</v>
      </c>
      <c r="J22" s="140">
        <f>'Coûts annuel génération élec'!M17</f>
        <v>3527.6650068210183</v>
      </c>
      <c r="K22" s="140">
        <f>'Coûts annuel génération élec'!N17</f>
        <v>3827.3466220025102</v>
      </c>
      <c r="L22" s="140">
        <f>'Coûts annuel génération élec'!O17</f>
        <v>4118.5657327394474</v>
      </c>
      <c r="M22" s="140">
        <f>'Coûts annuel génération élec'!P17</f>
        <v>4401.3223390318271</v>
      </c>
      <c r="N22" s="140">
        <f>'Coûts annuel génération élec'!Q17</f>
        <v>4675.6164408796521</v>
      </c>
      <c r="O22" s="140">
        <f>'Coûts annuel génération élec'!R17</f>
        <v>4941.4480382829188</v>
      </c>
      <c r="P22" s="140">
        <f>'Coûts annuel génération élec'!S17</f>
        <v>5198.8171312416307</v>
      </c>
      <c r="Q22" s="140">
        <f>'Coûts annuel génération élec'!T17</f>
        <v>5447.7237197557861</v>
      </c>
      <c r="R22" s="140">
        <f>'Coûts annuel génération élec'!U17</f>
        <v>5688.167803825384</v>
      </c>
      <c r="S22" s="140">
        <f>'Coûts annuel génération élec'!V17</f>
        <v>5920.1493834504272</v>
      </c>
      <c r="T22" s="140">
        <f>'Coûts annuel génération élec'!W17</f>
        <v>6146.9267810862275</v>
      </c>
      <c r="U22" s="140">
        <f>'Coûts annuel génération élec'!X17</f>
        <v>6368.4999967327822</v>
      </c>
      <c r="V22" s="140">
        <f>'Coûts annuel génération élec'!Y17</f>
        <v>6584.869030390093</v>
      </c>
      <c r="W22" s="140">
        <f>'Coûts annuel génération élec'!Z17</f>
        <v>6796.0338820581601</v>
      </c>
      <c r="X22" s="140">
        <f>'Coûts annuel génération élec'!AA17</f>
        <v>7001.9945517369824</v>
      </c>
      <c r="Y22" s="140">
        <f>'Coûts annuel génération élec'!AB17</f>
        <v>7202.751039426561</v>
      </c>
      <c r="Z22" s="140">
        <f>'Coûts annuel génération élec'!AC17</f>
        <v>7398.3033451268957</v>
      </c>
      <c r="AA22" s="140">
        <f>'Coûts annuel génération élec'!AD17</f>
        <v>7588.6514688379857</v>
      </c>
      <c r="AB22" s="140">
        <f>'Coûts annuel génération élec'!AE17</f>
        <v>7606.9597738083339</v>
      </c>
      <c r="AC22" s="140">
        <f>'Coûts annuel génération élec'!AF17</f>
        <v>7623.7425396294075</v>
      </c>
      <c r="AD22" s="140">
        <f>'Coûts annuel génération élec'!AG17</f>
        <v>7638.9997663012082</v>
      </c>
      <c r="AE22" s="140">
        <f>'Coûts annuel génération élec'!AH17</f>
        <v>7652.731453823736</v>
      </c>
      <c r="AF22" s="140">
        <f>'Coûts annuel génération élec'!AI17</f>
        <v>7664.9376021969911</v>
      </c>
      <c r="AG22" s="140">
        <f>'Coûts annuel génération élec'!AJ17</f>
        <v>7675.6182114209714</v>
      </c>
      <c r="AH22" s="140">
        <f>'Coûts annuel génération élec'!AK17</f>
        <v>7684.7732814956807</v>
      </c>
      <c r="AI22" s="140">
        <f>'Coûts annuel génération élec'!AL17</f>
        <v>7692.4028124211172</v>
      </c>
      <c r="AJ22" s="140">
        <f>'Coûts annuel génération élec'!AM17</f>
        <v>7698.5068041972791</v>
      </c>
      <c r="AK22" s="140">
        <f>'Coûts annuel génération élec'!AN17</f>
        <v>7703.0852568241698</v>
      </c>
      <c r="AL22" s="140">
        <f>'Coûts annuel génération élec'!AO17</f>
        <v>7706.138170301786</v>
      </c>
      <c r="AM22" s="139">
        <f>'Coûts annuel génération élec'!AP17</f>
        <v>7707.6655446301302</v>
      </c>
    </row>
    <row r="23" spans="1:39" x14ac:dyDescent="0.25">
      <c r="A23" s="134" t="str">
        <f t="shared" si="1"/>
        <v>Méthanisation</v>
      </c>
      <c r="B23" s="139">
        <f>'Coûts annuel génération élec'!E32</f>
        <v>225</v>
      </c>
      <c r="C23" s="140">
        <f>'Coûts annuel génération élec'!F32</f>
        <v>250.7400897066567</v>
      </c>
      <c r="D23" s="140">
        <f>'Coûts annuel génération élec'!G32</f>
        <v>276.30287761918026</v>
      </c>
      <c r="E23" s="140">
        <f>'Coûts annuel génération élec'!H32</f>
        <v>301.12586373757068</v>
      </c>
      <c r="F23" s="140">
        <f>'Coûts annuel génération élec'!I32</f>
        <v>325.20904806182796</v>
      </c>
      <c r="G23" s="140">
        <f>'Coûts annuel génération élec'!J32</f>
        <v>348.55243059195209</v>
      </c>
      <c r="H23" s="140">
        <f>'Coûts annuel génération élec'!K32</f>
        <v>371.15601132794313</v>
      </c>
      <c r="I23" s="140">
        <f>'Coûts annuel génération élec'!L32</f>
        <v>393.01979026980121</v>
      </c>
      <c r="J23" s="140">
        <f>'Coûts annuel génération élec'!M32</f>
        <v>414.14376741752602</v>
      </c>
      <c r="K23" s="140">
        <f>'Coûts annuel génération élec'!N32</f>
        <v>434.52794277111775</v>
      </c>
      <c r="L23" s="140">
        <f>'Coûts annuel génération élec'!O32</f>
        <v>454.17231633057645</v>
      </c>
      <c r="M23" s="140">
        <f>'Coûts annuel génération élec'!P32</f>
        <v>473.07688809590206</v>
      </c>
      <c r="N23" s="140">
        <f>'Coûts annuel génération élec'!Q32</f>
        <v>491.24165806709453</v>
      </c>
      <c r="O23" s="140">
        <f>'Coûts annuel génération élec'!R32</f>
        <v>508.66662624415392</v>
      </c>
      <c r="P23" s="140">
        <f>'Coûts annuel génération élec'!S32</f>
        <v>525.35179262708016</v>
      </c>
      <c r="Q23" s="140">
        <f>'Coûts annuel génération élec'!T32</f>
        <v>541.29715721587343</v>
      </c>
      <c r="R23" s="140">
        <f>'Coûts annuel génération élec'!U32</f>
        <v>556.50272001053361</v>
      </c>
      <c r="S23" s="140">
        <f>'Coûts annuel génération élec'!V32</f>
        <v>570.96848101106059</v>
      </c>
      <c r="T23" s="140">
        <f>'Coûts annuel génération élec'!W32</f>
        <v>584.8054104865746</v>
      </c>
      <c r="U23" s="140">
        <f>'Coûts annuel génération élec'!X32</f>
        <v>598.0135084370753</v>
      </c>
      <c r="V23" s="140">
        <f>'Coûts annuel génération élec'!Y32</f>
        <v>599.90527486256292</v>
      </c>
      <c r="W23" s="140">
        <f>'Coûts annuel génération élec'!Z32</f>
        <v>601.4410549568546</v>
      </c>
      <c r="X23" s="140">
        <f>'Coûts annuel génération élec'!AA32</f>
        <v>602.64647379525309</v>
      </c>
      <c r="Y23" s="140">
        <f>'Coûts annuel génération élec'!AB32</f>
        <v>603.52153137775838</v>
      </c>
      <c r="Z23" s="140">
        <f>'Coûts annuel génération élec'!AC32</f>
        <v>604.06622770437036</v>
      </c>
      <c r="AA23" s="140">
        <f>'Coûts annuel génération élec'!AD32</f>
        <v>604.28056277508927</v>
      </c>
      <c r="AB23" s="140">
        <f>'Coûts annuel génération élec'!AE32</f>
        <v>604.16453658991509</v>
      </c>
      <c r="AC23" s="140">
        <f>'Coûts annuel génération élec'!AF32</f>
        <v>603.71814914884771</v>
      </c>
      <c r="AD23" s="140">
        <f>'Coûts annuel génération élec'!AG32</f>
        <v>602.94140045188703</v>
      </c>
      <c r="AE23" s="140">
        <f>'Coûts annuel génération élec'!AH32</f>
        <v>601.83429049903316</v>
      </c>
      <c r="AF23" s="140">
        <f>'Coûts annuel génération élec'!AI32</f>
        <v>600.39681929028609</v>
      </c>
      <c r="AG23" s="140">
        <f>'Coûts annuel génération élec'!AJ32</f>
        <v>598.62898682564594</v>
      </c>
      <c r="AH23" s="140">
        <f>'Coûts annuel génération élec'!AK32</f>
        <v>596.53079310511259</v>
      </c>
      <c r="AI23" s="140">
        <f>'Coûts annuel génération élec'!AL32</f>
        <v>594.10223812868594</v>
      </c>
      <c r="AJ23" s="140">
        <f>'Coûts annuel génération élec'!AM32</f>
        <v>591.34332189636598</v>
      </c>
      <c r="AK23" s="140">
        <f>'Coûts annuel génération élec'!AN32</f>
        <v>588.25404440815305</v>
      </c>
      <c r="AL23" s="140">
        <f>'Coûts annuel génération élec'!AO32</f>
        <v>584.83440566404681</v>
      </c>
      <c r="AM23" s="139">
        <f>'Coûts annuel génération élec'!AP32</f>
        <v>581.08440566404749</v>
      </c>
    </row>
    <row r="24" spans="1:39" x14ac:dyDescent="0.25">
      <c r="A24" s="134" t="str">
        <f t="shared" si="1"/>
        <v>UIOM</v>
      </c>
      <c r="B24" s="139">
        <f>'Coûts annuel génération élec'!E28</f>
        <v>128.18202210000004</v>
      </c>
      <c r="C24" s="140">
        <f>'Coûts annuel génération élec'!F28</f>
        <v>130.81435663783756</v>
      </c>
      <c r="D24" s="140">
        <f>'Coûts annuel génération élec'!G28</f>
        <v>133.44669117567511</v>
      </c>
      <c r="E24" s="140">
        <f>'Coûts annuel génération élec'!H28</f>
        <v>136.07902571351269</v>
      </c>
      <c r="F24" s="140">
        <f>'Coûts annuel génération élec'!I28</f>
        <v>138.71136025135024</v>
      </c>
      <c r="G24" s="140">
        <f>'Coûts annuel génération élec'!J28</f>
        <v>141.34369478918782</v>
      </c>
      <c r="H24" s="140">
        <f>'Coûts annuel génération élec'!K28</f>
        <v>143.9760293270254</v>
      </c>
      <c r="I24" s="140">
        <f>'Coûts annuel génération élec'!L28</f>
        <v>146.60836386486304</v>
      </c>
      <c r="J24" s="140">
        <f>'Coûts annuel génération élec'!M28</f>
        <v>149.24069840270067</v>
      </c>
      <c r="K24" s="140">
        <f>'Coûts annuel génération élec'!N28</f>
        <v>151.87303294053831</v>
      </c>
      <c r="L24" s="140">
        <f>'Coûts annuel génération élec'!O28</f>
        <v>154.50536747837597</v>
      </c>
      <c r="M24" s="140">
        <f>'Coûts annuel génération élec'!P28</f>
        <v>157.13770201621367</v>
      </c>
      <c r="N24" s="140">
        <f>'Coûts annuel génération élec'!Q28</f>
        <v>159.77003655405136</v>
      </c>
      <c r="O24" s="140">
        <f>'Coûts annuel génération élec'!R28</f>
        <v>162.40237109188908</v>
      </c>
      <c r="P24" s="140">
        <f>'Coûts annuel génération élec'!S28</f>
        <v>165.03470562972683</v>
      </c>
      <c r="Q24" s="140">
        <f>'Coûts annuel génération élec'!T28</f>
        <v>167.66704016756458</v>
      </c>
      <c r="R24" s="140">
        <f>'Coûts annuel génération élec'!U28</f>
        <v>170.29937470540236</v>
      </c>
      <c r="S24" s="140">
        <f>'Coûts annuel génération élec'!V28</f>
        <v>172.93170924324016</v>
      </c>
      <c r="T24" s="140">
        <f>'Coûts annuel génération élec'!W28</f>
        <v>175.56404378107794</v>
      </c>
      <c r="U24" s="140">
        <f>'Coûts annuel génération élec'!X28</f>
        <v>178.19637831891578</v>
      </c>
      <c r="V24" s="140">
        <f>'Coûts annuel génération élec'!Y28</f>
        <v>180.82871285675364</v>
      </c>
      <c r="W24" s="140">
        <f>'Coûts annuel génération élec'!Z28</f>
        <v>183.4610473945915</v>
      </c>
      <c r="X24" s="140">
        <f>'Coûts annuel génération élec'!AA28</f>
        <v>186.09338193242937</v>
      </c>
      <c r="Y24" s="140">
        <f>'Coûts annuel génération élec'!AB28</f>
        <v>188.72571647026729</v>
      </c>
      <c r="Z24" s="140">
        <f>'Coûts annuel génération élec'!AC28</f>
        <v>191.35805100810518</v>
      </c>
      <c r="AA24" s="140">
        <f>'Coûts annuel génération élec'!AD28</f>
        <v>193.99038554594313</v>
      </c>
      <c r="AB24" s="140">
        <f>'Coûts annuel génération élec'!AE28</f>
        <v>196.62272008378108</v>
      </c>
      <c r="AC24" s="140">
        <f>'Coûts annuel génération élec'!AF28</f>
        <v>199.25505462161908</v>
      </c>
      <c r="AD24" s="140">
        <f>'Coûts annuel génération élec'!AG28</f>
        <v>201.88738915945706</v>
      </c>
      <c r="AE24" s="140">
        <f>'Coûts annuel génération élec'!AH28</f>
        <v>204.51972369729506</v>
      </c>
      <c r="AF24" s="140">
        <f>'Coûts annuel génération élec'!AI28</f>
        <v>207.1520582351331</v>
      </c>
      <c r="AG24" s="140">
        <f>'Coûts annuel génération élec'!AJ28</f>
        <v>209.78439277297113</v>
      </c>
      <c r="AH24" s="140">
        <f>'Coûts annuel génération élec'!AK28</f>
        <v>212.41672731080922</v>
      </c>
      <c r="AI24" s="140">
        <f>'Coûts annuel génération élec'!AL28</f>
        <v>215.04906184864728</v>
      </c>
      <c r="AJ24" s="140">
        <f>'Coûts annuel génération élec'!AM28</f>
        <v>217.68139638648535</v>
      </c>
      <c r="AK24" s="140">
        <f>'Coûts annuel génération élec'!AN28</f>
        <v>220.31373092432352</v>
      </c>
      <c r="AL24" s="140">
        <f>'Coûts annuel génération élec'!AO28</f>
        <v>222.94606546216164</v>
      </c>
      <c r="AM24" s="139">
        <f>'Coûts annuel génération élec'!AP28</f>
        <v>225.57839999999979</v>
      </c>
    </row>
    <row r="25" spans="1:39" x14ac:dyDescent="0.25">
      <c r="A25" s="134" t="str">
        <f t="shared" si="1"/>
        <v>Bois énergie</v>
      </c>
      <c r="B25" s="139">
        <f>'Coûts annuel génération élec'!E23</f>
        <v>119.28925890000002</v>
      </c>
      <c r="C25" s="140">
        <f>'Coûts annuel génération élec'!F23</f>
        <v>158.71698096943271</v>
      </c>
      <c r="D25" s="140">
        <f>'Coûts annuel génération élec'!G23</f>
        <v>198.14470303886537</v>
      </c>
      <c r="E25" s="140">
        <f>'Coûts annuel génération élec'!H23</f>
        <v>237.57242510829803</v>
      </c>
      <c r="F25" s="140">
        <f>'Coûts annuel génération élec'!I23</f>
        <v>277.00014717773075</v>
      </c>
      <c r="G25" s="140">
        <f>'Coûts annuel génération élec'!J23</f>
        <v>316.42786924716353</v>
      </c>
      <c r="H25" s="140">
        <f>'Coûts annuel génération élec'!K23</f>
        <v>355.85559131659625</v>
      </c>
      <c r="I25" s="140">
        <f>'Coûts annuel génération élec'!L23</f>
        <v>395.28331338602902</v>
      </c>
      <c r="J25" s="140">
        <f>'Coûts annuel génération élec'!M23</f>
        <v>434.71103545546197</v>
      </c>
      <c r="K25" s="140">
        <f>'Coûts annuel génération élec'!N23</f>
        <v>474.1387575248948</v>
      </c>
      <c r="L25" s="140">
        <f>'Coûts annuel génération élec'!O23</f>
        <v>513.56647959432769</v>
      </c>
      <c r="M25" s="140">
        <f>'Coûts annuel génération élec'!P23</f>
        <v>552.99420166376069</v>
      </c>
      <c r="N25" s="140">
        <f>'Coûts annuel génération élec'!Q23</f>
        <v>592.42192373319369</v>
      </c>
      <c r="O25" s="140">
        <f>'Coûts annuel génération élec'!R23</f>
        <v>631.8496458026267</v>
      </c>
      <c r="P25" s="140">
        <f>'Coûts annuel génération élec'!S23</f>
        <v>671.27736787205981</v>
      </c>
      <c r="Q25" s="140">
        <f>'Coûts annuel génération élec'!T23</f>
        <v>710.70508994149316</v>
      </c>
      <c r="R25" s="140">
        <f>'Coûts annuel génération élec'!U23</f>
        <v>750.1328120109265</v>
      </c>
      <c r="S25" s="140">
        <f>'Coûts annuel génération élec'!V23</f>
        <v>789.56053408035996</v>
      </c>
      <c r="T25" s="140">
        <f>'Coûts annuel génération élec'!W23</f>
        <v>828.98825614979341</v>
      </c>
      <c r="U25" s="140">
        <f>'Coûts annuel génération élec'!X23</f>
        <v>868.41597821922699</v>
      </c>
      <c r="V25" s="140">
        <f>'Coûts annuel génération élec'!Y23</f>
        <v>907.84370028866056</v>
      </c>
      <c r="W25" s="140">
        <f>'Coûts annuel génération élec'!Z23</f>
        <v>947.27142235809424</v>
      </c>
      <c r="X25" s="140">
        <f>'Coûts annuel génération élec'!AA23</f>
        <v>986.69914442752793</v>
      </c>
      <c r="Y25" s="140">
        <f>'Coûts annuel génération élec'!AB23</f>
        <v>1026.1268664969618</v>
      </c>
      <c r="Z25" s="140">
        <f>'Coûts annuel génération élec'!AC23</f>
        <v>1065.5545885663958</v>
      </c>
      <c r="AA25" s="140">
        <f>'Coûts annuel génération élec'!AD23</f>
        <v>1104.9823106358299</v>
      </c>
      <c r="AB25" s="140">
        <f>'Coûts annuel génération élec'!AE23</f>
        <v>1144.410032705264</v>
      </c>
      <c r="AC25" s="140">
        <f>'Coûts annuel génération élec'!AF23</f>
        <v>1183.8377547746982</v>
      </c>
      <c r="AD25" s="140">
        <f>'Coûts annuel génération élec'!AG23</f>
        <v>1223.2654768441325</v>
      </c>
      <c r="AE25" s="140">
        <f>'Coûts annuel génération élec'!AH23</f>
        <v>1262.6931989135669</v>
      </c>
      <c r="AF25" s="140">
        <f>'Coûts annuel génération élec'!AI23</f>
        <v>1302.1209209830017</v>
      </c>
      <c r="AG25" s="140">
        <f>'Coûts annuel génération élec'!AJ23</f>
        <v>1341.5486430524365</v>
      </c>
      <c r="AH25" s="140">
        <f>'Coûts annuel génération élec'!AK23</f>
        <v>1380.9763651218714</v>
      </c>
      <c r="AI25" s="140">
        <f>'Coûts annuel génération élec'!AL23</f>
        <v>1420.4040871913066</v>
      </c>
      <c r="AJ25" s="140">
        <f>'Coûts annuel génération élec'!AM23</f>
        <v>1459.8318092607417</v>
      </c>
      <c r="AK25" s="140">
        <f>'Coûts annuel génération élec'!AN23</f>
        <v>1499.2595313301774</v>
      </c>
      <c r="AL25" s="140">
        <f>'Coûts annuel génération élec'!AO23</f>
        <v>1538.6872533996129</v>
      </c>
      <c r="AM25" s="139">
        <f>'Coûts annuel génération élec'!AP23</f>
        <v>1578.1149754690489</v>
      </c>
    </row>
    <row r="26" spans="1:39" x14ac:dyDescent="0.25">
      <c r="A26" s="134" t="str">
        <f t="shared" si="1"/>
        <v>Hydroélectricité</v>
      </c>
      <c r="B26" s="139">
        <f>'Coûts annuel génération élec'!E49</f>
        <v>5167.2261685953299</v>
      </c>
      <c r="C26" s="140">
        <f>'Coûts annuel génération élec'!F49</f>
        <v>5151.5404501930279</v>
      </c>
      <c r="D26" s="140">
        <f>'Coûts annuel génération élec'!G49</f>
        <v>5134.9567939112085</v>
      </c>
      <c r="E26" s="140">
        <f>'Coûts annuel génération élec'!H49</f>
        <v>5117.4752020051701</v>
      </c>
      <c r="F26" s="140">
        <f>'Coûts annuel génération élec'!I49</f>
        <v>5099.0956773119615</v>
      </c>
      <c r="G26" s="140">
        <f>'Coûts annuel génération élec'!J49</f>
        <v>5079.8182231349465</v>
      </c>
      <c r="H26" s="140">
        <f>'Coûts annuel génération élec'!K49</f>
        <v>5059.6428431165332</v>
      </c>
      <c r="I26" s="140">
        <f>'Coûts annuel génération élec'!L49</f>
        <v>5038.5695411037414</v>
      </c>
      <c r="J26" s="140">
        <f>'Coûts annuel génération élec'!M49</f>
        <v>5016.5983210113982</v>
      </c>
      <c r="K26" s="140">
        <f>'Coûts annuel génération élec'!N49</f>
        <v>4993.7291866876758</v>
      </c>
      <c r="L26" s="140">
        <f>'Coûts annuel génération élec'!O49</f>
        <v>4969.9621417864118</v>
      </c>
      <c r="M26" s="140">
        <f>'Coûts annuel génération élec'!P49</f>
        <v>4945.2971896503004</v>
      </c>
      <c r="N26" s="140">
        <f>'Coûts annuel génération élec'!Q49</f>
        <v>4919.7343332085356</v>
      </c>
      <c r="O26" s="140">
        <f>'Coûts annuel génération élec'!R49</f>
        <v>4893.2735748918749</v>
      </c>
      <c r="P26" s="140">
        <f>'Coûts annuel génération élec'!S49</f>
        <v>4865.9149165673907</v>
      </c>
      <c r="Q26" s="140">
        <f>'Coûts annuel génération élec'!T49</f>
        <v>4837.6583594944686</v>
      </c>
      <c r="R26" s="140">
        <f>'Coûts annuel génération élec'!U49</f>
        <v>4808.5039043028028</v>
      </c>
      <c r="S26" s="140">
        <f>'Coûts annuel génération élec'!V49</f>
        <v>4778.451550992394</v>
      </c>
      <c r="T26" s="140">
        <f>'Coûts annuel génération élec'!W49</f>
        <v>4748.3982121037316</v>
      </c>
      <c r="U26" s="140">
        <f>'Coûts annuel génération élec'!X49</f>
        <v>4718.3439358744481</v>
      </c>
      <c r="V26" s="140">
        <f>'Coûts annuel génération élec'!Y49</f>
        <v>4688.288792300079</v>
      </c>
      <c r="W26" s="140">
        <f>'Coûts annuel génération élec'!Z49</f>
        <v>4658.2328708886844</v>
      </c>
      <c r="X26" s="140">
        <f>'Coûts annuel génération élec'!AA49</f>
        <v>4628.1762779929395</v>
      </c>
      <c r="Y26" s="140">
        <f>'Coûts annuel génération élec'!AB49</f>
        <v>4598.1191337952741</v>
      </c>
      <c r="Z26" s="140">
        <f>'Coûts annuel génération élec'!AC49</f>
        <v>4568.0615690283612</v>
      </c>
      <c r="AA26" s="140">
        <f>'Coûts annuel génération élec'!AD49</f>
        <v>4538.0037215176817</v>
      </c>
      <c r="AB26" s="140">
        <f>'Coûts annuel génération élec'!AE49</f>
        <v>4507.9457326351203</v>
      </c>
      <c r="AC26" s="140">
        <f>'Coûts annuel génération élec'!AF49</f>
        <v>4477.887743752558</v>
      </c>
      <c r="AD26" s="140">
        <f>'Coûts annuel génération élec'!AG49</f>
        <v>4447.8298927822625</v>
      </c>
      <c r="AE26" s="140">
        <f>'Coûts annuel génération élec'!AH49</f>
        <v>4417.7723108865921</v>
      </c>
      <c r="AF26" s="140">
        <f>'Coûts annuel génération élec'!AI49</f>
        <v>4387.7151194334137</v>
      </c>
      <c r="AG26" s="140">
        <f>'Coûts annuel génération élec'!AJ49</f>
        <v>4359.9904021436478</v>
      </c>
      <c r="AH26" s="140">
        <f>'Coûts annuel génération élec'!AK49</f>
        <v>4338.0754673739712</v>
      </c>
      <c r="AI26" s="140">
        <f>'Coûts annuel génération élec'!AL49</f>
        <v>4317.0590564642525</v>
      </c>
      <c r="AJ26" s="140">
        <f>'Coûts annuel génération élec'!AM49</f>
        <v>4296.9412187945918</v>
      </c>
      <c r="AK26" s="140">
        <f>'Coûts annuel génération élec'!AN49</f>
        <v>4277.7219865268235</v>
      </c>
      <c r="AL26" s="140">
        <f>'Coûts annuel génération élec'!AO49</f>
        <v>4259.4013742706957</v>
      </c>
      <c r="AM26" s="139">
        <f>'Coûts annuel génération élec'!AP49</f>
        <v>4241.9793791832126</v>
      </c>
    </row>
    <row r="27" spans="1:39" x14ac:dyDescent="0.25">
      <c r="A27" s="134" t="str">
        <f t="shared" si="1"/>
        <v>Géothermie</v>
      </c>
      <c r="B27" s="139">
        <f>'Coûts annuel génération élec'!E43</f>
        <v>0.69747436000000018</v>
      </c>
      <c r="C27" s="140">
        <f>'Coûts annuel génération élec'!F43</f>
        <v>2.5328993772972535</v>
      </c>
      <c r="D27" s="140">
        <f>'Coûts annuel génération élec'!G43</f>
        <v>4.3700680804945069</v>
      </c>
      <c r="E27" s="140">
        <f>'Coûts annuel génération élec'!H43</f>
        <v>6.2072367836917568</v>
      </c>
      <c r="F27" s="140">
        <f>'Coûts annuel génération élec'!I43</f>
        <v>8.0444054868890102</v>
      </c>
      <c r="G27" s="140">
        <f>'Coûts annuel génération élec'!J43</f>
        <v>9.8815741900862619</v>
      </c>
      <c r="H27" s="140">
        <f>'Coûts annuel génération élec'!K43</f>
        <v>11.718742893283515</v>
      </c>
      <c r="I27" s="140">
        <f>'Coûts annuel génération élec'!L43</f>
        <v>13.555911596480769</v>
      </c>
      <c r="J27" s="140">
        <f>'Coûts annuel génération élec'!M43</f>
        <v>15.393080299678026</v>
      </c>
      <c r="K27" s="140">
        <f>'Coûts annuel génération élec'!N43</f>
        <v>17.230249002875279</v>
      </c>
      <c r="L27" s="140">
        <f>'Coûts annuel génération élec'!O43</f>
        <v>19.067417706072543</v>
      </c>
      <c r="M27" s="140">
        <f>'Coûts annuel génération élec'!P43</f>
        <v>20.904586409269804</v>
      </c>
      <c r="N27" s="140">
        <f>'Coûts annuel génération élec'!Q43</f>
        <v>22.741755112467064</v>
      </c>
      <c r="O27" s="140">
        <f>'Coûts annuel génération élec'!R43</f>
        <v>24.578923815664332</v>
      </c>
      <c r="P27" s="140">
        <f>'Coûts annuel génération élec'!S43</f>
        <v>26.416092518861596</v>
      </c>
      <c r="Q27" s="140">
        <f>'Coûts annuel génération élec'!T43</f>
        <v>28.253261222058875</v>
      </c>
      <c r="R27" s="140">
        <f>'Coûts annuel génération élec'!U43</f>
        <v>30.090429925256149</v>
      </c>
      <c r="S27" s="140">
        <f>'Coûts annuel génération élec'!V43</f>
        <v>31.927598628453431</v>
      </c>
      <c r="T27" s="140">
        <f>'Coûts annuel génération élec'!W43</f>
        <v>33.76476733165071</v>
      </c>
      <c r="U27" s="140">
        <f>'Coûts annuel génération élec'!X43</f>
        <v>35.601936034848002</v>
      </c>
      <c r="V27" s="140">
        <f>'Coûts annuel génération élec'!Y43</f>
        <v>37.405974705945283</v>
      </c>
      <c r="W27" s="140">
        <f>'Coûts annuel génération élec'!Z43</f>
        <v>39.241399723242573</v>
      </c>
      <c r="X27" s="140">
        <f>'Coûts annuel génération élec'!AA43</f>
        <v>41.07682474053987</v>
      </c>
      <c r="Y27" s="140">
        <f>'Coûts annuel génération élec'!AB43</f>
        <v>42.912249757837166</v>
      </c>
      <c r="Z27" s="140">
        <f>'Coûts annuel génération élec'!AC43</f>
        <v>44.74767477513447</v>
      </c>
      <c r="AA27" s="140">
        <f>'Coûts annuel génération élec'!AD43</f>
        <v>46.58309979243176</v>
      </c>
      <c r="AB27" s="140">
        <f>'Coûts annuel génération élec'!AE43</f>
        <v>48.418524809729071</v>
      </c>
      <c r="AC27" s="140">
        <f>'Coûts annuel génération élec'!AF43</f>
        <v>50.253949827026389</v>
      </c>
      <c r="AD27" s="140">
        <f>'Coûts annuel génération élec'!AG43</f>
        <v>52.089374844323714</v>
      </c>
      <c r="AE27" s="140">
        <f>'Coûts annuel génération élec'!AH43</f>
        <v>53.924799861621032</v>
      </c>
      <c r="AF27" s="140">
        <f>'Coûts annuel génération élec'!AI43</f>
        <v>55.760224878918365</v>
      </c>
      <c r="AG27" s="140">
        <f>'Coûts annuel génération élec'!AJ43</f>
        <v>57.595649896215704</v>
      </c>
      <c r="AH27" s="140">
        <f>'Coûts annuel génération élec'!AK43</f>
        <v>59.431074913513037</v>
      </c>
      <c r="AI27" s="140">
        <f>'Coûts annuel génération élec'!AL43</f>
        <v>61.266499930810376</v>
      </c>
      <c r="AJ27" s="140">
        <f>'Coûts annuel génération élec'!AM43</f>
        <v>63.101924948107737</v>
      </c>
      <c r="AK27" s="140">
        <f>'Coûts annuel génération élec'!AN43</f>
        <v>64.937349965405105</v>
      </c>
      <c r="AL27" s="140">
        <f>'Coûts annuel génération élec'!AO43</f>
        <v>66.772774982702487</v>
      </c>
      <c r="AM27" s="139">
        <f>'Coûts annuel génération élec'!AP43</f>
        <v>68.608199999999854</v>
      </c>
    </row>
    <row r="28" spans="1:39" ht="15.75" thickBot="1" x14ac:dyDescent="0.3">
      <c r="A28" s="135" t="str">
        <f t="shared" si="1"/>
        <v>Energies marines</v>
      </c>
      <c r="B28" s="141">
        <f>'Coûts annuel génération élec'!E38</f>
        <v>84.241910432886939</v>
      </c>
      <c r="C28" s="142">
        <f>'Coûts annuel génération élec'!F38</f>
        <v>84.558474472893565</v>
      </c>
      <c r="D28" s="142">
        <f>'Coûts annuel génération élec'!G38</f>
        <v>84.836936106121101</v>
      </c>
      <c r="E28" s="142">
        <f>'Coûts annuel génération élec'!H38</f>
        <v>85.077295332569534</v>
      </c>
      <c r="F28" s="142">
        <f>'Coûts annuel génération élec'!I38</f>
        <v>85.27955215223885</v>
      </c>
      <c r="G28" s="142">
        <f>'Coûts annuel génération élec'!J38</f>
        <v>85.443706565129091</v>
      </c>
      <c r="H28" s="142">
        <f>'Coûts annuel génération élec'!K38</f>
        <v>85.569758571240229</v>
      </c>
      <c r="I28" s="142">
        <f>'Coûts annuel génération élec'!L38</f>
        <v>85.657708170572263</v>
      </c>
      <c r="J28" s="142">
        <f>'Coûts annuel génération élec'!M38</f>
        <v>85.707555363125209</v>
      </c>
      <c r="K28" s="142">
        <f>'Coûts annuel génération élec'!N38</f>
        <v>85.719300148899052</v>
      </c>
      <c r="L28" s="142">
        <f>'Coûts annuel génération élec'!O38</f>
        <v>85.692942527893791</v>
      </c>
      <c r="M28" s="142">
        <f>'Coûts annuel génération élec'!P38</f>
        <v>85.628482500109428</v>
      </c>
      <c r="N28" s="142">
        <f>'Coûts annuel génération élec'!Q38</f>
        <v>85.525920065545975</v>
      </c>
      <c r="O28" s="142">
        <f>'Coûts annuel génération élec'!R38</f>
        <v>85.385255224203419</v>
      </c>
      <c r="P28" s="142">
        <f>'Coûts annuel génération élec'!S38</f>
        <v>85.20648797608176</v>
      </c>
      <c r="Q28" s="142">
        <f>'Coûts annuel génération élec'!T38</f>
        <v>84.989618321181013</v>
      </c>
      <c r="R28" s="142">
        <f>'Coûts annuel génération élec'!U38</f>
        <v>84.734646259501162</v>
      </c>
      <c r="S28" s="142">
        <f>'Coûts annuel génération élec'!V38</f>
        <v>84.441571791042222</v>
      </c>
      <c r="T28" s="142">
        <f>'Coûts annuel génération élec'!W38</f>
        <v>84.148497322583268</v>
      </c>
      <c r="U28" s="142">
        <f>'Coûts annuel génération élec'!X38</f>
        <v>83.855422854124328</v>
      </c>
      <c r="V28" s="142">
        <f>'Coûts annuel génération élec'!Y38</f>
        <v>83.562348385665388</v>
      </c>
      <c r="W28" s="142">
        <f>'Coûts annuel génération élec'!Z38</f>
        <v>83.269273917206448</v>
      </c>
      <c r="X28" s="142">
        <f>'Coûts annuel génération élec'!AA38</f>
        <v>82.976199448747522</v>
      </c>
      <c r="Y28" s="142">
        <f>'Coûts annuel génération élec'!AB38</f>
        <v>82.683124980288596</v>
      </c>
      <c r="Z28" s="142">
        <f>'Coûts annuel génération élec'!AC38</f>
        <v>82.390050511829671</v>
      </c>
      <c r="AA28" s="142">
        <f>'Coûts annuel génération élec'!AD38</f>
        <v>82.096976043370759</v>
      </c>
      <c r="AB28" s="142">
        <f>'Coûts annuel génération élec'!AE38</f>
        <v>81.803901574911848</v>
      </c>
      <c r="AC28" s="142">
        <f>'Coûts annuel génération élec'!AF38</f>
        <v>81.51082710645295</v>
      </c>
      <c r="AD28" s="142">
        <f>'Coûts annuel génération élec'!AG38</f>
        <v>81.217752637994053</v>
      </c>
      <c r="AE28" s="142">
        <f>'Coûts annuel génération élec'!AH38</f>
        <v>80.924678169535156</v>
      </c>
      <c r="AF28" s="142">
        <f>'Coûts annuel génération élec'!AI38</f>
        <v>80.63160370107623</v>
      </c>
      <c r="AG28" s="142">
        <f>'Coûts annuel génération élec'!AJ38</f>
        <v>80.30399440524792</v>
      </c>
      <c r="AH28" s="142">
        <f>'Coûts annuel génération élec'!AK38</f>
        <v>80.183635657697607</v>
      </c>
      <c r="AI28" s="142">
        <f>'Coûts annuel génération élec'!AL38</f>
        <v>80.101379316926412</v>
      </c>
      <c r="AJ28" s="142">
        <f>'Coûts annuel génération élec'!AM38</f>
        <v>80.057225382934334</v>
      </c>
      <c r="AK28" s="142">
        <f>'Coûts annuel génération élec'!AN38</f>
        <v>80.051173855721345</v>
      </c>
      <c r="AL28" s="142">
        <f>'Coûts annuel génération élec'!AO38</f>
        <v>80.083224735287473</v>
      </c>
      <c r="AM28" s="141">
        <f>'Coûts annuel génération élec'!AP38</f>
        <v>80.153378021632733</v>
      </c>
    </row>
    <row r="29" spans="1:39" ht="15.75" thickBot="1" x14ac:dyDescent="0.3">
      <c r="A29" s="97" t="s">
        <v>100</v>
      </c>
      <c r="B29" s="138">
        <f>SUM(B20:B28)</f>
        <v>7822.1987597532789</v>
      </c>
      <c r="C29" s="138">
        <f t="shared" ref="C29:AM29" si="2">SUM(C20:C28)</f>
        <v>8769.8880904665129</v>
      </c>
      <c r="D29" s="138">
        <f t="shared" si="2"/>
        <v>9706.8156052813556</v>
      </c>
      <c r="E29" s="138">
        <f t="shared" si="2"/>
        <v>10629.237062767206</v>
      </c>
      <c r="F29" s="138">
        <f t="shared" si="2"/>
        <v>11537.152465761108</v>
      </c>
      <c r="G29" s="138">
        <f t="shared" si="2"/>
        <v>12682.997336878314</v>
      </c>
      <c r="H29" s="138">
        <f t="shared" si="2"/>
        <v>13808.23332371873</v>
      </c>
      <c r="I29" s="138">
        <f t="shared" si="2"/>
        <v>14912.86043012938</v>
      </c>
      <c r="J29" s="138">
        <f t="shared" si="2"/>
        <v>15996.878660025084</v>
      </c>
      <c r="K29" s="138">
        <f t="shared" si="2"/>
        <v>17060.288017254014</v>
      </c>
      <c r="L29" s="138">
        <f t="shared" si="2"/>
        <v>18103.088505470016</v>
      </c>
      <c r="M29" s="138">
        <f t="shared" si="2"/>
        <v>19038.952728444507</v>
      </c>
      <c r="N29" s="138">
        <f t="shared" si="2"/>
        <v>19956.649223370201</v>
      </c>
      <c r="O29" s="138">
        <f t="shared" si="2"/>
        <v>20856.177992677854</v>
      </c>
      <c r="P29" s="138">
        <f t="shared" si="2"/>
        <v>21737.539038234539</v>
      </c>
      <c r="Q29" s="138">
        <f t="shared" si="2"/>
        <v>22600.732361299644</v>
      </c>
      <c r="R29" s="138">
        <f t="shared" si="2"/>
        <v>23445.757962502859</v>
      </c>
      <c r="S29" s="138">
        <f t="shared" si="2"/>
        <v>24272.615841844185</v>
      </c>
      <c r="T29" s="138">
        <f t="shared" si="2"/>
        <v>25090.9345949339</v>
      </c>
      <c r="U29" s="138">
        <f t="shared" si="2"/>
        <v>25900.714270009652</v>
      </c>
      <c r="V29" s="138">
        <f t="shared" si="2"/>
        <v>26630.814307034849</v>
      </c>
      <c r="W29" s="138">
        <f t="shared" si="2"/>
        <v>27341.356135939968</v>
      </c>
      <c r="X29" s="138">
        <f t="shared" si="2"/>
        <v>28046.367807965591</v>
      </c>
      <c r="Y29" s="138">
        <f t="shared" si="2"/>
        <v>28745.849443294162</v>
      </c>
      <c r="Z29" s="138">
        <f t="shared" si="2"/>
        <v>29439.801172658357</v>
      </c>
      <c r="AA29" s="138">
        <f t="shared" si="2"/>
        <v>30043.67110499764</v>
      </c>
      <c r="AB29" s="138">
        <f t="shared" si="2"/>
        <v>30479.863862034206</v>
      </c>
      <c r="AC29" s="138">
        <f t="shared" si="2"/>
        <v>30918.893864731388</v>
      </c>
      <c r="AD29" s="138">
        <f t="shared" si="2"/>
        <v>31360.761251001477</v>
      </c>
      <c r="AE29" s="138">
        <f t="shared" si="2"/>
        <v>31805.466152006822</v>
      </c>
      <c r="AF29" s="138">
        <f t="shared" si="2"/>
        <v>32253.008689115279</v>
      </c>
      <c r="AG29" s="138">
        <f t="shared" si="2"/>
        <v>32728.255811056904</v>
      </c>
      <c r="AH29" s="138">
        <f t="shared" si="2"/>
        <v>33210.481976441217</v>
      </c>
      <c r="AI29" s="138">
        <f t="shared" si="2"/>
        <v>33694.606778466579</v>
      </c>
      <c r="AJ29" s="138">
        <f t="shared" si="2"/>
        <v>34180.630266513093</v>
      </c>
      <c r="AK29" s="138">
        <f t="shared" si="2"/>
        <v>34668.552472742573</v>
      </c>
      <c r="AL29" s="138">
        <f t="shared" si="2"/>
        <v>35158.373411764805</v>
      </c>
      <c r="AM29" s="138">
        <f t="shared" si="2"/>
        <v>35650.093080736777</v>
      </c>
    </row>
    <row r="46" spans="1:39" ht="15.75" thickBot="1" x14ac:dyDescent="0.3"/>
    <row r="47" spans="1:39" x14ac:dyDescent="0.25">
      <c r="A47" s="131" t="s">
        <v>205</v>
      </c>
      <c r="B47" s="132">
        <f>B58</f>
        <v>2013</v>
      </c>
      <c r="C47" s="132">
        <f t="shared" ref="C47:AM47" si="3">C58</f>
        <v>2014</v>
      </c>
      <c r="D47" s="132">
        <f t="shared" si="3"/>
        <v>2015</v>
      </c>
      <c r="E47" s="132">
        <f t="shared" si="3"/>
        <v>2016</v>
      </c>
      <c r="F47" s="132">
        <f t="shared" si="3"/>
        <v>2017</v>
      </c>
      <c r="G47" s="132">
        <f t="shared" si="3"/>
        <v>2018</v>
      </c>
      <c r="H47" s="132">
        <f t="shared" si="3"/>
        <v>2019</v>
      </c>
      <c r="I47" s="132">
        <f t="shared" si="3"/>
        <v>2020</v>
      </c>
      <c r="J47" s="132">
        <f t="shared" si="3"/>
        <v>2021</v>
      </c>
      <c r="K47" s="132">
        <f t="shared" si="3"/>
        <v>2022</v>
      </c>
      <c r="L47" s="132">
        <f t="shared" si="3"/>
        <v>2023</v>
      </c>
      <c r="M47" s="132">
        <f t="shared" si="3"/>
        <v>2024</v>
      </c>
      <c r="N47" s="132">
        <f t="shared" si="3"/>
        <v>2025</v>
      </c>
      <c r="O47" s="132">
        <f t="shared" si="3"/>
        <v>2026</v>
      </c>
      <c r="P47" s="132">
        <f t="shared" si="3"/>
        <v>2027</v>
      </c>
      <c r="Q47" s="132">
        <f t="shared" si="3"/>
        <v>2028</v>
      </c>
      <c r="R47" s="132">
        <f t="shared" si="3"/>
        <v>2029</v>
      </c>
      <c r="S47" s="132">
        <f t="shared" si="3"/>
        <v>2030</v>
      </c>
      <c r="T47" s="132">
        <f t="shared" si="3"/>
        <v>2031</v>
      </c>
      <c r="U47" s="132">
        <f t="shared" si="3"/>
        <v>2032</v>
      </c>
      <c r="V47" s="132">
        <f t="shared" si="3"/>
        <v>2033</v>
      </c>
      <c r="W47" s="132">
        <f t="shared" si="3"/>
        <v>2034</v>
      </c>
      <c r="X47" s="132">
        <f t="shared" si="3"/>
        <v>2035</v>
      </c>
      <c r="Y47" s="132">
        <f t="shared" si="3"/>
        <v>2036</v>
      </c>
      <c r="Z47" s="132">
        <f t="shared" si="3"/>
        <v>2037</v>
      </c>
      <c r="AA47" s="132">
        <f t="shared" si="3"/>
        <v>2038</v>
      </c>
      <c r="AB47" s="132">
        <f t="shared" si="3"/>
        <v>2039</v>
      </c>
      <c r="AC47" s="132">
        <f t="shared" si="3"/>
        <v>2040</v>
      </c>
      <c r="AD47" s="132">
        <f t="shared" si="3"/>
        <v>2041</v>
      </c>
      <c r="AE47" s="132">
        <f t="shared" si="3"/>
        <v>2042</v>
      </c>
      <c r="AF47" s="132">
        <f t="shared" si="3"/>
        <v>2043</v>
      </c>
      <c r="AG47" s="132">
        <f t="shared" si="3"/>
        <v>2044</v>
      </c>
      <c r="AH47" s="132">
        <f t="shared" si="3"/>
        <v>2045</v>
      </c>
      <c r="AI47" s="132">
        <f t="shared" si="3"/>
        <v>2046</v>
      </c>
      <c r="AJ47" s="132">
        <f t="shared" si="3"/>
        <v>2047</v>
      </c>
      <c r="AK47" s="132">
        <f t="shared" si="3"/>
        <v>2048</v>
      </c>
      <c r="AL47" s="132">
        <f t="shared" si="3"/>
        <v>2049</v>
      </c>
      <c r="AM47" s="133">
        <f t="shared" si="3"/>
        <v>2050</v>
      </c>
    </row>
    <row r="48" spans="1:39" x14ac:dyDescent="0.25">
      <c r="A48" s="134" t="str">
        <f>A59</f>
        <v>Eolien terrestre</v>
      </c>
      <c r="B48" s="108">
        <f>LCOE!B8</f>
        <v>80</v>
      </c>
      <c r="C48" s="128">
        <f>LCOE!C8</f>
        <v>79.411764705882348</v>
      </c>
      <c r="D48" s="128">
        <f>LCOE!D8</f>
        <v>78.823529411764696</v>
      </c>
      <c r="E48" s="128">
        <f>LCOE!E8</f>
        <v>78.235294117647044</v>
      </c>
      <c r="F48" s="128">
        <f>LCOE!F8</f>
        <v>77.647058823529392</v>
      </c>
      <c r="G48" s="128">
        <f>LCOE!G8</f>
        <v>77.05882352941174</v>
      </c>
      <c r="H48" s="128">
        <f>LCOE!H8</f>
        <v>76.470588235294088</v>
      </c>
      <c r="I48" s="128">
        <f>LCOE!I8</f>
        <v>75.882352941176435</v>
      </c>
      <c r="J48" s="128">
        <f>LCOE!J8</f>
        <v>75.294117647058783</v>
      </c>
      <c r="K48" s="128">
        <f>LCOE!K8</f>
        <v>74.705882352941131</v>
      </c>
      <c r="L48" s="128">
        <f>LCOE!L8</f>
        <v>74.117647058823479</v>
      </c>
      <c r="M48" s="128">
        <f>LCOE!M8</f>
        <v>73.529411764705827</v>
      </c>
      <c r="N48" s="128">
        <f>LCOE!N8</f>
        <v>72.941176470588175</v>
      </c>
      <c r="O48" s="128">
        <f>LCOE!O8</f>
        <v>72.352941176470523</v>
      </c>
      <c r="P48" s="128">
        <f>LCOE!P8</f>
        <v>71.764705882352871</v>
      </c>
      <c r="Q48" s="128">
        <f>LCOE!Q8</f>
        <v>71.176470588235219</v>
      </c>
      <c r="R48" s="128">
        <f>LCOE!R8</f>
        <v>70.588235294117567</v>
      </c>
      <c r="S48" s="128">
        <f>LCOE!S8</f>
        <v>70</v>
      </c>
      <c r="T48" s="128">
        <f>LCOE!T8</f>
        <v>69.75</v>
      </c>
      <c r="U48" s="128">
        <f>LCOE!U8</f>
        <v>69.5</v>
      </c>
      <c r="V48" s="128">
        <f>LCOE!V8</f>
        <v>69.25</v>
      </c>
      <c r="W48" s="128">
        <f>LCOE!W8</f>
        <v>69</v>
      </c>
      <c r="X48" s="128">
        <f>LCOE!X8</f>
        <v>68.75</v>
      </c>
      <c r="Y48" s="128">
        <f>LCOE!Y8</f>
        <v>68.5</v>
      </c>
      <c r="Z48" s="128">
        <f>LCOE!Z8</f>
        <v>68.25</v>
      </c>
      <c r="AA48" s="128">
        <f>LCOE!AA8</f>
        <v>68</v>
      </c>
      <c r="AB48" s="128">
        <f>LCOE!AB8</f>
        <v>67.75</v>
      </c>
      <c r="AC48" s="128">
        <f>LCOE!AC8</f>
        <v>67.5</v>
      </c>
      <c r="AD48" s="128">
        <f>LCOE!AD8</f>
        <v>67.25</v>
      </c>
      <c r="AE48" s="128">
        <f>LCOE!AE8</f>
        <v>67</v>
      </c>
      <c r="AF48" s="128">
        <f>LCOE!AF8</f>
        <v>66.75</v>
      </c>
      <c r="AG48" s="128">
        <f>LCOE!AG8</f>
        <v>66.5</v>
      </c>
      <c r="AH48" s="128">
        <f>LCOE!AH8</f>
        <v>66.25</v>
      </c>
      <c r="AI48" s="128">
        <f>LCOE!AI8</f>
        <v>66</v>
      </c>
      <c r="AJ48" s="128">
        <f>LCOE!AJ8</f>
        <v>65.75</v>
      </c>
      <c r="AK48" s="128">
        <f>LCOE!AK8</f>
        <v>65.5</v>
      </c>
      <c r="AL48" s="128">
        <f>LCOE!AL8</f>
        <v>65.25</v>
      </c>
      <c r="AM48" s="108">
        <f>LCOE!AM8</f>
        <v>65</v>
      </c>
    </row>
    <row r="49" spans="1:39" x14ac:dyDescent="0.25">
      <c r="A49" s="134" t="str">
        <f t="shared" ref="A49:A56" si="4">A60</f>
        <v>Eolien en mer</v>
      </c>
      <c r="B49" s="108">
        <f>LCOE!B11</f>
        <v>150</v>
      </c>
      <c r="C49" s="128">
        <f>LCOE!C11</f>
        <v>146.76470588235293</v>
      </c>
      <c r="D49" s="128">
        <f>LCOE!D11</f>
        <v>143.52941176470586</v>
      </c>
      <c r="E49" s="128">
        <f>LCOE!E11</f>
        <v>140.29411764705878</v>
      </c>
      <c r="F49" s="128">
        <f>LCOE!F11</f>
        <v>137.05882352941171</v>
      </c>
      <c r="G49" s="128">
        <f>LCOE!G11</f>
        <v>133.82352941176464</v>
      </c>
      <c r="H49" s="128">
        <f>LCOE!H11</f>
        <v>130.58823529411757</v>
      </c>
      <c r="I49" s="128">
        <f>LCOE!I11</f>
        <v>127.35294117647051</v>
      </c>
      <c r="J49" s="128">
        <f>LCOE!J11</f>
        <v>124.11764705882345</v>
      </c>
      <c r="K49" s="128">
        <f>LCOE!K11</f>
        <v>120.88235294117639</v>
      </c>
      <c r="L49" s="128">
        <f>LCOE!L11</f>
        <v>117.64705882352933</v>
      </c>
      <c r="M49" s="128">
        <f>LCOE!M11</f>
        <v>114.41176470588228</v>
      </c>
      <c r="N49" s="128">
        <f>LCOE!N11</f>
        <v>111.17647058823522</v>
      </c>
      <c r="O49" s="128">
        <f>LCOE!O11</f>
        <v>107.94117647058816</v>
      </c>
      <c r="P49" s="128">
        <f>LCOE!P11</f>
        <v>104.7058823529411</v>
      </c>
      <c r="Q49" s="128">
        <f>LCOE!Q11</f>
        <v>101.47058823529404</v>
      </c>
      <c r="R49" s="128">
        <f>LCOE!R11</f>
        <v>98.235294117646987</v>
      </c>
      <c r="S49" s="128">
        <f>LCOE!S11</f>
        <v>95</v>
      </c>
      <c r="T49" s="128">
        <f>LCOE!T11</f>
        <v>94.25</v>
      </c>
      <c r="U49" s="128">
        <f>LCOE!U11</f>
        <v>93.5</v>
      </c>
      <c r="V49" s="128">
        <f>LCOE!V11</f>
        <v>92.75</v>
      </c>
      <c r="W49" s="128">
        <f>LCOE!W11</f>
        <v>92</v>
      </c>
      <c r="X49" s="128">
        <f>LCOE!X11</f>
        <v>91.25</v>
      </c>
      <c r="Y49" s="128">
        <f>LCOE!Y11</f>
        <v>90.5</v>
      </c>
      <c r="Z49" s="128">
        <f>LCOE!Z11</f>
        <v>89.75</v>
      </c>
      <c r="AA49" s="128">
        <f>LCOE!AA11</f>
        <v>89</v>
      </c>
      <c r="AB49" s="128">
        <f>LCOE!AB11</f>
        <v>88.25</v>
      </c>
      <c r="AC49" s="128">
        <f>LCOE!AC11</f>
        <v>87.5</v>
      </c>
      <c r="AD49" s="128">
        <f>LCOE!AD11</f>
        <v>86.75</v>
      </c>
      <c r="AE49" s="128">
        <f>LCOE!AE11</f>
        <v>86</v>
      </c>
      <c r="AF49" s="128">
        <f>LCOE!AF11</f>
        <v>85.25</v>
      </c>
      <c r="AG49" s="128">
        <f>LCOE!AG11</f>
        <v>84.5</v>
      </c>
      <c r="AH49" s="128">
        <f>LCOE!AH11</f>
        <v>83.75</v>
      </c>
      <c r="AI49" s="128">
        <f>LCOE!AI11</f>
        <v>83</v>
      </c>
      <c r="AJ49" s="128">
        <f>LCOE!AJ11</f>
        <v>82.25</v>
      </c>
      <c r="AK49" s="128">
        <f>LCOE!AK11</f>
        <v>81.5</v>
      </c>
      <c r="AL49" s="128">
        <f>LCOE!AL11</f>
        <v>80.75</v>
      </c>
      <c r="AM49" s="108">
        <f>LCOE!AM11</f>
        <v>80</v>
      </c>
    </row>
    <row r="50" spans="1:39" x14ac:dyDescent="0.25">
      <c r="A50" s="134" t="s">
        <v>206</v>
      </c>
      <c r="B50" s="108">
        <f>LCOE!B15</f>
        <v>179.46998377501353</v>
      </c>
      <c r="C50" s="128">
        <f>LCOE!C15</f>
        <v>175.75540934960929</v>
      </c>
      <c r="D50" s="128">
        <f>LCOE!D15</f>
        <v>172.04083492420506</v>
      </c>
      <c r="E50" s="128">
        <f>LCOE!E15</f>
        <v>168.32626049880082</v>
      </c>
      <c r="F50" s="128">
        <f>LCOE!F15</f>
        <v>164.61168607339658</v>
      </c>
      <c r="G50" s="128">
        <f>LCOE!G15</f>
        <v>160.89711164799235</v>
      </c>
      <c r="H50" s="128">
        <f>LCOE!H15</f>
        <v>157.18253722258811</v>
      </c>
      <c r="I50" s="128">
        <f>LCOE!I15</f>
        <v>153.46796279718387</v>
      </c>
      <c r="J50" s="128">
        <f>LCOE!J15</f>
        <v>149.75338837177964</v>
      </c>
      <c r="K50" s="128">
        <f>LCOE!K15</f>
        <v>146.0388139463754</v>
      </c>
      <c r="L50" s="128">
        <f>LCOE!L15</f>
        <v>142.32423952097116</v>
      </c>
      <c r="M50" s="128">
        <f>LCOE!M15</f>
        <v>138.60966509556692</v>
      </c>
      <c r="N50" s="128">
        <f>LCOE!N15</f>
        <v>134.89509067016269</v>
      </c>
      <c r="O50" s="128">
        <f>LCOE!O15</f>
        <v>131.18051624475845</v>
      </c>
      <c r="P50" s="128">
        <f>LCOE!P15</f>
        <v>127.46594181935421</v>
      </c>
      <c r="Q50" s="128">
        <f>LCOE!Q15</f>
        <v>123.75136739394998</v>
      </c>
      <c r="R50" s="128">
        <f>LCOE!R15</f>
        <v>120.03679296854574</v>
      </c>
      <c r="S50" s="128">
        <f>LCOE!S15</f>
        <v>116.32221854314145</v>
      </c>
      <c r="T50" s="128">
        <f>LCOE!T15</f>
        <v>114.03786862651216</v>
      </c>
      <c r="U50" s="128">
        <f>LCOE!U15</f>
        <v>111.75351870988288</v>
      </c>
      <c r="V50" s="128">
        <f>LCOE!V15</f>
        <v>109.4691687932536</v>
      </c>
      <c r="W50" s="128">
        <f>LCOE!W15</f>
        <v>107.18481887662432</v>
      </c>
      <c r="X50" s="128">
        <f>LCOE!X15</f>
        <v>104.90046895999504</v>
      </c>
      <c r="Y50" s="128">
        <f>LCOE!Y15</f>
        <v>102.61611904336576</v>
      </c>
      <c r="Z50" s="128">
        <f>LCOE!Z15</f>
        <v>100.33176912673648</v>
      </c>
      <c r="AA50" s="128">
        <f>LCOE!AA15</f>
        <v>98.047419210107194</v>
      </c>
      <c r="AB50" s="128">
        <f>LCOE!AB15</f>
        <v>95.763069293477912</v>
      </c>
      <c r="AC50" s="128">
        <f>LCOE!AC15</f>
        <v>93.47871937684863</v>
      </c>
      <c r="AD50" s="128">
        <f>LCOE!AD15</f>
        <v>91.194369460219349</v>
      </c>
      <c r="AE50" s="128">
        <f>LCOE!AE15</f>
        <v>88.910019543590067</v>
      </c>
      <c r="AF50" s="128">
        <f>LCOE!AF15</f>
        <v>86.625669626960786</v>
      </c>
      <c r="AG50" s="128">
        <f>LCOE!AG15</f>
        <v>84.341319710331504</v>
      </c>
      <c r="AH50" s="128">
        <f>LCOE!AH15</f>
        <v>82.056969793702223</v>
      </c>
      <c r="AI50" s="128">
        <f>LCOE!AI15</f>
        <v>79.772619877072941</v>
      </c>
      <c r="AJ50" s="128">
        <f>LCOE!AJ15</f>
        <v>77.48826996044366</v>
      </c>
      <c r="AK50" s="128">
        <f>LCOE!AK15</f>
        <v>75.203920043814378</v>
      </c>
      <c r="AL50" s="128">
        <f>LCOE!AL15</f>
        <v>72.919570127185096</v>
      </c>
      <c r="AM50" s="108">
        <f>LCOE!AM15</f>
        <v>70.635220210555701</v>
      </c>
    </row>
    <row r="51" spans="1:39" x14ac:dyDescent="0.25">
      <c r="A51" s="134" t="str">
        <f t="shared" si="4"/>
        <v>Méthanisation</v>
      </c>
      <c r="B51" s="108">
        <f>LCOE!B5</f>
        <v>150</v>
      </c>
      <c r="C51" s="128">
        <f>LCOE!C5</f>
        <v>147.05882352941177</v>
      </c>
      <c r="D51" s="128">
        <f>LCOE!D5</f>
        <v>144.11764705882354</v>
      </c>
      <c r="E51" s="128">
        <f>LCOE!E5</f>
        <v>141.1764705882353</v>
      </c>
      <c r="F51" s="128">
        <f>LCOE!F5</f>
        <v>138.23529411764707</v>
      </c>
      <c r="G51" s="128">
        <f>LCOE!G5</f>
        <v>135.29411764705884</v>
      </c>
      <c r="H51" s="128">
        <f>LCOE!H5</f>
        <v>132.35294117647061</v>
      </c>
      <c r="I51" s="128">
        <f>LCOE!I5</f>
        <v>129.41176470588238</v>
      </c>
      <c r="J51" s="128">
        <f>LCOE!J5</f>
        <v>126.47058823529414</v>
      </c>
      <c r="K51" s="128">
        <f>LCOE!K5</f>
        <v>123.52941176470591</v>
      </c>
      <c r="L51" s="128">
        <f>LCOE!L5</f>
        <v>120.58823529411768</v>
      </c>
      <c r="M51" s="128">
        <f>LCOE!M5</f>
        <v>117.64705882352945</v>
      </c>
      <c r="N51" s="128">
        <f>LCOE!N5</f>
        <v>114.70588235294122</v>
      </c>
      <c r="O51" s="128">
        <f>LCOE!O5</f>
        <v>111.76470588235298</v>
      </c>
      <c r="P51" s="128">
        <f>LCOE!P5</f>
        <v>108.82352941176475</v>
      </c>
      <c r="Q51" s="128">
        <f>LCOE!Q5</f>
        <v>105.88235294117652</v>
      </c>
      <c r="R51" s="128">
        <f>LCOE!R5</f>
        <v>102.94117647058829</v>
      </c>
      <c r="S51" s="128">
        <f>LCOE!S5</f>
        <v>100</v>
      </c>
      <c r="T51" s="128">
        <f>LCOE!T5</f>
        <v>97.5</v>
      </c>
      <c r="U51" s="128">
        <f>LCOE!U5</f>
        <v>95</v>
      </c>
      <c r="V51" s="128">
        <f>LCOE!V5</f>
        <v>92.5</v>
      </c>
      <c r="W51" s="128">
        <f>LCOE!W5</f>
        <v>90</v>
      </c>
      <c r="X51" s="128">
        <f>LCOE!X5</f>
        <v>87.5</v>
      </c>
      <c r="Y51" s="128">
        <f>LCOE!Y5</f>
        <v>85</v>
      </c>
      <c r="Z51" s="128">
        <f>LCOE!Z5</f>
        <v>82.5</v>
      </c>
      <c r="AA51" s="128">
        <f>LCOE!AA5</f>
        <v>80</v>
      </c>
      <c r="AB51" s="128">
        <f>LCOE!AB5</f>
        <v>77.5</v>
      </c>
      <c r="AC51" s="128">
        <f>LCOE!AC5</f>
        <v>75</v>
      </c>
      <c r="AD51" s="128">
        <f>LCOE!AD5</f>
        <v>72.5</v>
      </c>
      <c r="AE51" s="128">
        <f>LCOE!AE5</f>
        <v>70</v>
      </c>
      <c r="AF51" s="128">
        <f>LCOE!AF5</f>
        <v>67.5</v>
      </c>
      <c r="AG51" s="128">
        <f>LCOE!AG5</f>
        <v>65</v>
      </c>
      <c r="AH51" s="128">
        <f>LCOE!AH5</f>
        <v>62.5</v>
      </c>
      <c r="AI51" s="128">
        <f>LCOE!AI5</f>
        <v>60</v>
      </c>
      <c r="AJ51" s="128">
        <f>LCOE!AJ5</f>
        <v>57.5</v>
      </c>
      <c r="AK51" s="128">
        <f>LCOE!AK5</f>
        <v>55</v>
      </c>
      <c r="AL51" s="128">
        <f>LCOE!AL5</f>
        <v>52.5</v>
      </c>
      <c r="AM51" s="108">
        <f>LCOE!AM5</f>
        <v>50</v>
      </c>
    </row>
    <row r="52" spans="1:39" x14ac:dyDescent="0.25">
      <c r="A52" s="134" t="str">
        <f t="shared" si="4"/>
        <v>UIOM</v>
      </c>
      <c r="B52" s="108">
        <f>LCOE!B4</f>
        <v>60</v>
      </c>
      <c r="C52" s="128">
        <f>LCOE!C4</f>
        <v>60</v>
      </c>
      <c r="D52" s="128">
        <f>LCOE!D4</f>
        <v>60</v>
      </c>
      <c r="E52" s="128">
        <f>LCOE!E4</f>
        <v>60</v>
      </c>
      <c r="F52" s="128">
        <f>LCOE!F4</f>
        <v>60</v>
      </c>
      <c r="G52" s="128">
        <f>LCOE!G4</f>
        <v>60</v>
      </c>
      <c r="H52" s="128">
        <f>LCOE!H4</f>
        <v>60</v>
      </c>
      <c r="I52" s="128">
        <f>LCOE!I4</f>
        <v>60</v>
      </c>
      <c r="J52" s="128">
        <f>LCOE!J4</f>
        <v>60</v>
      </c>
      <c r="K52" s="128">
        <f>LCOE!K4</f>
        <v>60</v>
      </c>
      <c r="L52" s="128">
        <f>LCOE!L4</f>
        <v>60</v>
      </c>
      <c r="M52" s="128">
        <f>LCOE!M4</f>
        <v>60</v>
      </c>
      <c r="N52" s="128">
        <f>LCOE!N4</f>
        <v>60</v>
      </c>
      <c r="O52" s="128">
        <f>LCOE!O4</f>
        <v>60</v>
      </c>
      <c r="P52" s="128">
        <f>LCOE!P4</f>
        <v>60</v>
      </c>
      <c r="Q52" s="128">
        <f>LCOE!Q4</f>
        <v>60</v>
      </c>
      <c r="R52" s="128">
        <f>LCOE!R4</f>
        <v>60</v>
      </c>
      <c r="S52" s="128">
        <f>LCOE!S4</f>
        <v>60</v>
      </c>
      <c r="T52" s="128">
        <f>LCOE!T4</f>
        <v>60</v>
      </c>
      <c r="U52" s="128">
        <f>LCOE!U4</f>
        <v>60</v>
      </c>
      <c r="V52" s="128">
        <f>LCOE!V4</f>
        <v>60</v>
      </c>
      <c r="W52" s="128">
        <f>LCOE!W4</f>
        <v>60</v>
      </c>
      <c r="X52" s="128">
        <f>LCOE!X4</f>
        <v>60</v>
      </c>
      <c r="Y52" s="128">
        <f>LCOE!Y4</f>
        <v>60</v>
      </c>
      <c r="Z52" s="128">
        <f>LCOE!Z4</f>
        <v>60</v>
      </c>
      <c r="AA52" s="128">
        <f>LCOE!AA4</f>
        <v>60</v>
      </c>
      <c r="AB52" s="128">
        <f>LCOE!AB4</f>
        <v>60</v>
      </c>
      <c r="AC52" s="128">
        <f>LCOE!AC4</f>
        <v>60</v>
      </c>
      <c r="AD52" s="128">
        <f>LCOE!AD4</f>
        <v>60</v>
      </c>
      <c r="AE52" s="128">
        <f>LCOE!AE4</f>
        <v>60</v>
      </c>
      <c r="AF52" s="128">
        <f>LCOE!AF4</f>
        <v>60</v>
      </c>
      <c r="AG52" s="128">
        <f>LCOE!AG4</f>
        <v>60</v>
      </c>
      <c r="AH52" s="128">
        <f>LCOE!AH4</f>
        <v>60</v>
      </c>
      <c r="AI52" s="128">
        <f>LCOE!AI4</f>
        <v>60</v>
      </c>
      <c r="AJ52" s="128">
        <f>LCOE!AJ4</f>
        <v>60</v>
      </c>
      <c r="AK52" s="128">
        <f>LCOE!AK4</f>
        <v>60</v>
      </c>
      <c r="AL52" s="128">
        <f>LCOE!AL4</f>
        <v>60</v>
      </c>
      <c r="AM52" s="108">
        <f>LCOE!AM4</f>
        <v>60</v>
      </c>
    </row>
    <row r="53" spans="1:39" x14ac:dyDescent="0.25">
      <c r="A53" s="134" t="str">
        <f t="shared" si="4"/>
        <v>Bois énergie</v>
      </c>
      <c r="B53" s="108">
        <f>LCOE!B3</f>
        <v>70</v>
      </c>
      <c r="C53" s="128">
        <f>LCOE!C3</f>
        <v>70</v>
      </c>
      <c r="D53" s="128">
        <f>LCOE!D3</f>
        <v>70</v>
      </c>
      <c r="E53" s="128">
        <f>LCOE!E3</f>
        <v>70</v>
      </c>
      <c r="F53" s="128">
        <f>LCOE!F3</f>
        <v>70</v>
      </c>
      <c r="G53" s="128">
        <f>LCOE!G3</f>
        <v>70</v>
      </c>
      <c r="H53" s="128">
        <f>LCOE!H3</f>
        <v>70</v>
      </c>
      <c r="I53" s="128">
        <f>LCOE!I3</f>
        <v>70</v>
      </c>
      <c r="J53" s="128">
        <f>LCOE!J3</f>
        <v>70</v>
      </c>
      <c r="K53" s="128">
        <f>LCOE!K3</f>
        <v>70</v>
      </c>
      <c r="L53" s="128">
        <f>LCOE!L3</f>
        <v>70</v>
      </c>
      <c r="M53" s="128">
        <f>LCOE!M3</f>
        <v>70</v>
      </c>
      <c r="N53" s="128">
        <f>LCOE!N3</f>
        <v>70</v>
      </c>
      <c r="O53" s="128">
        <f>LCOE!O3</f>
        <v>70</v>
      </c>
      <c r="P53" s="128">
        <f>LCOE!P3</f>
        <v>70</v>
      </c>
      <c r="Q53" s="128">
        <f>LCOE!Q3</f>
        <v>70</v>
      </c>
      <c r="R53" s="128">
        <f>LCOE!R3</f>
        <v>70</v>
      </c>
      <c r="S53" s="128">
        <f>LCOE!S3</f>
        <v>70</v>
      </c>
      <c r="T53" s="128">
        <f>LCOE!T3</f>
        <v>70</v>
      </c>
      <c r="U53" s="128">
        <f>LCOE!U3</f>
        <v>70</v>
      </c>
      <c r="V53" s="128">
        <f>LCOE!V3</f>
        <v>70</v>
      </c>
      <c r="W53" s="128">
        <f>LCOE!W3</f>
        <v>70</v>
      </c>
      <c r="X53" s="128">
        <f>LCOE!X3</f>
        <v>70</v>
      </c>
      <c r="Y53" s="128">
        <f>LCOE!Y3</f>
        <v>70</v>
      </c>
      <c r="Z53" s="128">
        <f>LCOE!Z3</f>
        <v>70</v>
      </c>
      <c r="AA53" s="128">
        <f>LCOE!AA3</f>
        <v>70</v>
      </c>
      <c r="AB53" s="128">
        <f>LCOE!AB3</f>
        <v>70</v>
      </c>
      <c r="AC53" s="128">
        <f>LCOE!AC3</f>
        <v>70</v>
      </c>
      <c r="AD53" s="128">
        <f>LCOE!AD3</f>
        <v>70</v>
      </c>
      <c r="AE53" s="128">
        <f>LCOE!AE3</f>
        <v>70</v>
      </c>
      <c r="AF53" s="128">
        <f>LCOE!AF3</f>
        <v>70</v>
      </c>
      <c r="AG53" s="128">
        <f>LCOE!AG3</f>
        <v>70</v>
      </c>
      <c r="AH53" s="128">
        <f>LCOE!AH3</f>
        <v>70</v>
      </c>
      <c r="AI53" s="128">
        <f>LCOE!AI3</f>
        <v>70</v>
      </c>
      <c r="AJ53" s="128">
        <f>LCOE!AJ3</f>
        <v>70</v>
      </c>
      <c r="AK53" s="128">
        <f>LCOE!AK3</f>
        <v>70</v>
      </c>
      <c r="AL53" s="128">
        <f>LCOE!AL3</f>
        <v>70</v>
      </c>
      <c r="AM53" s="108">
        <f>LCOE!AM3</f>
        <v>70</v>
      </c>
    </row>
    <row r="54" spans="1:39" x14ac:dyDescent="0.25">
      <c r="A54" s="134" t="str">
        <f t="shared" si="4"/>
        <v>Hydroélectricité</v>
      </c>
      <c r="B54" s="108">
        <f>LCOE!B18</f>
        <v>75.410840013942135</v>
      </c>
      <c r="C54" s="128">
        <f>LCOE!C18</f>
        <v>74.980790601357299</v>
      </c>
      <c r="D54" s="128">
        <f>LCOE!D18</f>
        <v>74.550741188772463</v>
      </c>
      <c r="E54" s="128">
        <f>LCOE!E18</f>
        <v>74.120691776187627</v>
      </c>
      <c r="F54" s="128">
        <f>LCOE!F18</f>
        <v>73.690642363602791</v>
      </c>
      <c r="G54" s="128">
        <f>LCOE!G18</f>
        <v>73.260592951017955</v>
      </c>
      <c r="H54" s="128">
        <f>LCOE!H18</f>
        <v>72.830543538433119</v>
      </c>
      <c r="I54" s="128">
        <f>LCOE!I18</f>
        <v>72.400494125848283</v>
      </c>
      <c r="J54" s="128">
        <f>LCOE!J18</f>
        <v>71.970444713263447</v>
      </c>
      <c r="K54" s="128">
        <f>LCOE!K18</f>
        <v>71.540395300678611</v>
      </c>
      <c r="L54" s="128">
        <f>LCOE!L18</f>
        <v>71.110345888093775</v>
      </c>
      <c r="M54" s="128">
        <f>LCOE!M18</f>
        <v>70.680296475508939</v>
      </c>
      <c r="N54" s="128">
        <f>LCOE!N18</f>
        <v>70.250247062924103</v>
      </c>
      <c r="O54" s="128">
        <f>LCOE!O18</f>
        <v>69.820197650339267</v>
      </c>
      <c r="P54" s="128">
        <f>LCOE!P18</f>
        <v>69.390148237754431</v>
      </c>
      <c r="Q54" s="128">
        <f>LCOE!Q18</f>
        <v>68.960098825169595</v>
      </c>
      <c r="R54" s="128">
        <f>LCOE!R18</f>
        <v>68.530049412584759</v>
      </c>
      <c r="S54" s="128">
        <f>LCOE!S18</f>
        <v>68.099999999999994</v>
      </c>
      <c r="T54" s="128">
        <f>LCOE!T18</f>
        <v>68.099999999999994</v>
      </c>
      <c r="U54" s="128">
        <f>LCOE!U18</f>
        <v>68.099999999999994</v>
      </c>
      <c r="V54" s="128">
        <f>LCOE!V18</f>
        <v>68.099999999999994</v>
      </c>
      <c r="W54" s="128">
        <f>LCOE!W18</f>
        <v>68.099999999999994</v>
      </c>
      <c r="X54" s="128">
        <f>LCOE!X18</f>
        <v>68.099999999999994</v>
      </c>
      <c r="Y54" s="128">
        <f>LCOE!Y18</f>
        <v>68.099999999999994</v>
      </c>
      <c r="Z54" s="128">
        <f>LCOE!Z18</f>
        <v>68.099999999999994</v>
      </c>
      <c r="AA54" s="128">
        <f>LCOE!AA18</f>
        <v>68.099999999999994</v>
      </c>
      <c r="AB54" s="128">
        <f>LCOE!AB18</f>
        <v>68.099999999999994</v>
      </c>
      <c r="AC54" s="128">
        <f>LCOE!AC18</f>
        <v>68.099999999999994</v>
      </c>
      <c r="AD54" s="128">
        <f>LCOE!AD18</f>
        <v>68.099999999999994</v>
      </c>
      <c r="AE54" s="128">
        <f>LCOE!AE18</f>
        <v>68.099999999999994</v>
      </c>
      <c r="AF54" s="128">
        <f>LCOE!AF18</f>
        <v>68.099999999999994</v>
      </c>
      <c r="AG54" s="128">
        <f>LCOE!AG18</f>
        <v>68.099999999999994</v>
      </c>
      <c r="AH54" s="128">
        <f>LCOE!AH18</f>
        <v>68.099999999999994</v>
      </c>
      <c r="AI54" s="128">
        <f>LCOE!AI18</f>
        <v>68.099999999999994</v>
      </c>
      <c r="AJ54" s="128">
        <f>LCOE!AJ18</f>
        <v>68.099999999999994</v>
      </c>
      <c r="AK54" s="128">
        <f>LCOE!AK18</f>
        <v>68.099999999999994</v>
      </c>
      <c r="AL54" s="128">
        <f>LCOE!AL18</f>
        <v>68.099999999999994</v>
      </c>
      <c r="AM54" s="108">
        <f>LCOE!AM18</f>
        <v>68.099999999999994</v>
      </c>
    </row>
    <row r="55" spans="1:39" x14ac:dyDescent="0.25">
      <c r="A55" s="134" t="str">
        <f t="shared" si="4"/>
        <v>Géothermie</v>
      </c>
      <c r="B55" s="108">
        <f>LCOE!B17</f>
        <v>58</v>
      </c>
      <c r="C55" s="128">
        <f>LCOE!C17</f>
        <v>58</v>
      </c>
      <c r="D55" s="128">
        <f>LCOE!D17</f>
        <v>58</v>
      </c>
      <c r="E55" s="128">
        <f>LCOE!E17</f>
        <v>58</v>
      </c>
      <c r="F55" s="128">
        <f>LCOE!F17</f>
        <v>58</v>
      </c>
      <c r="G55" s="128">
        <f>LCOE!G17</f>
        <v>58</v>
      </c>
      <c r="H55" s="128">
        <f>LCOE!H17</f>
        <v>58</v>
      </c>
      <c r="I55" s="128">
        <f>LCOE!I17</f>
        <v>58</v>
      </c>
      <c r="J55" s="128">
        <f>LCOE!J17</f>
        <v>58</v>
      </c>
      <c r="K55" s="128">
        <f>LCOE!K17</f>
        <v>58</v>
      </c>
      <c r="L55" s="128">
        <f>LCOE!L17</f>
        <v>58</v>
      </c>
      <c r="M55" s="128">
        <f>LCOE!M17</f>
        <v>58</v>
      </c>
      <c r="N55" s="128">
        <f>LCOE!N17</f>
        <v>58</v>
      </c>
      <c r="O55" s="128">
        <f>LCOE!O17</f>
        <v>58</v>
      </c>
      <c r="P55" s="128">
        <f>LCOE!P17</f>
        <v>58</v>
      </c>
      <c r="Q55" s="128">
        <f>LCOE!Q17</f>
        <v>58</v>
      </c>
      <c r="R55" s="128">
        <f>LCOE!R17</f>
        <v>58</v>
      </c>
      <c r="S55" s="128">
        <f>LCOE!S17</f>
        <v>58</v>
      </c>
      <c r="T55" s="128">
        <f>LCOE!T17</f>
        <v>58</v>
      </c>
      <c r="U55" s="128">
        <f>LCOE!U17</f>
        <v>58</v>
      </c>
      <c r="V55" s="128">
        <f>LCOE!V17</f>
        <v>58</v>
      </c>
      <c r="W55" s="128">
        <f>LCOE!W17</f>
        <v>58</v>
      </c>
      <c r="X55" s="128">
        <f>LCOE!X17</f>
        <v>58</v>
      </c>
      <c r="Y55" s="128">
        <f>LCOE!Y17</f>
        <v>58</v>
      </c>
      <c r="Z55" s="128">
        <f>LCOE!Z17</f>
        <v>58</v>
      </c>
      <c r="AA55" s="128">
        <f>LCOE!AA17</f>
        <v>58</v>
      </c>
      <c r="AB55" s="128">
        <f>LCOE!AB17</f>
        <v>58</v>
      </c>
      <c r="AC55" s="128">
        <f>LCOE!AC17</f>
        <v>58</v>
      </c>
      <c r="AD55" s="128">
        <f>LCOE!AD17</f>
        <v>58</v>
      </c>
      <c r="AE55" s="128">
        <f>LCOE!AE17</f>
        <v>58</v>
      </c>
      <c r="AF55" s="128">
        <f>LCOE!AF17</f>
        <v>58</v>
      </c>
      <c r="AG55" s="128">
        <f>LCOE!AG17</f>
        <v>58</v>
      </c>
      <c r="AH55" s="128">
        <f>LCOE!AH17</f>
        <v>58</v>
      </c>
      <c r="AI55" s="128">
        <f>LCOE!AI17</f>
        <v>58</v>
      </c>
      <c r="AJ55" s="128">
        <f>LCOE!AJ17</f>
        <v>58</v>
      </c>
      <c r="AK55" s="128">
        <f>LCOE!AK17</f>
        <v>58</v>
      </c>
      <c r="AL55" s="128">
        <f>LCOE!AL17</f>
        <v>58</v>
      </c>
      <c r="AM55" s="108">
        <f>LCOE!AM17</f>
        <v>58</v>
      </c>
    </row>
    <row r="56" spans="1:39" ht="15.75" thickBot="1" x14ac:dyDescent="0.3">
      <c r="A56" s="135" t="str">
        <f t="shared" si="4"/>
        <v>Energies marines</v>
      </c>
      <c r="B56" s="136">
        <f>LCOE!B16</f>
        <v>201.20834630956088</v>
      </c>
      <c r="C56" s="137">
        <f>LCOE!C16</f>
        <v>198.78432593841023</v>
      </c>
      <c r="D56" s="137">
        <f>LCOE!D16</f>
        <v>196.36030556725959</v>
      </c>
      <c r="E56" s="137">
        <f>LCOE!E16</f>
        <v>193.93628519610894</v>
      </c>
      <c r="F56" s="137">
        <f>LCOE!F16</f>
        <v>191.51226482495829</v>
      </c>
      <c r="G56" s="137">
        <f>LCOE!G16</f>
        <v>189.08824445380765</v>
      </c>
      <c r="H56" s="137">
        <f>LCOE!H16</f>
        <v>186.664224082657</v>
      </c>
      <c r="I56" s="137">
        <f>LCOE!I16</f>
        <v>184.24020371150635</v>
      </c>
      <c r="J56" s="137">
        <f>LCOE!J16</f>
        <v>181.81618334035571</v>
      </c>
      <c r="K56" s="137">
        <f>LCOE!K16</f>
        <v>179.39216296920506</v>
      </c>
      <c r="L56" s="137">
        <f>LCOE!L16</f>
        <v>176.96814259805441</v>
      </c>
      <c r="M56" s="137">
        <f>LCOE!M16</f>
        <v>174.54412222690377</v>
      </c>
      <c r="N56" s="137">
        <f>LCOE!N16</f>
        <v>172.12010185575312</v>
      </c>
      <c r="O56" s="137">
        <f>LCOE!O16</f>
        <v>169.69608148460247</v>
      </c>
      <c r="P56" s="137">
        <f>LCOE!P16</f>
        <v>167.27206111345183</v>
      </c>
      <c r="Q56" s="137">
        <f>LCOE!Q16</f>
        <v>164.84804074230118</v>
      </c>
      <c r="R56" s="137">
        <f>LCOE!R16</f>
        <v>162.42402037115053</v>
      </c>
      <c r="S56" s="137">
        <f>LCOE!S16</f>
        <v>160</v>
      </c>
      <c r="T56" s="137">
        <f>LCOE!T16</f>
        <v>160</v>
      </c>
      <c r="U56" s="137">
        <f>LCOE!U16</f>
        <v>160</v>
      </c>
      <c r="V56" s="137">
        <f>LCOE!V16</f>
        <v>160</v>
      </c>
      <c r="W56" s="137">
        <f>LCOE!W16</f>
        <v>160</v>
      </c>
      <c r="X56" s="137">
        <f>LCOE!X16</f>
        <v>160</v>
      </c>
      <c r="Y56" s="137">
        <f>LCOE!Y16</f>
        <v>160</v>
      </c>
      <c r="Z56" s="137">
        <f>LCOE!Z16</f>
        <v>160</v>
      </c>
      <c r="AA56" s="137">
        <f>LCOE!AA16</f>
        <v>160</v>
      </c>
      <c r="AB56" s="137">
        <f>LCOE!AB16</f>
        <v>160</v>
      </c>
      <c r="AC56" s="137">
        <f>LCOE!AC16</f>
        <v>160</v>
      </c>
      <c r="AD56" s="137">
        <f>LCOE!AD16</f>
        <v>160</v>
      </c>
      <c r="AE56" s="137">
        <f>LCOE!AE16</f>
        <v>160</v>
      </c>
      <c r="AF56" s="137">
        <f>LCOE!AF16</f>
        <v>160</v>
      </c>
      <c r="AG56" s="137">
        <f>LCOE!AG16</f>
        <v>160</v>
      </c>
      <c r="AH56" s="137">
        <f>LCOE!AH16</f>
        <v>160</v>
      </c>
      <c r="AI56" s="137">
        <f>LCOE!AI16</f>
        <v>160</v>
      </c>
      <c r="AJ56" s="137">
        <f>LCOE!AJ16</f>
        <v>160</v>
      </c>
      <c r="AK56" s="137">
        <f>LCOE!AK16</f>
        <v>160</v>
      </c>
      <c r="AL56" s="137">
        <f>LCOE!AL16</f>
        <v>160</v>
      </c>
      <c r="AM56" s="136">
        <f>LCOE!AM16</f>
        <v>160</v>
      </c>
    </row>
    <row r="57" spans="1:39" ht="15.75" thickBot="1" x14ac:dyDescent="0.3"/>
    <row r="58" spans="1:39" x14ac:dyDescent="0.25">
      <c r="A58" s="131" t="s">
        <v>204</v>
      </c>
      <c r="B58" s="132">
        <f>B1</f>
        <v>2013</v>
      </c>
      <c r="C58" s="132">
        <f t="shared" ref="C58:AM58" si="5">C1</f>
        <v>2014</v>
      </c>
      <c r="D58" s="132">
        <f t="shared" si="5"/>
        <v>2015</v>
      </c>
      <c r="E58" s="132">
        <f t="shared" si="5"/>
        <v>2016</v>
      </c>
      <c r="F58" s="132">
        <f t="shared" si="5"/>
        <v>2017</v>
      </c>
      <c r="G58" s="132">
        <f t="shared" si="5"/>
        <v>2018</v>
      </c>
      <c r="H58" s="132">
        <f t="shared" si="5"/>
        <v>2019</v>
      </c>
      <c r="I58" s="132">
        <f t="shared" si="5"/>
        <v>2020</v>
      </c>
      <c r="J58" s="132">
        <f t="shared" si="5"/>
        <v>2021</v>
      </c>
      <c r="K58" s="132">
        <f t="shared" si="5"/>
        <v>2022</v>
      </c>
      <c r="L58" s="132">
        <f t="shared" si="5"/>
        <v>2023</v>
      </c>
      <c r="M58" s="132">
        <f t="shared" si="5"/>
        <v>2024</v>
      </c>
      <c r="N58" s="132">
        <f t="shared" si="5"/>
        <v>2025</v>
      </c>
      <c r="O58" s="132">
        <f t="shared" si="5"/>
        <v>2026</v>
      </c>
      <c r="P58" s="132">
        <f t="shared" si="5"/>
        <v>2027</v>
      </c>
      <c r="Q58" s="132">
        <f t="shared" si="5"/>
        <v>2028</v>
      </c>
      <c r="R58" s="132">
        <f t="shared" si="5"/>
        <v>2029</v>
      </c>
      <c r="S58" s="132">
        <f t="shared" si="5"/>
        <v>2030</v>
      </c>
      <c r="T58" s="132">
        <f t="shared" si="5"/>
        <v>2031</v>
      </c>
      <c r="U58" s="132">
        <f t="shared" si="5"/>
        <v>2032</v>
      </c>
      <c r="V58" s="132">
        <f t="shared" si="5"/>
        <v>2033</v>
      </c>
      <c r="W58" s="132">
        <f t="shared" si="5"/>
        <v>2034</v>
      </c>
      <c r="X58" s="132">
        <f t="shared" si="5"/>
        <v>2035</v>
      </c>
      <c r="Y58" s="132">
        <f t="shared" si="5"/>
        <v>2036</v>
      </c>
      <c r="Z58" s="132">
        <f t="shared" si="5"/>
        <v>2037</v>
      </c>
      <c r="AA58" s="132">
        <f t="shared" si="5"/>
        <v>2038</v>
      </c>
      <c r="AB58" s="132">
        <f t="shared" si="5"/>
        <v>2039</v>
      </c>
      <c r="AC58" s="132">
        <f t="shared" si="5"/>
        <v>2040</v>
      </c>
      <c r="AD58" s="132">
        <f t="shared" si="5"/>
        <v>2041</v>
      </c>
      <c r="AE58" s="132">
        <f t="shared" si="5"/>
        <v>2042</v>
      </c>
      <c r="AF58" s="132">
        <f t="shared" si="5"/>
        <v>2043</v>
      </c>
      <c r="AG58" s="132">
        <f t="shared" si="5"/>
        <v>2044</v>
      </c>
      <c r="AH58" s="132">
        <f t="shared" si="5"/>
        <v>2045</v>
      </c>
      <c r="AI58" s="132">
        <f t="shared" si="5"/>
        <v>2046</v>
      </c>
      <c r="AJ58" s="132">
        <f t="shared" si="5"/>
        <v>2047</v>
      </c>
      <c r="AK58" s="132">
        <f t="shared" si="5"/>
        <v>2048</v>
      </c>
      <c r="AL58" s="132">
        <f t="shared" si="5"/>
        <v>2049</v>
      </c>
      <c r="AM58" s="133">
        <f t="shared" si="5"/>
        <v>2050</v>
      </c>
    </row>
    <row r="59" spans="1:39" x14ac:dyDescent="0.25">
      <c r="A59" s="134" t="str">
        <f>A2</f>
        <v>Eolien terrestre</v>
      </c>
      <c r="B59" s="108">
        <f>'Coûts annuel génération élec'!E8/Synthèse!B2</f>
        <v>80</v>
      </c>
      <c r="C59" s="128">
        <f>'Coûts annuel génération élec'!F8/Synthèse!C2</f>
        <v>79.806138867823847</v>
      </c>
      <c r="D59" s="128">
        <f>'Coûts annuel génération élec'!G8/Synthèse!D2</f>
        <v>79.659702921306661</v>
      </c>
      <c r="E59" s="128">
        <f>'Coûts annuel génération élec'!H8/Synthèse!E2</f>
        <v>79.445485004059023</v>
      </c>
      <c r="F59" s="128">
        <f>'Coûts annuel génération élec'!I8/Synthèse!F2</f>
        <v>79.195267104519033</v>
      </c>
      <c r="G59" s="128">
        <f>'Coûts annuel génération élec'!J8/Synthèse!G2</f>
        <v>78.923647460725604</v>
      </c>
      <c r="H59" s="128">
        <f>'Coûts annuel génération élec'!K8/Synthèse!H2</f>
        <v>78.638271237016312</v>
      </c>
      <c r="I59" s="128">
        <f>'Coûts annuel génération élec'!L8/Synthèse!I2</f>
        <v>78.343529695726318</v>
      </c>
      <c r="J59" s="128">
        <f>'Coûts annuel génération élec'!M8/Synthèse!J2</f>
        <v>78.042124851560018</v>
      </c>
      <c r="K59" s="128">
        <f>'Coûts annuel génération élec'!N8/Synthèse!K2</f>
        <v>77.73581048996283</v>
      </c>
      <c r="L59" s="128">
        <f>'Coûts annuel génération élec'!O8/Synthèse!L2</f>
        <v>77.425774574698167</v>
      </c>
      <c r="M59" s="128">
        <f>'Coûts annuel génération élec'!P8/Synthèse!M2</f>
        <v>77.112850404501387</v>
      </c>
      <c r="N59" s="128">
        <f>'Coûts annuel génération élec'!Q8/Synthèse!N2</f>
        <v>76.797639776486804</v>
      </c>
      <c r="O59" s="128">
        <f>'Coûts annuel génération élec'!R8/Synthèse!O2</f>
        <v>76.480588158044512</v>
      </c>
      <c r="P59" s="128">
        <f>'Coûts annuel génération élec'!S8/Synthèse!P2</f>
        <v>76.162032353720477</v>
      </c>
      <c r="Q59" s="128">
        <f>'Coûts annuel génération élec'!T8/Synthèse!Q2</f>
        <v>75.842231733492781</v>
      </c>
      <c r="R59" s="128">
        <f>'Coûts annuel génération élec'!U8/Synthèse!R2</f>
        <v>75.521389276890417</v>
      </c>
      <c r="S59" s="128">
        <f>'Coûts annuel génération élec'!V8/Synthèse!S2</f>
        <v>75.199666108000514</v>
      </c>
      <c r="T59" s="128">
        <f>'Coûts annuel génération élec'!W8/Synthèse!T2</f>
        <v>74.895761686356053</v>
      </c>
      <c r="U59" s="128">
        <f>'Coûts annuel génération élec'!X8/Synthèse!U2</f>
        <v>74.607177840709426</v>
      </c>
      <c r="V59" s="128">
        <f>'Coûts annuel génération élec'!Y8/Synthèse!V2</f>
        <v>73.92499999999977</v>
      </c>
      <c r="W59" s="128">
        <f>'Coûts annuel génération élec'!Z8/Synthèse!W2</f>
        <v>73.216174153348021</v>
      </c>
      <c r="X59" s="128">
        <f>'Coûts annuel génération élec'!AA8/Synthèse!X2</f>
        <v>72.570731963285098</v>
      </c>
      <c r="Y59" s="128">
        <f>'Coûts annuel génération élec'!AB8/Synthèse!Y2</f>
        <v>71.981186625701284</v>
      </c>
      <c r="Z59" s="128">
        <f>'Coûts annuel génération élec'!AC8/Synthèse!Z2</f>
        <v>71.441185780265855</v>
      </c>
      <c r="AA59" s="128">
        <f>'Coûts annuel génération élec'!AD8/Synthèse!AA2</f>
        <v>70.945304481156938</v>
      </c>
      <c r="AB59" s="128">
        <f>'Coûts annuel génération élec'!AE8/Synthèse!AB2</f>
        <v>70.488881909219359</v>
      </c>
      <c r="AC59" s="128">
        <f>'Coûts annuel génération élec'!AF8/Synthèse!AC2</f>
        <v>70.067891410269567</v>
      </c>
      <c r="AD59" s="128">
        <f>'Coûts annuel génération élec'!AG8/Synthèse!AD2</f>
        <v>69.678836185296873</v>
      </c>
      <c r="AE59" s="128">
        <f>'Coûts annuel génération élec'!AH8/Synthèse!AE2</f>
        <v>69.318664913647766</v>
      </c>
      <c r="AF59" s="128">
        <f>'Coûts annuel génération élec'!AI8/Synthèse!AF2</f>
        <v>68.984703002439204</v>
      </c>
      <c r="AG59" s="128">
        <f>'Coûts annuel génération élec'!AJ8/Synthèse!AG2</f>
        <v>68.674596187061056</v>
      </c>
      <c r="AH59" s="128">
        <f>'Coûts annuel génération élec'!AK8/Synthèse!AH2</f>
        <v>68.38626396932915</v>
      </c>
      <c r="AI59" s="128">
        <f>'Coûts annuel génération élec'!AL8/Synthèse!AI2</f>
        <v>68.117860947889611</v>
      </c>
      <c r="AJ59" s="128">
        <f>'Coûts annuel génération élec'!AM8/Synthèse!AJ2</f>
        <v>67.86774452305643</v>
      </c>
      <c r="AK59" s="128">
        <f>'Coûts annuel génération élec'!AN8/Synthèse!AK2</f>
        <v>67.634447782947333</v>
      </c>
      <c r="AL59" s="128">
        <f>'Coûts annuel génération élec'!AO8/Synthèse!AL2</f>
        <v>67.416656626365253</v>
      </c>
      <c r="AM59" s="108">
        <f>'Coûts annuel génération élec'!AP8/Synthèse!AM2</f>
        <v>67.213190369668482</v>
      </c>
    </row>
    <row r="60" spans="1:39" x14ac:dyDescent="0.25">
      <c r="A60" s="134" t="str">
        <f>A3</f>
        <v>Eolien en mer</v>
      </c>
      <c r="B60" s="108"/>
      <c r="C60" s="128"/>
      <c r="D60" s="128"/>
      <c r="E60" s="128"/>
      <c r="F60" s="128"/>
      <c r="G60" s="128">
        <f>'Coûts annuel génération élec'!J12/Synthèse!G3</f>
        <v>133.82352941176507</v>
      </c>
      <c r="H60" s="128">
        <f>'Coûts annuel génération élec'!K12/Synthèse!H3</f>
        <v>132.20588235294153</v>
      </c>
      <c r="I60" s="128">
        <f>'Coûts annuel génération élec'!L12/Synthèse!I3</f>
        <v>130.58823529411802</v>
      </c>
      <c r="J60" s="128">
        <f>'Coûts annuel génération élec'!M12/Synthèse!J3</f>
        <v>128.97058823529451</v>
      </c>
      <c r="K60" s="128">
        <f>'Coûts annuel génération élec'!N12/Synthèse!K3</f>
        <v>127.35294117647098</v>
      </c>
      <c r="L60" s="128">
        <f>'Coûts annuel génération élec'!O12/Synthèse!L3</f>
        <v>125.73529411764746</v>
      </c>
      <c r="M60" s="128">
        <f>'Coûts annuel génération élec'!P12/Synthèse!M3</f>
        <v>124.70588235294157</v>
      </c>
      <c r="N60" s="128">
        <f>'Coûts annuel génération élec'!Q12/Synthèse!N3</f>
        <v>123.57843137254939</v>
      </c>
      <c r="O60" s="128">
        <f>'Coûts annuel génération élec'!R12/Synthèse!O3</f>
        <v>122.37556561086009</v>
      </c>
      <c r="P60" s="128">
        <f>'Coûts annuel génération élec'!S12/Synthèse!P3</f>
        <v>121.11344537815161</v>
      </c>
      <c r="Q60" s="128">
        <f>'Coûts annuel génération élec'!T12/Synthèse!Q3</f>
        <v>119.80392156862777</v>
      </c>
      <c r="R60" s="128">
        <f>'Coûts annuel génération élec'!U12/Synthèse!R3</f>
        <v>118.45588235294146</v>
      </c>
      <c r="S60" s="128">
        <f>'Coûts annuel génération élec'!V12/Synthèse!S3</f>
        <v>117.07612456747431</v>
      </c>
      <c r="T60" s="128">
        <f>'Coûts annuel génération élec'!W12/Synthèse!T3</f>
        <v>115.80800653594794</v>
      </c>
      <c r="U60" s="128">
        <f>'Coûts annuel génération élec'!X12/Synthèse!U3</f>
        <v>114.63390092879278</v>
      </c>
      <c r="V60" s="128">
        <f>'Coûts annuel génération élec'!Y12/Synthèse!V3</f>
        <v>113.53970588235315</v>
      </c>
      <c r="W60" s="128">
        <f>'Coûts annuel génération élec'!Z12/Synthèse!W3</f>
        <v>112.5140056022411</v>
      </c>
      <c r="X60" s="128">
        <f>'Coûts annuel génération élec'!AA12/Synthèse!X3</f>
        <v>111.54745989304831</v>
      </c>
      <c r="Y60" s="128">
        <f>'Coûts annuel génération élec'!AB12/Synthèse!Y3</f>
        <v>110.63235294117665</v>
      </c>
      <c r="Z60" s="128">
        <f>'Coûts annuel génération élec'!AC12/Synthèse!Z3</f>
        <v>109.76225490196096</v>
      </c>
      <c r="AA60" s="128">
        <f>'Coûts annuel génération élec'!AD12/Synthèse!AA3</f>
        <v>105.9435294117649</v>
      </c>
      <c r="AB60" s="128">
        <f>'Coûts annuel génération élec'!AE12/Synthèse!AB3</f>
        <v>102.54901960784336</v>
      </c>
      <c r="AC60" s="128">
        <f>'Coûts annuel génération élec'!AF12/Synthèse!AC3</f>
        <v>99.531590413943604</v>
      </c>
      <c r="AD60" s="128">
        <f>'Coûts annuel génération élec'!AG12/Synthèse!AD3</f>
        <v>96.850840336134723</v>
      </c>
      <c r="AE60" s="128">
        <f>'Coûts annuel génération élec'!AH12/Synthèse!AE3</f>
        <v>94.471940500338363</v>
      </c>
      <c r="AF60" s="128">
        <f>'Coûts annuel génération élec'!AI12/Synthèse!AF3</f>
        <v>92.364705882353249</v>
      </c>
      <c r="AG60" s="128">
        <f>'Coûts annuel génération élec'!AJ12/Synthèse!AG3</f>
        <v>91.146110056926318</v>
      </c>
      <c r="AH60" s="128">
        <f>'Coûts annuel génération élec'!AK12/Synthèse!AH3</f>
        <v>90.057904411765023</v>
      </c>
      <c r="AI60" s="128">
        <f>'Coûts annuel génération élec'!AL12/Synthèse!AI3</f>
        <v>89.088235294117965</v>
      </c>
      <c r="AJ60" s="128">
        <f>'Coûts annuel génération élec'!AM12/Synthèse!AJ3</f>
        <v>88.226643598616221</v>
      </c>
      <c r="AK60" s="128">
        <f>'Coûts annuel génération élec'!AN12/Synthèse!AK3</f>
        <v>87.463865546218813</v>
      </c>
      <c r="AL60" s="128">
        <f>'Coûts annuel génération élec'!AO12/Synthèse!AL3</f>
        <v>86.79166666666697</v>
      </c>
      <c r="AM60" s="108">
        <f>'Coûts annuel génération élec'!AP12/Synthèse!AM3</f>
        <v>86.202702702702979</v>
      </c>
    </row>
    <row r="61" spans="1:39" x14ac:dyDescent="0.25">
      <c r="A61" s="134" t="s">
        <v>206</v>
      </c>
      <c r="B61" s="108">
        <f>'Coûts annuel génération élec'!E17/Synthèse!B4</f>
        <v>179.46998377501356</v>
      </c>
      <c r="C61" s="128">
        <f>'Coûts annuel génération élec'!F17/Synthèse!C4</f>
        <v>178.20582708399004</v>
      </c>
      <c r="D61" s="128">
        <f>'Coûts annuel génération élec'!G17/Synthèse!D4</f>
        <v>176.58122427264297</v>
      </c>
      <c r="E61" s="128">
        <f>'Coûts annuel génération élec'!H17/Synthèse!E4</f>
        <v>174.80426292989603</v>
      </c>
      <c r="F61" s="128">
        <f>'Coûts annuel génération élec'!I17/Synthèse!F4</f>
        <v>172.94870592546707</v>
      </c>
      <c r="G61" s="128">
        <f>'Coûts annuel génération élec'!J17/Synthèse!G4</f>
        <v>171.0473171335689</v>
      </c>
      <c r="H61" s="128">
        <f>'Coûts annuel génération élec'!K17/Synthèse!H4</f>
        <v>169.11687133113276</v>
      </c>
      <c r="I61" s="128">
        <f>'Coûts annuel génération élec'!L17/Synthèse!I4</f>
        <v>167.16684718082442</v>
      </c>
      <c r="J61" s="128">
        <f>'Coûts annuel génération élec'!M17/Synthèse!J4</f>
        <v>165.2030049664115</v>
      </c>
      <c r="K61" s="128">
        <f>'Coûts annuel génération élec'!N17/Synthèse!K4</f>
        <v>163.22904709426609</v>
      </c>
      <c r="L61" s="128">
        <f>'Coûts annuel génération élec'!O17/Synthèse!L4</f>
        <v>161.24746172404187</v>
      </c>
      <c r="M61" s="128">
        <f>'Coûts annuel génération élec'!P17/Synthèse!M4</f>
        <v>159.25998283072187</v>
      </c>
      <c r="N61" s="128">
        <f>'Coûts annuel génération élec'!Q17/Synthèse!N4</f>
        <v>157.26785582706452</v>
      </c>
      <c r="O61" s="128">
        <f>'Coûts annuel génération élec'!R17/Synthèse!O4</f>
        <v>155.27199831130631</v>
      </c>
      <c r="P61" s="128">
        <f>'Coûts annuel génération élec'!S17/Synthèse!P4</f>
        <v>153.27310126601103</v>
      </c>
      <c r="Q61" s="128">
        <f>'Coûts annuel génération élec'!T17/Synthèse!Q4</f>
        <v>151.27169494792031</v>
      </c>
      <c r="R61" s="128">
        <f>'Coûts annuel génération élec'!U17/Synthèse!R4</f>
        <v>149.26819305176173</v>
      </c>
      <c r="S61" s="128">
        <f>'Coûts annuel génération élec'!V17/Synthèse!S4</f>
        <v>147.26292307038909</v>
      </c>
      <c r="T61" s="128">
        <f>'Coûts annuel génération élec'!W17/Synthèse!T4</f>
        <v>145.33318489278818</v>
      </c>
      <c r="U61" s="128">
        <f>'Coûts annuel génération élec'!X17/Synthèse!U4</f>
        <v>143.46828831842262</v>
      </c>
      <c r="V61" s="128">
        <f>'Coûts annuel génération élec'!Y17/Synthèse!V4</f>
        <v>141.65946960806352</v>
      </c>
      <c r="W61" s="128">
        <f>'Coûts annuel génération élec'!Z17/Synthèse!W4</f>
        <v>139.89947623648143</v>
      </c>
      <c r="X61" s="128">
        <f>'Coûts annuel génération élec'!AA17/Synthèse!X4</f>
        <v>138.18225461367962</v>
      </c>
      <c r="Y61" s="128">
        <f>'Coûts annuel génération élec'!AB17/Synthèse!Y4</f>
        <v>136.50271216838368</v>
      </c>
      <c r="Z61" s="128">
        <f>'Coûts annuel génération élec'!AC17/Synthèse!Z4</f>
        <v>134.85653392339572</v>
      </c>
      <c r="AA61" s="128">
        <f>'Coûts annuel génération élec'!AD17/Synthèse!AA4</f>
        <v>133.24003953739444</v>
      </c>
      <c r="AB61" s="128">
        <f>'Coûts annuel génération élec'!AE17/Synthèse!AB4</f>
        <v>128.82469111341865</v>
      </c>
      <c r="AC61" s="128">
        <f>'Coûts annuel génération élec'!AF17/Synthèse!AC4</f>
        <v>124.68684920915672</v>
      </c>
      <c r="AD61" s="128">
        <f>'Coûts annuel génération élec'!AG17/Synthèse!AD4</f>
        <v>120.79894380574731</v>
      </c>
      <c r="AE61" s="128">
        <f>'Coûts annuel génération élec'!AH17/Synthèse!AE4</f>
        <v>117.13693989258611</v>
      </c>
      <c r="AF61" s="128">
        <f>'Coûts annuel génération élec'!AI17/Synthèse!AF4</f>
        <v>113.67978849424732</v>
      </c>
      <c r="AG61" s="128">
        <f>'Coûts annuel génération élec'!AJ17/Synthèse!AG4</f>
        <v>110.40897691970649</v>
      </c>
      <c r="AH61" s="128">
        <f>'Coûts annuel génération élec'!AK17/Synthèse!AH4</f>
        <v>107.30815792315995</v>
      </c>
      <c r="AI61" s="128">
        <f>'Coûts annuel génération élec'!AL17/Synthèse!AI4</f>
        <v>104.36284208225736</v>
      </c>
      <c r="AJ61" s="128">
        <f>'Coûts annuel génération élec'!AM17/Synthèse!AJ4</f>
        <v>101.56014116822172</v>
      </c>
      <c r="AK61" s="128">
        <f>'Coûts annuel génération élec'!AN17/Synthèse!AK4</f>
        <v>98.888552911720623</v>
      </c>
      <c r="AL61" s="128">
        <f>'Coûts annuel génération élec'!AO17/Synthèse!AL4</f>
        <v>96.337779578194841</v>
      </c>
      <c r="AM61" s="108">
        <f>'Coûts annuel génération élec'!AP17/Synthèse!AM4</f>
        <v>93.898574314711098</v>
      </c>
    </row>
    <row r="62" spans="1:39" x14ac:dyDescent="0.25">
      <c r="A62" s="134" t="s">
        <v>22</v>
      </c>
      <c r="B62" s="108">
        <f>'Coûts annuel génération élec'!E32/Synthèse!B5</f>
        <v>150</v>
      </c>
      <c r="C62" s="128">
        <f>'Coûts annuel génération élec'!F32/Synthèse!C5</f>
        <v>149.55873104422895</v>
      </c>
      <c r="D62" s="128">
        <f>'Coûts annuel génération élec'!G32/Synthèse!D5</f>
        <v>149.10585695284377</v>
      </c>
      <c r="E62" s="128">
        <f>'Coûts annuel génération élec'!H32/Synthèse!E5</f>
        <v>148.36725743603444</v>
      </c>
      <c r="F62" s="128">
        <f>'Coûts annuel génération élec'!I32/Synthèse!F5</f>
        <v>147.41152298262244</v>
      </c>
      <c r="G62" s="128">
        <f>'Coûts annuel génération élec'!J32/Synthèse!G5</f>
        <v>146.28691647696488</v>
      </c>
      <c r="H62" s="128">
        <f>'Coûts annuel génération élec'!K32/Synthèse!H5</f>
        <v>145.02838416167086</v>
      </c>
      <c r="I62" s="128">
        <f>'Coûts annuel génération élec'!L32/Synthèse!I5</f>
        <v>143.66185215628354</v>
      </c>
      <c r="J62" s="128">
        <f>'Coûts annuel génération élec'!M32/Synthèse!J5</f>
        <v>142.20696032270803</v>
      </c>
      <c r="K62" s="128">
        <f>'Coûts annuel génération élec'!N32/Synthèse!K5</f>
        <v>140.67885864537024</v>
      </c>
      <c r="L62" s="128">
        <f>'Coûts annuel génération élec'!O32/Synthèse!L5</f>
        <v>139.08942090753237</v>
      </c>
      <c r="M62" s="128">
        <f>'Coûts annuel génération élec'!P32/Synthèse!M5</f>
        <v>137.4480848715429</v>
      </c>
      <c r="N62" s="128">
        <f>'Coûts annuel génération élec'!Q32/Synthèse!N5</f>
        <v>135.76244651684439</v>
      </c>
      <c r="O62" s="128">
        <f>'Coûts annuel génération élec'!R32/Synthèse!O5</f>
        <v>134.0386884210815</v>
      </c>
      <c r="P62" s="128">
        <f>'Coûts annuel génération élec'!S32/Synthèse!P5</f>
        <v>132.28189389108249</v>
      </c>
      <c r="Q62" s="128">
        <f>'Coûts annuel génération élec'!T32/Synthèse!Q5</f>
        <v>130.4962808799929</v>
      </c>
      <c r="R62" s="128">
        <f>'Coûts annuel génération élec'!U32/Synthèse!R5</f>
        <v>128.68537861159658</v>
      </c>
      <c r="S62" s="128">
        <f>'Coûts annuel génération élec'!V32/Synthèse!S5</f>
        <v>126.85216264110602</v>
      </c>
      <c r="T62" s="128">
        <f>'Coûts annuel génération élec'!W32/Synthèse!T5</f>
        <v>125.02288316073596</v>
      </c>
      <c r="U62" s="128">
        <f>'Coûts annuel génération élec'!X32/Synthèse!U5</f>
        <v>123.19711068856137</v>
      </c>
      <c r="V62" s="128">
        <f>'Coûts annuel génération élec'!Y32/Synthèse!V5</f>
        <v>119.24999999999963</v>
      </c>
      <c r="W62" s="128">
        <f>'Coûts annuel génération élec'!Z32/Synthèse!W5</f>
        <v>115.50215267740337</v>
      </c>
      <c r="X62" s="128">
        <f>'Coûts annuel génération élec'!AA32/Synthèse!X5</f>
        <v>111.93872686250279</v>
      </c>
      <c r="Y62" s="128">
        <f>'Coûts annuel génération élec'!AB32/Synthèse!Y5</f>
        <v>108.54215693688954</v>
      </c>
      <c r="Z62" s="128">
        <f>'Coûts annuel génération élec'!AC32/Synthèse!Z5</f>
        <v>105.29703940309209</v>
      </c>
      <c r="AA62" s="128">
        <f>'Coûts annuel génération élec'!AD32/Synthèse!AA5</f>
        <v>102.18981015118845</v>
      </c>
      <c r="AB62" s="128">
        <f>'Coûts annuel génération élec'!AE32/Synthèse!AB5</f>
        <v>99.208477857823311</v>
      </c>
      <c r="AC62" s="128">
        <f>'Coûts annuel génération élec'!AF32/Synthèse!AC5</f>
        <v>96.342402448337097</v>
      </c>
      <c r="AD62" s="128">
        <f>'Coûts annuel génération élec'!AG32/Synthèse!AD5</f>
        <v>93.582109979059041</v>
      </c>
      <c r="AE62" s="128">
        <f>'Coûts annuel génération élec'!AH32/Synthèse!AE5</f>
        <v>90.919137140792415</v>
      </c>
      <c r="AF62" s="128">
        <f>'Coûts annuel génération élec'!AI32/Synthèse!AF5</f>
        <v>88.345899997402469</v>
      </c>
      <c r="AG62" s="128">
        <f>'Coûts annuel génération élec'!AJ32/Synthèse!AG5</f>
        <v>85.855582664354372</v>
      </c>
      <c r="AH62" s="128">
        <f>'Coûts annuel génération élec'!AK32/Synthèse!AH5</f>
        <v>83.442042480535662</v>
      </c>
      <c r="AI62" s="128">
        <f>'Coûts annuel génération élec'!AL32/Synthèse!AI5</f>
        <v>81.09972889116348</v>
      </c>
      <c r="AJ62" s="128">
        <f>'Coûts annuel génération élec'!AM32/Synthèse!AJ5</f>
        <v>78.823613783321179</v>
      </c>
      <c r="AK62" s="128">
        <f>'Coûts annuel génération élec'!AN32/Synthèse!AK5</f>
        <v>76.609131431046421</v>
      </c>
      <c r="AL62" s="128">
        <f>'Coûts annuel génération élec'!AO32/Synthèse!AL5</f>
        <v>74.452126538253808</v>
      </c>
      <c r="AM62" s="108">
        <f>'Coûts annuel génération élec'!AP32/Synthèse!AM5</f>
        <v>72.348809133590407</v>
      </c>
    </row>
    <row r="63" spans="1:39" x14ac:dyDescent="0.25">
      <c r="A63" s="134" t="str">
        <f>A7</f>
        <v>UIOM</v>
      </c>
      <c r="B63" s="108">
        <f>'Coûts annuel génération élec'!E28/Synthèse!B7</f>
        <v>60</v>
      </c>
      <c r="C63" s="128">
        <f>'Coûts annuel génération élec'!F28/Synthèse!C7</f>
        <v>59.999999999999993</v>
      </c>
      <c r="D63" s="128">
        <f>'Coûts annuel génération élec'!G28/Synthèse!D7</f>
        <v>59.999999999999986</v>
      </c>
      <c r="E63" s="128">
        <f>'Coûts annuel génération élec'!H28/Synthèse!E7</f>
        <v>59.999999999999993</v>
      </c>
      <c r="F63" s="128">
        <f>'Coûts annuel génération élec'!I28/Synthèse!F7</f>
        <v>59.999999999999986</v>
      </c>
      <c r="G63" s="128">
        <f>'Coûts annuel génération élec'!J28/Synthèse!G7</f>
        <v>59.999999999999979</v>
      </c>
      <c r="H63" s="128">
        <f>'Coûts annuel génération élec'!K28/Synthèse!H7</f>
        <v>59.999999999999972</v>
      </c>
      <c r="I63" s="128">
        <f>'Coûts annuel génération élec'!L28/Synthèse!I7</f>
        <v>59.999999999999979</v>
      </c>
      <c r="J63" s="128">
        <f>'Coûts annuel génération élec'!M28/Synthèse!J7</f>
        <v>59.999999999999972</v>
      </c>
      <c r="K63" s="128">
        <f>'Coûts annuel génération élec'!N28/Synthèse!K7</f>
        <v>59.999999999999964</v>
      </c>
      <c r="L63" s="128">
        <f>'Coûts annuel génération élec'!O28/Synthèse!L7</f>
        <v>59.999999999999964</v>
      </c>
      <c r="M63" s="128">
        <f>'Coûts annuel génération élec'!P28/Synthèse!M7</f>
        <v>59.999999999999964</v>
      </c>
      <c r="N63" s="128">
        <f>'Coûts annuel génération élec'!Q28/Synthèse!N7</f>
        <v>59.999999999999957</v>
      </c>
      <c r="O63" s="128">
        <f>'Coûts annuel génération élec'!R28/Synthèse!O7</f>
        <v>59.999999999999957</v>
      </c>
      <c r="P63" s="128">
        <f>'Coûts annuel génération élec'!S28/Synthèse!P7</f>
        <v>59.999999999999957</v>
      </c>
      <c r="Q63" s="128">
        <f>'Coûts annuel génération élec'!T28/Synthèse!Q7</f>
        <v>59.999999999999957</v>
      </c>
      <c r="R63" s="128">
        <f>'Coûts annuel génération élec'!U28/Synthèse!R7</f>
        <v>59.99999999999995</v>
      </c>
      <c r="S63" s="128">
        <f>'Coûts annuel génération élec'!V28/Synthèse!S7</f>
        <v>59.99999999999995</v>
      </c>
      <c r="T63" s="128">
        <f>'Coûts annuel génération élec'!W28/Synthèse!T7</f>
        <v>59.999999999999943</v>
      </c>
      <c r="U63" s="128">
        <f>'Coûts annuel génération élec'!X28/Synthèse!U7</f>
        <v>59.999999999999943</v>
      </c>
      <c r="V63" s="128">
        <f>'Coûts annuel génération élec'!Y28/Synthèse!V7</f>
        <v>59.999999999999943</v>
      </c>
      <c r="W63" s="128">
        <f>'Coûts annuel génération élec'!Z28/Synthèse!W7</f>
        <v>59.99999999999995</v>
      </c>
      <c r="X63" s="128">
        <f>'Coûts annuel génération élec'!AA28/Synthèse!X7</f>
        <v>59.999999999999943</v>
      </c>
      <c r="Y63" s="128">
        <f>'Coûts annuel génération élec'!AB28/Synthèse!Y7</f>
        <v>59.999999999999943</v>
      </c>
      <c r="Z63" s="128">
        <f>'Coûts annuel génération élec'!AC28/Synthèse!Z7</f>
        <v>59.999999999999936</v>
      </c>
      <c r="AA63" s="128">
        <f>'Coûts annuel génération élec'!AD28/Synthèse!AA7</f>
        <v>59.999999999999936</v>
      </c>
      <c r="AB63" s="128">
        <f>'Coûts annuel génération élec'!AE28/Synthèse!AB7</f>
        <v>59.999999999999936</v>
      </c>
      <c r="AC63" s="128">
        <f>'Coûts annuel génération élec'!AF28/Synthèse!AC7</f>
        <v>59.999999999999943</v>
      </c>
      <c r="AD63" s="128">
        <f>'Coûts annuel génération élec'!AG28/Synthèse!AD7</f>
        <v>59.999999999999943</v>
      </c>
      <c r="AE63" s="128">
        <f>'Coûts annuel génération élec'!AH28/Synthèse!AE7</f>
        <v>59.999999999999936</v>
      </c>
      <c r="AF63" s="128">
        <f>'Coûts annuel génération élec'!AI28/Synthèse!AF7</f>
        <v>59.999999999999943</v>
      </c>
      <c r="AG63" s="128">
        <f>'Coûts annuel génération élec'!AJ28/Synthèse!AG7</f>
        <v>59.999999999999936</v>
      </c>
      <c r="AH63" s="128">
        <f>'Coûts annuel génération élec'!AK28/Synthèse!AH7</f>
        <v>59.999999999999943</v>
      </c>
      <c r="AI63" s="128">
        <f>'Coûts annuel génération élec'!AL28/Synthèse!AI7</f>
        <v>59.999999999999943</v>
      </c>
      <c r="AJ63" s="128">
        <f>'Coûts annuel génération élec'!AM28/Synthèse!AJ7</f>
        <v>59.999999999999929</v>
      </c>
      <c r="AK63" s="128">
        <f>'Coûts annuel génération élec'!AN28/Synthèse!AK7</f>
        <v>59.999999999999943</v>
      </c>
      <c r="AL63" s="128">
        <f>'Coûts annuel génération élec'!AO28/Synthèse!AL7</f>
        <v>59.999999999999943</v>
      </c>
      <c r="AM63" s="108">
        <f>'Coûts annuel génération élec'!AP28/Synthèse!AM7</f>
        <v>59.999999999999943</v>
      </c>
    </row>
    <row r="64" spans="1:39" x14ac:dyDescent="0.25">
      <c r="A64" s="134" t="str">
        <f>A8</f>
        <v>Bois énergie</v>
      </c>
      <c r="B64" s="108">
        <f>'Coûts annuel génération élec'!E23/Synthèse!B8</f>
        <v>70</v>
      </c>
      <c r="C64" s="128">
        <f>'Coûts annuel génération élec'!F23/Synthèse!C8</f>
        <v>70</v>
      </c>
      <c r="D64" s="128">
        <f>'Coûts annuel génération élec'!G23/Synthèse!D8</f>
        <v>70</v>
      </c>
      <c r="E64" s="128">
        <f>'Coûts annuel génération élec'!H23/Synthèse!E8</f>
        <v>69.999999999999986</v>
      </c>
      <c r="F64" s="128">
        <f>'Coûts annuel génération élec'!I23/Synthèse!F8</f>
        <v>70</v>
      </c>
      <c r="G64" s="128">
        <f>'Coûts annuel génération élec'!J23/Synthèse!G8</f>
        <v>70.000000000000014</v>
      </c>
      <c r="H64" s="128">
        <f>'Coûts annuel génération élec'!K23/Synthèse!H8</f>
        <v>70</v>
      </c>
      <c r="I64" s="128">
        <f>'Coûts annuel génération élec'!L23/Synthèse!I8</f>
        <v>70</v>
      </c>
      <c r="J64" s="128">
        <f>'Coûts annuel génération élec'!M23/Synthèse!J8</f>
        <v>70.000000000000014</v>
      </c>
      <c r="K64" s="128">
        <f>'Coûts annuel génération élec'!N23/Synthèse!K8</f>
        <v>70.000000000000014</v>
      </c>
      <c r="L64" s="128">
        <f>'Coûts annuel génération élec'!O23/Synthèse!L8</f>
        <v>70</v>
      </c>
      <c r="M64" s="128">
        <f>'Coûts annuel génération élec'!P23/Synthèse!M8</f>
        <v>70</v>
      </c>
      <c r="N64" s="128">
        <f>'Coûts annuel génération élec'!Q23/Synthèse!N8</f>
        <v>70</v>
      </c>
      <c r="O64" s="128">
        <f>'Coûts annuel génération élec'!R23/Synthèse!O8</f>
        <v>70</v>
      </c>
      <c r="P64" s="128">
        <f>'Coûts annuel génération élec'!S23/Synthèse!P8</f>
        <v>70</v>
      </c>
      <c r="Q64" s="128">
        <f>'Coûts annuel génération élec'!T23/Synthèse!Q8</f>
        <v>70</v>
      </c>
      <c r="R64" s="128">
        <f>'Coûts annuel génération élec'!U23/Synthèse!R8</f>
        <v>70</v>
      </c>
      <c r="S64" s="128">
        <f>'Coûts annuel génération élec'!V23/Synthèse!S8</f>
        <v>70</v>
      </c>
      <c r="T64" s="128">
        <f>'Coûts annuel génération élec'!W23/Synthèse!T8</f>
        <v>70.000000000000014</v>
      </c>
      <c r="U64" s="128">
        <f>'Coûts annuel génération élec'!X23/Synthèse!U8</f>
        <v>70.000000000000014</v>
      </c>
      <c r="V64" s="128">
        <f>'Coûts annuel génération élec'!Y23/Synthèse!V8</f>
        <v>70.000000000000014</v>
      </c>
      <c r="W64" s="128">
        <f>'Coûts annuel génération élec'!Z23/Synthèse!W8</f>
        <v>70.000000000000014</v>
      </c>
      <c r="X64" s="128">
        <f>'Coûts annuel génération élec'!AA23/Synthèse!X8</f>
        <v>70</v>
      </c>
      <c r="Y64" s="128">
        <f>'Coûts annuel génération élec'!AB23/Synthèse!Y8</f>
        <v>70.000000000000014</v>
      </c>
      <c r="Z64" s="128">
        <f>'Coûts annuel génération élec'!AC23/Synthèse!Z8</f>
        <v>70.000000000000014</v>
      </c>
      <c r="AA64" s="128">
        <f>'Coûts annuel génération élec'!AD23/Synthèse!AA8</f>
        <v>70.000000000000014</v>
      </c>
      <c r="AB64" s="128">
        <f>'Coûts annuel génération élec'!AE23/Synthèse!AB8</f>
        <v>70.000000000000028</v>
      </c>
      <c r="AC64" s="128">
        <f>'Coûts annuel génération élec'!AF23/Synthèse!AC8</f>
        <v>70.000000000000014</v>
      </c>
      <c r="AD64" s="128">
        <f>'Coûts annuel génération élec'!AG23/Synthèse!AD8</f>
        <v>70.000000000000014</v>
      </c>
      <c r="AE64" s="128">
        <f>'Coûts annuel génération élec'!AH23/Synthèse!AE8</f>
        <v>70.000000000000014</v>
      </c>
      <c r="AF64" s="128">
        <f>'Coûts annuel génération élec'!AI23/Synthèse!AF8</f>
        <v>70.000000000000028</v>
      </c>
      <c r="AG64" s="128">
        <f>'Coûts annuel génération élec'!AJ23/Synthèse!AG8</f>
        <v>70.000000000000014</v>
      </c>
      <c r="AH64" s="128">
        <f>'Coûts annuel génération élec'!AK23/Synthèse!AH8</f>
        <v>70.000000000000014</v>
      </c>
      <c r="AI64" s="128">
        <f>'Coûts annuel génération élec'!AL23/Synthèse!AI8</f>
        <v>70.000000000000014</v>
      </c>
      <c r="AJ64" s="128">
        <f>'Coûts annuel génération élec'!AM23/Synthèse!AJ8</f>
        <v>70</v>
      </c>
      <c r="AK64" s="128">
        <f>'Coûts annuel génération élec'!AN23/Synthèse!AK8</f>
        <v>70.000000000000014</v>
      </c>
      <c r="AL64" s="128">
        <f>'Coûts annuel génération élec'!AO23/Synthèse!AL8</f>
        <v>70</v>
      </c>
      <c r="AM64" s="108">
        <f>'Coûts annuel génération élec'!AP23/Synthèse!AM8</f>
        <v>70.000000000000014</v>
      </c>
    </row>
    <row r="65" spans="1:39" x14ac:dyDescent="0.25">
      <c r="A65" s="134" t="str">
        <f>A9</f>
        <v>Hydroélectricité</v>
      </c>
      <c r="B65" s="108">
        <f>'Coûts annuel génération élec'!E49/Synthèse!B9</f>
        <v>75.410840013942135</v>
      </c>
      <c r="C65" s="128">
        <f>'Coûts annuel génération élec'!F49/Synthèse!C9</f>
        <v>75.397697815359393</v>
      </c>
      <c r="D65" s="128">
        <f>'Coûts annuel génération élec'!G49/Synthèse!D9</f>
        <v>75.371299959124883</v>
      </c>
      <c r="E65" s="128">
        <f>'Coûts annuel génération élec'!H49/Synthèse!E9</f>
        <v>75.331531686137922</v>
      </c>
      <c r="F65" s="128">
        <f>'Coûts annuel génération élec'!I49/Synthèse!F9</f>
        <v>75.27827691698468</v>
      </c>
      <c r="G65" s="128">
        <f>'Coûts annuel génération élec'!J49/Synthèse!G9</f>
        <v>75.211418231062169</v>
      </c>
      <c r="H65" s="128">
        <f>'Coûts annuel génération élec'!K49/Synthèse!H9</f>
        <v>75.130836845161795</v>
      </c>
      <c r="I65" s="128">
        <f>'Coûts annuel génération élec'!L49/Synthèse!I9</f>
        <v>75.036412591570837</v>
      </c>
      <c r="J65" s="128">
        <f>'Coûts annuel génération élec'!M49/Synthèse!J9</f>
        <v>74.928023895753938</v>
      </c>
      <c r="K65" s="128">
        <f>'Coûts annuel génération élec'!N49/Synthèse!K9</f>
        <v>74.805547753676052</v>
      </c>
      <c r="L65" s="128">
        <f>'Coûts annuel génération élec'!O49/Synthèse!L9</f>
        <v>74.668859708826545</v>
      </c>
      <c r="M65" s="128">
        <f>'Coûts annuel génération élec'!P49/Synthèse!M9</f>
        <v>74.517833828999812</v>
      </c>
      <c r="N65" s="128">
        <f>'Coûts annuel génération élec'!Q49/Synthèse!N9</f>
        <v>74.352342682881371</v>
      </c>
      <c r="O65" s="128">
        <f>'Coûts annuel génération élec'!R49/Synthèse!O9</f>
        <v>74.172257316480326</v>
      </c>
      <c r="P65" s="128">
        <f>'Coûts annuel génération élec'!S49/Synthèse!P9</f>
        <v>73.977447229439875</v>
      </c>
      <c r="Q65" s="128">
        <f>'Coûts annuel génération élec'!T49/Synthèse!Q9</f>
        <v>73.767780351246415</v>
      </c>
      <c r="R65" s="128">
        <f>'Coûts annuel génération élec'!U49/Synthèse!R9</f>
        <v>73.543123017347327</v>
      </c>
      <c r="S65" s="128">
        <f>'Coûts annuel génération élec'!V49/Synthèse!S9</f>
        <v>73.303339945174898</v>
      </c>
      <c r="T65" s="128">
        <f>'Coûts annuel génération élec'!W49/Synthèse!T9</f>
        <v>73.062094727737588</v>
      </c>
      <c r="U65" s="128">
        <f>'Coûts annuel génération élec'!X49/Synthèse!U9</f>
        <v>72.81937483438351</v>
      </c>
      <c r="V65" s="128">
        <f>'Coûts annuel génération élec'!Y49/Synthèse!V9</f>
        <v>72.575167919123672</v>
      </c>
      <c r="W65" s="128">
        <f>'Coûts annuel génération élec'!Z49/Synthèse!W9</f>
        <v>72.329461788578769</v>
      </c>
      <c r="X65" s="128">
        <f>'Coûts annuel génération élec'!AA49/Synthèse!X9</f>
        <v>72.082244362757862</v>
      </c>
      <c r="Y65" s="128">
        <f>'Coûts annuel génération élec'!AB49/Synthèse!Y9</f>
        <v>71.833503629695926</v>
      </c>
      <c r="Z65" s="128">
        <f>'Coûts annuel génération élec'!AC49/Synthèse!Z9</f>
        <v>71.583227595107914</v>
      </c>
      <c r="AA65" s="128">
        <f>'Coûts annuel génération élec'!AD49/Synthèse!AA9</f>
        <v>71.331404228314895</v>
      </c>
      <c r="AB65" s="128">
        <f>'Coûts annuel génération élec'!AE49/Synthèse!AB9</f>
        <v>71.078021405764304</v>
      </c>
      <c r="AC65" s="128">
        <f>'Coûts annuel génération élec'!AF49/Synthèse!AC9</f>
        <v>70.823066853499114</v>
      </c>
      <c r="AD65" s="128">
        <f>'Coûts annuel génération élec'!AG49/Synthèse!AD9</f>
        <v>70.566528089930131</v>
      </c>
      <c r="AE65" s="128">
        <f>'Coûts annuel génération élec'!AH49/Synthèse!AE9</f>
        <v>70.308392370231317</v>
      </c>
      <c r="AF65" s="128">
        <f>'Coûts annuel génération élec'!AI49/Synthèse!AF9</f>
        <v>70.048646633613487</v>
      </c>
      <c r="AG65" s="128">
        <f>'Coûts annuel génération élec'!AJ49/Synthèse!AG9</f>
        <v>69.824623699308503</v>
      </c>
      <c r="AH65" s="128">
        <f>'Coûts annuel génération élec'!AK49/Synthèse!AH9</f>
        <v>69.692525220029182</v>
      </c>
      <c r="AI65" s="128">
        <f>'Coûts annuel génération élec'!AL49/Synthèse!AI9</f>
        <v>69.574072481641778</v>
      </c>
      <c r="AJ65" s="128">
        <f>'Coûts annuel génération élec'!AM49/Synthèse!AJ9</f>
        <v>69.469396066633053</v>
      </c>
      <c r="AK65" s="128">
        <f>'Coûts annuel génération élec'!AN49/Synthèse!AK9</f>
        <v>69.378627939454134</v>
      </c>
      <c r="AL65" s="128">
        <f>'Coûts annuel génération élec'!AO49/Synthèse!AL9</f>
        <v>69.301901463135238</v>
      </c>
      <c r="AM65" s="108">
        <f>'Coûts annuel génération élec'!AP49/Synthèse!AM9</f>
        <v>69.239351423289818</v>
      </c>
    </row>
    <row r="66" spans="1:39" x14ac:dyDescent="0.25">
      <c r="A66" s="134" t="str">
        <f>A10</f>
        <v>Géothermie</v>
      </c>
      <c r="B66" s="108">
        <f>'Coûts annuel génération élec'!E43/Synthèse!B10</f>
        <v>58</v>
      </c>
      <c r="C66" s="128">
        <f>'Coûts annuel génération élec'!F43/Synthèse!C10</f>
        <v>57.999999999999964</v>
      </c>
      <c r="D66" s="128">
        <f>'Coûts annuel génération élec'!G43/Synthèse!D10</f>
        <v>58.023151619033833</v>
      </c>
      <c r="E66" s="128">
        <f>'Coûts annuel génération élec'!H43/Synthèse!E10</f>
        <v>58.032604083590456</v>
      </c>
      <c r="F66" s="128">
        <f>'Coûts annuel génération élec'!I43/Synthèse!F10</f>
        <v>58.037740361186572</v>
      </c>
      <c r="G66" s="128">
        <f>'Coûts annuel génération élec'!J43/Synthèse!G10</f>
        <v>58.040967244392185</v>
      </c>
      <c r="H66" s="128">
        <f>'Coûts annuel génération élec'!K43/Synthèse!H10</f>
        <v>58.043182566574707</v>
      </c>
      <c r="I66" s="128">
        <f>'Coûts annuel génération élec'!L43/Synthèse!I10</f>
        <v>58.044797531011874</v>
      </c>
      <c r="J66" s="128">
        <f>'Coûts annuel génération élec'!M43/Synthèse!J10</f>
        <v>58.046027062731248</v>
      </c>
      <c r="K66" s="128">
        <f>'Coûts annuel génération élec'!N43/Synthèse!K10</f>
        <v>58.046994434365004</v>
      </c>
      <c r="L66" s="128">
        <f>'Coûts annuel génération élec'!O43/Synthèse!L10</f>
        <v>58.047775414672955</v>
      </c>
      <c r="M66" s="128">
        <f>'Coûts annuel génération élec'!P43/Synthèse!M10</f>
        <v>58.04841914017819</v>
      </c>
      <c r="N66" s="128">
        <f>'Coûts annuel génération élec'!Q43/Synthèse!N10</f>
        <v>58.048958871314909</v>
      </c>
      <c r="O66" s="128">
        <f>'Coûts annuel génération élec'!R43/Synthèse!O10</f>
        <v>58.049417925193907</v>
      </c>
      <c r="P66" s="128">
        <f>'Coûts annuel génération élec'!S43/Synthèse!P10</f>
        <v>58.049813132945566</v>
      </c>
      <c r="Q66" s="128">
        <f>'Coûts annuel génération élec'!T43/Synthèse!Q10</f>
        <v>58.050156948295211</v>
      </c>
      <c r="R66" s="128">
        <f>'Coûts annuel génération élec'!U43/Synthèse!R10</f>
        <v>58.050458783766622</v>
      </c>
      <c r="S66" s="128">
        <f>'Coûts annuel génération élec'!V43/Synthèse!S10</f>
        <v>58.050725885595938</v>
      </c>
      <c r="T66" s="128">
        <f>'Coûts annuel génération élec'!W43/Synthèse!T10</f>
        <v>58.050963923037052</v>
      </c>
      <c r="U66" s="128">
        <f>'Coûts annuel génération élec'!X43/Synthèse!U10</f>
        <v>58.051177395219653</v>
      </c>
      <c r="V66" s="128">
        <f>'Coûts annuel génération élec'!Y43/Synthèse!V10</f>
        <v>57.999999999999886</v>
      </c>
      <c r="W66" s="128">
        <f>'Coûts annuel génération élec'!Z43/Synthèse!W10</f>
        <v>57.999999999999886</v>
      </c>
      <c r="X66" s="128">
        <f>'Coûts annuel génération élec'!AA43/Synthèse!X10</f>
        <v>57.999999999999879</v>
      </c>
      <c r="Y66" s="128">
        <f>'Coûts annuel génération élec'!AB43/Synthèse!Y10</f>
        <v>57.999999999999879</v>
      </c>
      <c r="Z66" s="128">
        <f>'Coûts annuel génération élec'!AC43/Synthèse!Z10</f>
        <v>57.999999999999879</v>
      </c>
      <c r="AA66" s="128">
        <f>'Coûts annuel génération élec'!AD43/Synthèse!AA10</f>
        <v>57.999999999999851</v>
      </c>
      <c r="AB66" s="128">
        <f>'Coûts annuel génération élec'!AE43/Synthèse!AB10</f>
        <v>57.999999999999851</v>
      </c>
      <c r="AC66" s="128">
        <f>'Coûts annuel génération élec'!AF43/Synthèse!AC10</f>
        <v>57.999999999999851</v>
      </c>
      <c r="AD66" s="128">
        <f>'Coûts annuel génération élec'!AG43/Synthèse!AD10</f>
        <v>57.999999999999858</v>
      </c>
      <c r="AE66" s="128">
        <f>'Coûts annuel génération élec'!AH43/Synthèse!AE10</f>
        <v>57.999999999999851</v>
      </c>
      <c r="AF66" s="128">
        <f>'Coûts annuel génération élec'!AI43/Synthèse!AF10</f>
        <v>57.999999999999851</v>
      </c>
      <c r="AG66" s="128">
        <f>'Coûts annuel génération élec'!AJ43/Synthèse!AG10</f>
        <v>57.999999999999858</v>
      </c>
      <c r="AH66" s="128">
        <f>'Coûts annuel génération élec'!AK43/Synthèse!AH10</f>
        <v>57.999999999999851</v>
      </c>
      <c r="AI66" s="128">
        <f>'Coûts annuel génération élec'!AL43/Synthèse!AI10</f>
        <v>57.999999999999851</v>
      </c>
      <c r="AJ66" s="128">
        <f>'Coûts annuel génération élec'!AM43/Synthèse!AJ10</f>
        <v>57.999999999999851</v>
      </c>
      <c r="AK66" s="128">
        <f>'Coûts annuel génération élec'!AN43/Synthèse!AK10</f>
        <v>57.999999999999865</v>
      </c>
      <c r="AL66" s="128">
        <f>'Coûts annuel génération élec'!AO43/Synthèse!AL10</f>
        <v>57.999999999999872</v>
      </c>
      <c r="AM66" s="108">
        <f>'Coûts annuel génération élec'!AP43/Synthèse!AM10</f>
        <v>57.999999999999872</v>
      </c>
    </row>
    <row r="67" spans="1:39" ht="15.75" thickBot="1" x14ac:dyDescent="0.3">
      <c r="A67" s="135" t="str">
        <f>A11</f>
        <v>Energies marines</v>
      </c>
      <c r="B67" s="136">
        <f>'Coûts annuel génération élec'!E37/Synthèse!B11</f>
        <v>201.20834630956085</v>
      </c>
      <c r="C67" s="137">
        <f>'Coûts annuel génération élec'!F37/Synthèse!C11</f>
        <v>201.11772181219683</v>
      </c>
      <c r="D67" s="137">
        <f>'Coûts annuel génération élec'!G37/Synthèse!D11</f>
        <v>200.93760787331541</v>
      </c>
      <c r="E67" s="137">
        <f>'Coûts annuel génération élec'!H37/Synthèse!E11</f>
        <v>200.66912067240514</v>
      </c>
      <c r="F67" s="137">
        <f>'Coûts annuel génération élec'!I37/Synthèse!F11</f>
        <v>200.31335790337204</v>
      </c>
      <c r="G67" s="137">
        <f>'Coûts annuel génération élec'!J37/Synthèse!G11</f>
        <v>199.87139915564748</v>
      </c>
      <c r="H67" s="137">
        <f>'Coûts annuel génération élec'!K37/Synthèse!H11</f>
        <v>199.34430628590587</v>
      </c>
      <c r="I67" s="137">
        <f>'Coûts annuel génération élec'!L37/Synthèse!I11</f>
        <v>198.733123780662</v>
      </c>
      <c r="J67" s="137">
        <f>'Coûts annuel génération élec'!M37/Synthèse!J11</f>
        <v>198.0388791100068</v>
      </c>
      <c r="K67" s="137">
        <f>'Coûts annuel génération élec'!N37/Synthèse!K11</f>
        <v>197.26258307273409</v>
      </c>
      <c r="L67" s="137">
        <f>'Coûts annuel génération élec'!O37/Synthèse!L11</f>
        <v>196.40523013310141</v>
      </c>
      <c r="M67" s="137">
        <f>'Coûts annuel génération élec'!P37/Synthèse!M11</f>
        <v>195.46779874946043</v>
      </c>
      <c r="N67" s="137">
        <f>'Coûts annuel génération élec'!Q37/Synthèse!N11</f>
        <v>194.45125169498547</v>
      </c>
      <c r="O67" s="137">
        <f>'Coûts annuel génération élec'!R37/Synthèse!O11</f>
        <v>193.35653637072025</v>
      </c>
      <c r="P67" s="137">
        <f>'Coûts annuel génération élec'!S37/Synthèse!P11</f>
        <v>192.18458511115753</v>
      </c>
      <c r="Q67" s="137">
        <f>'Coûts annuel génération élec'!T37/Synthèse!Q11</f>
        <v>190.93631548255775</v>
      </c>
      <c r="R67" s="137">
        <f>'Coûts annuel génération élec'!U37/Synthèse!R11</f>
        <v>189.61263057420774</v>
      </c>
      <c r="S67" s="137">
        <f>'Coûts annuel génération élec'!V37/Synthèse!S11</f>
        <v>188.21441928281357</v>
      </c>
      <c r="T67" s="137">
        <f>'Coûts annuel génération élec'!W37/Synthèse!T11</f>
        <v>186.82715185173174</v>
      </c>
      <c r="U67" s="137">
        <f>'Coûts annuel génération élec'!X37/Synthèse!U11</f>
        <v>185.45070029473652</v>
      </c>
      <c r="V67" s="137">
        <f>'Coûts annuel génération élec'!Y37/Synthèse!V11</f>
        <v>184.08493861354972</v>
      </c>
      <c r="W67" s="137">
        <f>'Coûts annuel génération élec'!Z37/Synthèse!W11</f>
        <v>182.72974275939293</v>
      </c>
      <c r="X67" s="137">
        <f>'Coûts annuel génération élec'!AA37/Synthèse!X11</f>
        <v>181.38499059542843</v>
      </c>
      <c r="Y67" s="137">
        <f>'Coûts annuel génération élec'!AB37/Synthèse!Y11</f>
        <v>180.05056186006499</v>
      </c>
      <c r="Z67" s="137">
        <f>'Coûts annuel génération élec'!AC37/Synthèse!Z11</f>
        <v>178.72633813110559</v>
      </c>
      <c r="AA67" s="137">
        <f>'Coûts annuel génération élec'!AD37/Synthèse!AA11</f>
        <v>177.41220279071487</v>
      </c>
      <c r="AB67" s="137">
        <f>'Coûts annuel génération élec'!AE37/Synthèse!AB11</f>
        <v>176.10804099118366</v>
      </c>
      <c r="AC67" s="137">
        <f>'Coûts annuel génération élec'!AF37/Synthèse!AC11</f>
        <v>174.81373962147035</v>
      </c>
      <c r="AD67" s="137">
        <f>'Coûts annuel génération élec'!AG37/Synthèse!AD11</f>
        <v>173.52918727449836</v>
      </c>
      <c r="AE67" s="137">
        <f>'Coûts annuel génération élec'!AH37/Synthèse!AE11</f>
        <v>172.25427421518972</v>
      </c>
      <c r="AF67" s="137">
        <f>'Coûts annuel génération élec'!AI37/Synthèse!AF11</f>
        <v>170.98889234921555</v>
      </c>
      <c r="AG67" s="137">
        <f>'Coûts annuel génération élec'!AJ37/Synthèse!AG11</f>
        <v>169.65997272136457</v>
      </c>
      <c r="AH67" s="137">
        <f>'Coûts annuel génération élec'!AK37/Synthèse!AH11</f>
        <v>168.77715242180398</v>
      </c>
      <c r="AI67" s="137">
        <f>'Coûts annuel génération élec'!AL37/Synthèse!AI11</f>
        <v>167.98076349097778</v>
      </c>
      <c r="AJ67" s="137">
        <f>'Coûts annuel génération élec'!AM37/Synthèse!AJ11</f>
        <v>167.2698509717172</v>
      </c>
      <c r="AK67" s="137">
        <f>'Coûts annuel génération élec'!AN37/Synthèse!AK11</f>
        <v>166.64347392332181</v>
      </c>
      <c r="AL67" s="137">
        <f>'Coûts annuel génération élec'!AO37/Synthèse!AL11</f>
        <v>166.10070516533995</v>
      </c>
      <c r="AM67" s="136">
        <f>'Coûts annuel génération élec'!AP37/Synthèse!AM11</f>
        <v>165.64063102694874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52"/>
  <sheetViews>
    <sheetView workbookViewId="0">
      <selection activeCell="F9" sqref="F9"/>
    </sheetView>
  </sheetViews>
  <sheetFormatPr baseColWidth="10" defaultRowHeight="15" x14ac:dyDescent="0.25"/>
  <cols>
    <col min="1" max="1" width="40.5703125" bestFit="1" customWidth="1"/>
  </cols>
  <sheetData>
    <row r="1" spans="1:42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</row>
    <row r="2" spans="1:42" x14ac:dyDescent="0.25">
      <c r="A2" s="36" t="s">
        <v>79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>
        <v>0.4</v>
      </c>
      <c r="Q2" s="37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7">
        <v>0.8</v>
      </c>
      <c r="AI2" s="36"/>
      <c r="AJ2" s="36"/>
      <c r="AK2" s="36"/>
      <c r="AL2" s="36"/>
      <c r="AM2" s="36"/>
      <c r="AN2" s="37">
        <v>0.95</v>
      </c>
      <c r="AO2" s="36"/>
      <c r="AP2" s="37">
        <v>1</v>
      </c>
    </row>
    <row r="3" spans="1:42" s="26" customForma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9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9"/>
      <c r="AI3" s="118"/>
      <c r="AJ3" s="118"/>
      <c r="AK3" s="118"/>
      <c r="AL3" s="118"/>
      <c r="AM3" s="118"/>
      <c r="AN3" s="119"/>
      <c r="AO3" s="118"/>
      <c r="AP3" s="119"/>
    </row>
    <row r="4" spans="1:42" s="26" customFormat="1" x14ac:dyDescent="0.25">
      <c r="A4" s="118" t="s">
        <v>189</v>
      </c>
      <c r="B4" s="118"/>
      <c r="C4" s="118"/>
      <c r="D4" s="118"/>
      <c r="E4" s="120">
        <f>E7+E17+E22-E26+E37+E43+E49</f>
        <v>7794.9326434332788</v>
      </c>
      <c r="F4" s="120">
        <f t="shared" ref="F4:AP4" si="0">F7+F17+F22-F26+F37+F43+F49</f>
        <v>8733.6099233877867</v>
      </c>
      <c r="G4" s="120">
        <f t="shared" si="0"/>
        <v>9661.5253874439004</v>
      </c>
      <c r="H4" s="120">
        <f t="shared" si="0"/>
        <v>10574.934794171024</v>
      </c>
      <c r="I4" s="120">
        <f t="shared" si="0"/>
        <v>11473.8381464062</v>
      </c>
      <c r="J4" s="120">
        <f t="shared" si="0"/>
        <v>12610.670966764677</v>
      </c>
      <c r="K4" s="120">
        <f t="shared" si="0"/>
        <v>13726.894902846365</v>
      </c>
      <c r="L4" s="120">
        <f t="shared" si="0"/>
        <v>14822.509958498285</v>
      </c>
      <c r="M4" s="120">
        <f t="shared" si="0"/>
        <v>15897.516137635263</v>
      </c>
      <c r="N4" s="120">
        <f t="shared" si="0"/>
        <v>16951.913444105467</v>
      </c>
      <c r="O4" s="120">
        <f t="shared" si="0"/>
        <v>17985.701881562742</v>
      </c>
      <c r="P4" s="120">
        <f t="shared" si="0"/>
        <v>18912.554053778502</v>
      </c>
      <c r="Q4" s="120">
        <f t="shared" si="0"/>
        <v>19821.238497945469</v>
      </c>
      <c r="R4" s="120">
        <f t="shared" si="0"/>
        <v>20711.755216494399</v>
      </c>
      <c r="S4" s="120">
        <f t="shared" si="0"/>
        <v>21584.104211292353</v>
      </c>
      <c r="T4" s="120">
        <f t="shared" si="0"/>
        <v>22438.285483598731</v>
      </c>
      <c r="U4" s="120">
        <f t="shared" si="0"/>
        <v>23274.299034043222</v>
      </c>
      <c r="V4" s="120">
        <f t="shared" si="0"/>
        <v>24092.144862625821</v>
      </c>
      <c r="W4" s="120">
        <f t="shared" si="0"/>
        <v>24901.451564956813</v>
      </c>
      <c r="X4" s="120">
        <f t="shared" si="0"/>
        <v>25702.21918927383</v>
      </c>
      <c r="Y4" s="120">
        <f t="shared" si="0"/>
        <v>26423.307175540296</v>
      </c>
      <c r="Z4" s="120">
        <f t="shared" si="0"/>
        <v>27124.836953686689</v>
      </c>
      <c r="AA4" s="120">
        <f t="shared" si="0"/>
        <v>27820.836574953581</v>
      </c>
      <c r="AB4" s="120">
        <f t="shared" si="0"/>
        <v>28511.306159523429</v>
      </c>
      <c r="AC4" s="120">
        <f t="shared" si="0"/>
        <v>29196.245838128896</v>
      </c>
      <c r="AD4" s="120">
        <f t="shared" si="0"/>
        <v>29791.103719709452</v>
      </c>
      <c r="AE4" s="120">
        <f t="shared" si="0"/>
        <v>30218.284425987287</v>
      </c>
      <c r="AF4" s="120">
        <f t="shared" si="0"/>
        <v>30648.302377925742</v>
      </c>
      <c r="AG4" s="120">
        <f t="shared" si="0"/>
        <v>31081.157713437107</v>
      </c>
      <c r="AH4" s="120">
        <f t="shared" si="0"/>
        <v>31516.850563683722</v>
      </c>
      <c r="AI4" s="120">
        <f t="shared" si="0"/>
        <v>31955.381050033451</v>
      </c>
      <c r="AJ4" s="120">
        <f t="shared" si="0"/>
        <v>32421.616121216346</v>
      </c>
      <c r="AK4" s="120">
        <f t="shared" si="0"/>
        <v>32894.830235841931</v>
      </c>
      <c r="AL4" s="120">
        <f t="shared" si="0"/>
        <v>33369.942987108567</v>
      </c>
      <c r="AM4" s="120">
        <f t="shared" si="0"/>
        <v>33846.954424396346</v>
      </c>
      <c r="AN4" s="120">
        <f t="shared" si="0"/>
        <v>34325.864579867106</v>
      </c>
      <c r="AO4" s="120">
        <f t="shared" si="0"/>
        <v>34806.673468130612</v>
      </c>
      <c r="AP4" s="120">
        <f t="shared" si="0"/>
        <v>35289.381086343841</v>
      </c>
    </row>
    <row r="5" spans="1:42" s="26" customFormat="1" x14ac:dyDescent="0.25">
      <c r="A5" s="118" t="s">
        <v>200</v>
      </c>
      <c r="B5" s="118"/>
      <c r="C5" s="118"/>
      <c r="D5" s="118"/>
      <c r="E5" s="120">
        <f>E26</f>
        <v>27.266116320000005</v>
      </c>
      <c r="F5" s="120">
        <f t="shared" ref="F5:AP5" si="1">F26</f>
        <v>36.278167078727478</v>
      </c>
      <c r="G5" s="120">
        <f t="shared" si="1"/>
        <v>45.290217837454946</v>
      </c>
      <c r="H5" s="120">
        <f t="shared" si="1"/>
        <v>54.302268596182415</v>
      </c>
      <c r="I5" s="120">
        <f t="shared" si="1"/>
        <v>63.314319354909891</v>
      </c>
      <c r="J5" s="120">
        <f t="shared" si="1"/>
        <v>72.326370113637367</v>
      </c>
      <c r="K5" s="120">
        <f t="shared" si="1"/>
        <v>81.33842087236485</v>
      </c>
      <c r="L5" s="120">
        <f t="shared" si="1"/>
        <v>90.350471631092333</v>
      </c>
      <c r="M5" s="120">
        <f t="shared" si="1"/>
        <v>99.362522389819858</v>
      </c>
      <c r="N5" s="120">
        <f t="shared" si="1"/>
        <v>108.37457314854737</v>
      </c>
      <c r="O5" s="120">
        <f t="shared" si="1"/>
        <v>117.3866239072749</v>
      </c>
      <c r="P5" s="120">
        <f t="shared" si="1"/>
        <v>126.39867466600244</v>
      </c>
      <c r="Q5" s="120">
        <f t="shared" si="1"/>
        <v>135.41072542472997</v>
      </c>
      <c r="R5" s="120">
        <f t="shared" si="1"/>
        <v>144.42277618345753</v>
      </c>
      <c r="S5" s="120">
        <f t="shared" si="1"/>
        <v>153.43482694218511</v>
      </c>
      <c r="T5" s="120">
        <f t="shared" si="1"/>
        <v>162.44687770091272</v>
      </c>
      <c r="U5" s="120">
        <f t="shared" si="1"/>
        <v>171.45892845964033</v>
      </c>
      <c r="V5" s="120">
        <f t="shared" si="1"/>
        <v>180.47097921836797</v>
      </c>
      <c r="W5" s="120">
        <f t="shared" si="1"/>
        <v>189.48302997709561</v>
      </c>
      <c r="X5" s="120">
        <f t="shared" si="1"/>
        <v>198.49508073582328</v>
      </c>
      <c r="Y5" s="120">
        <f t="shared" si="1"/>
        <v>207.50713149455095</v>
      </c>
      <c r="Z5" s="120">
        <f t="shared" si="1"/>
        <v>216.51918225327864</v>
      </c>
      <c r="AA5" s="120">
        <f t="shared" si="1"/>
        <v>225.53123301200637</v>
      </c>
      <c r="AB5" s="120">
        <f t="shared" si="1"/>
        <v>234.54328377073409</v>
      </c>
      <c r="AC5" s="120">
        <f t="shared" si="1"/>
        <v>243.55533452946182</v>
      </c>
      <c r="AD5" s="120">
        <f t="shared" si="1"/>
        <v>252.56738528818963</v>
      </c>
      <c r="AE5" s="120">
        <f t="shared" si="1"/>
        <v>261.57943604691741</v>
      </c>
      <c r="AF5" s="120">
        <f t="shared" si="1"/>
        <v>270.59148680564522</v>
      </c>
      <c r="AG5" s="120">
        <f t="shared" si="1"/>
        <v>279.60353756437308</v>
      </c>
      <c r="AH5" s="120">
        <f t="shared" si="1"/>
        <v>288.61558832310095</v>
      </c>
      <c r="AI5" s="120">
        <f t="shared" si="1"/>
        <v>297.62763908182887</v>
      </c>
      <c r="AJ5" s="120">
        <f t="shared" si="1"/>
        <v>306.63968984055685</v>
      </c>
      <c r="AK5" s="120">
        <f t="shared" si="1"/>
        <v>315.65174059928484</v>
      </c>
      <c r="AL5" s="120">
        <f t="shared" si="1"/>
        <v>324.66379135801287</v>
      </c>
      <c r="AM5" s="120">
        <f t="shared" si="1"/>
        <v>333.67584211674097</v>
      </c>
      <c r="AN5" s="120">
        <f t="shared" si="1"/>
        <v>342.68789287546906</v>
      </c>
      <c r="AO5" s="120">
        <f t="shared" si="1"/>
        <v>351.69994363419721</v>
      </c>
      <c r="AP5" s="120">
        <f t="shared" si="1"/>
        <v>360.71199439292536</v>
      </c>
    </row>
    <row r="6" spans="1:42" s="26" customFormat="1" x14ac:dyDescent="0.2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9"/>
      <c r="Q6" s="119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I6" s="118"/>
      <c r="AJ6" s="118"/>
      <c r="AK6" s="118"/>
      <c r="AL6" s="118"/>
      <c r="AM6" s="118"/>
      <c r="AN6" s="119"/>
      <c r="AO6" s="118"/>
      <c r="AP6" s="119"/>
    </row>
    <row r="7" spans="1:42" x14ac:dyDescent="0.25">
      <c r="A7" s="52" t="s">
        <v>119</v>
      </c>
      <c r="B7" s="52"/>
      <c r="C7" s="52"/>
      <c r="D7" s="52"/>
      <c r="E7" s="73">
        <f>E8+E12</f>
        <v>1272</v>
      </c>
      <c r="F7" s="73">
        <f t="shared" ref="F7:AP7" si="2">F8+F12</f>
        <v>1798.0412630063656</v>
      </c>
      <c r="G7" s="73">
        <f t="shared" si="2"/>
        <v>2322.8948129534242</v>
      </c>
      <c r="H7" s="73">
        <f t="shared" si="2"/>
        <v>2843.3806498411768</v>
      </c>
      <c r="I7" s="73">
        <f t="shared" si="2"/>
        <v>3359.4987736696221</v>
      </c>
      <c r="J7" s="73">
        <f t="shared" si="2"/>
        <v>4123.684703750645</v>
      </c>
      <c r="K7" s="73">
        <f t="shared" si="2"/>
        <v>4877.4000840417448</v>
      </c>
      <c r="L7" s="73">
        <f t="shared" si="2"/>
        <v>5620.6449145429206</v>
      </c>
      <c r="M7" s="73">
        <f t="shared" si="2"/>
        <v>6353.4191952541732</v>
      </c>
      <c r="N7" s="73">
        <f t="shared" si="2"/>
        <v>7075.7229261755019</v>
      </c>
      <c r="O7" s="73">
        <f t="shared" si="2"/>
        <v>7787.5561073069102</v>
      </c>
      <c r="P7" s="73">
        <f t="shared" si="2"/>
        <v>8402.591339077122</v>
      </c>
      <c r="Q7" s="73">
        <f t="shared" si="2"/>
        <v>9009.5971557496596</v>
      </c>
      <c r="R7" s="73">
        <f t="shared" si="2"/>
        <v>9608.573557324522</v>
      </c>
      <c r="S7" s="73">
        <f t="shared" si="2"/>
        <v>10199.520543801707</v>
      </c>
      <c r="T7" s="73">
        <f t="shared" si="2"/>
        <v>10782.438115181216</v>
      </c>
      <c r="U7" s="73">
        <f t="shared" si="2"/>
        <v>11357.326271463051</v>
      </c>
      <c r="V7" s="73">
        <f t="shared" si="2"/>
        <v>11924.185012647211</v>
      </c>
      <c r="W7" s="73">
        <f t="shared" si="2"/>
        <v>12488.33862667227</v>
      </c>
      <c r="X7" s="73">
        <f t="shared" si="2"/>
        <v>13049.787113538234</v>
      </c>
      <c r="Y7" s="73">
        <f t="shared" si="2"/>
        <v>13548.110473245093</v>
      </c>
      <c r="Z7" s="73">
        <f t="shared" si="2"/>
        <v>14032.405184643136</v>
      </c>
      <c r="AA7" s="73">
        <f t="shared" si="2"/>
        <v>14516.704953891171</v>
      </c>
      <c r="AB7" s="73">
        <f t="shared" si="2"/>
        <v>15001.009780989216</v>
      </c>
      <c r="AC7" s="73">
        <f t="shared" si="2"/>
        <v>15485.319665937262</v>
      </c>
      <c r="AD7" s="73">
        <f t="shared" si="2"/>
        <v>15885.08257984931</v>
      </c>
      <c r="AE7" s="73">
        <f t="shared" si="2"/>
        <v>16289.538639827151</v>
      </c>
      <c r="AF7" s="73">
        <f t="shared" si="2"/>
        <v>16698.68784587078</v>
      </c>
      <c r="AG7" s="73">
        <f t="shared" si="2"/>
        <v>17112.530197980217</v>
      </c>
      <c r="AH7" s="73">
        <f t="shared" si="2"/>
        <v>17531.065696155441</v>
      </c>
      <c r="AI7" s="73">
        <f t="shared" si="2"/>
        <v>17954.294340396456</v>
      </c>
      <c r="AJ7" s="73">
        <f t="shared" si="2"/>
        <v>18404.785530539772</v>
      </c>
      <c r="AK7" s="73">
        <f t="shared" si="2"/>
        <v>18858.094631462565</v>
      </c>
      <c r="AL7" s="73">
        <f t="shared" si="2"/>
        <v>19314.221643164834</v>
      </c>
      <c r="AM7" s="73">
        <f t="shared" si="2"/>
        <v>19773.166565646581</v>
      </c>
      <c r="AN7" s="73">
        <f t="shared" si="2"/>
        <v>20234.929398907807</v>
      </c>
      <c r="AO7" s="73">
        <f t="shared" si="2"/>
        <v>20699.510142948515</v>
      </c>
      <c r="AP7" s="73">
        <f t="shared" si="2"/>
        <v>21166.908797768698</v>
      </c>
    </row>
    <row r="8" spans="1:42" x14ac:dyDescent="0.25">
      <c r="A8" s="20" t="s">
        <v>159</v>
      </c>
      <c r="B8" s="31"/>
      <c r="C8" s="31"/>
      <c r="D8" s="31"/>
      <c r="E8" s="31">
        <f t="shared" ref="E8:AO8" si="3">E9+E10</f>
        <v>1272</v>
      </c>
      <c r="F8" s="31">
        <f t="shared" si="3"/>
        <v>1798.0412630063656</v>
      </c>
      <c r="G8" s="31">
        <f t="shared" si="3"/>
        <v>2322.8948129534242</v>
      </c>
      <c r="H8" s="31">
        <f t="shared" si="3"/>
        <v>2843.3806498411768</v>
      </c>
      <c r="I8" s="31">
        <f t="shared" si="3"/>
        <v>3359.4987736696221</v>
      </c>
      <c r="J8" s="31">
        <f t="shared" si="3"/>
        <v>3871.2491844387623</v>
      </c>
      <c r="K8" s="31">
        <f t="shared" si="3"/>
        <v>4378.6318821485957</v>
      </c>
      <c r="L8" s="31">
        <f t="shared" si="3"/>
        <v>4881.646866799123</v>
      </c>
      <c r="M8" s="31">
        <f t="shared" si="3"/>
        <v>5380.2941383903435</v>
      </c>
      <c r="N8" s="31">
        <f t="shared" si="3"/>
        <v>5874.5736969222571</v>
      </c>
      <c r="O8" s="31">
        <f t="shared" si="3"/>
        <v>6364.4855423948666</v>
      </c>
      <c r="P8" s="31">
        <f t="shared" si="3"/>
        <v>6850.0296748081701</v>
      </c>
      <c r="Q8" s="31">
        <f t="shared" si="3"/>
        <v>7331.2060941621685</v>
      </c>
      <c r="R8" s="31">
        <f t="shared" si="3"/>
        <v>7808.01480045686</v>
      </c>
      <c r="S8" s="31">
        <f t="shared" si="3"/>
        <v>8280.4557936922483</v>
      </c>
      <c r="T8" s="31">
        <f t="shared" si="3"/>
        <v>8748.529073868327</v>
      </c>
      <c r="U8" s="31">
        <f t="shared" si="3"/>
        <v>9212.2346409851034</v>
      </c>
      <c r="V8" s="31">
        <f t="shared" si="3"/>
        <v>9671.5724950425738</v>
      </c>
      <c r="W8" s="31">
        <f t="shared" si="3"/>
        <v>10129.054071049839</v>
      </c>
      <c r="X8" s="31">
        <f t="shared" si="3"/>
        <v>10584.679369006903</v>
      </c>
      <c r="Y8" s="31">
        <f t="shared" si="3"/>
        <v>10978.028388913757</v>
      </c>
      <c r="Z8" s="31">
        <f t="shared" si="3"/>
        <v>11358.197609620689</v>
      </c>
      <c r="AA8" s="31">
        <f t="shared" si="3"/>
        <v>11739.220737286509</v>
      </c>
      <c r="AB8" s="31">
        <f t="shared" si="3"/>
        <v>12121.097771911234</v>
      </c>
      <c r="AC8" s="31">
        <f t="shared" si="3"/>
        <v>12503.828713494855</v>
      </c>
      <c r="AD8" s="31">
        <f t="shared" si="3"/>
        <v>12887.413562037371</v>
      </c>
      <c r="AE8" s="31">
        <f t="shared" si="3"/>
        <v>13271.852317538785</v>
      </c>
      <c r="AF8" s="31">
        <f t="shared" si="3"/>
        <v>13657.144979999091</v>
      </c>
      <c r="AG8" s="31">
        <f t="shared" si="3"/>
        <v>14043.291549418303</v>
      </c>
      <c r="AH8" s="31">
        <f t="shared" si="3"/>
        <v>14430.292025796409</v>
      </c>
      <c r="AI8" s="31">
        <f t="shared" si="3"/>
        <v>14818.146409133409</v>
      </c>
      <c r="AJ8" s="31">
        <f t="shared" si="3"/>
        <v>15206.854699429312</v>
      </c>
      <c r="AK8" s="31">
        <f t="shared" si="3"/>
        <v>15596.41689668411</v>
      </c>
      <c r="AL8" s="31">
        <f t="shared" si="3"/>
        <v>15986.833000897803</v>
      </c>
      <c r="AM8" s="31">
        <f t="shared" si="3"/>
        <v>16378.103012070394</v>
      </c>
      <c r="AN8" s="31">
        <f t="shared" si="3"/>
        <v>16770.226930201883</v>
      </c>
      <c r="AO8" s="31">
        <f t="shared" si="3"/>
        <v>17163.204755292274</v>
      </c>
      <c r="AP8" s="31">
        <f>AP9+AP10</f>
        <v>17557.03648734156</v>
      </c>
    </row>
    <row r="9" spans="1:42" x14ac:dyDescent="0.25">
      <c r="A9" s="1" t="s">
        <v>26</v>
      </c>
      <c r="B9" s="64"/>
      <c r="C9" s="13"/>
      <c r="D9" s="13"/>
      <c r="E9" s="30">
        <f>'Données capacités de production'!B10</f>
        <v>919.99535393843985</v>
      </c>
      <c r="F9" s="30">
        <f>'Données capacités de production'!C10</f>
        <v>1300.4635284241044</v>
      </c>
      <c r="G9" s="30">
        <f>'Données capacités de production'!D10</f>
        <v>1680.0726695006692</v>
      </c>
      <c r="H9" s="30">
        <f>'Données capacités de production'!E10</f>
        <v>2056.5227887832898</v>
      </c>
      <c r="I9" s="30">
        <f>'Données capacités de production'!F10</f>
        <v>2429.8138862719643</v>
      </c>
      <c r="J9" s="30">
        <f>'Données capacités de production'!G10</f>
        <v>2799.9459619666945</v>
      </c>
      <c r="K9" s="30">
        <f>'Données capacités de production'!H10</f>
        <v>3166.9190158674796</v>
      </c>
      <c r="L9" s="30">
        <f>'Données capacités de production'!I10</f>
        <v>3530.7330479743196</v>
      </c>
      <c r="M9" s="30">
        <f>'Données capacités de production'!J10</f>
        <v>3891.3880582872148</v>
      </c>
      <c r="N9" s="30">
        <f>'Données capacités de production'!K10</f>
        <v>4248.8840468061644</v>
      </c>
      <c r="O9" s="30">
        <f>'Données capacités de production'!L10</f>
        <v>4603.2210135311698</v>
      </c>
      <c r="P9" s="30">
        <f>'Données capacités de production'!M10</f>
        <v>4954.3989584622313</v>
      </c>
      <c r="Q9" s="30">
        <f>'Données capacités de production'!N10</f>
        <v>5302.4178815993482</v>
      </c>
      <c r="R9" s="30">
        <f>'Données capacités de production'!O10</f>
        <v>5647.2777829425195</v>
      </c>
      <c r="S9" s="30">
        <f>'Données capacités de production'!P10</f>
        <v>5988.9786624917488</v>
      </c>
      <c r="T9" s="30">
        <f>'Données capacités de production'!Q10</f>
        <v>6327.5205202470297</v>
      </c>
      <c r="U9" s="30">
        <f>'Données capacités de production'!R10</f>
        <v>6662.9033562083696</v>
      </c>
      <c r="V9" s="30">
        <f>'Données capacités de production'!S10</f>
        <v>6995.1271703757648</v>
      </c>
      <c r="W9" s="30">
        <f>'Données capacités de production'!T10</f>
        <v>7326.0084002807325</v>
      </c>
      <c r="X9" s="30">
        <f>'Données capacités de production'!U10</f>
        <v>7655.5470459232765</v>
      </c>
      <c r="Y9" s="30">
        <f>'Données capacités de production'!V10</f>
        <v>7940.0433279913141</v>
      </c>
      <c r="Z9" s="30">
        <f>'Données capacités de production'!W10</f>
        <v>8215.007099029659</v>
      </c>
      <c r="AA9" s="30">
        <f>'Données capacités de production'!X10</f>
        <v>8490.5884726111435</v>
      </c>
      <c r="AB9" s="30">
        <f>'Données capacités de production'!Y10</f>
        <v>8766.7874487357785</v>
      </c>
      <c r="AC9" s="30">
        <f>'Données capacités de production'!Z10</f>
        <v>9043.6040274035586</v>
      </c>
      <c r="AD9" s="30">
        <f>'Données capacités de production'!AA10</f>
        <v>9321.0382086144818</v>
      </c>
      <c r="AE9" s="30">
        <f>'Données capacités de production'!AB10</f>
        <v>9599.089992368552</v>
      </c>
      <c r="AF9" s="30">
        <f>'Données capacités de production'!AC10</f>
        <v>9877.7593786657635</v>
      </c>
      <c r="AG9" s="30">
        <f>'Données capacités de production'!AD10</f>
        <v>10157.046367506126</v>
      </c>
      <c r="AH9" s="30">
        <f>'Données capacités de production'!AE10</f>
        <v>10436.950958889633</v>
      </c>
      <c r="AI9" s="30">
        <f>'Données capacités de production'!AF10</f>
        <v>10717.473152816283</v>
      </c>
      <c r="AJ9" s="30">
        <f>'Données capacités de production'!AG10</f>
        <v>10998.612949286082</v>
      </c>
      <c r="AK9" s="30">
        <f>'Données capacités de production'!AH10</f>
        <v>11280.370348299026</v>
      </c>
      <c r="AL9" s="30">
        <f>'Données capacités de production'!AI10</f>
        <v>11562.745349855113</v>
      </c>
      <c r="AM9" s="30">
        <f>'Données capacités de production'!AJ10</f>
        <v>11845.737953954347</v>
      </c>
      <c r="AN9" s="30">
        <f>'Données capacités de production'!AK10</f>
        <v>12129.348160596726</v>
      </c>
      <c r="AO9" s="30">
        <f>'Données capacités de production'!AL10</f>
        <v>12413.575969782254</v>
      </c>
      <c r="AP9" s="30">
        <f>'Données capacités de production'!AM10</f>
        <v>12698.421381510929</v>
      </c>
    </row>
    <row r="10" spans="1:42" x14ac:dyDescent="0.25">
      <c r="A10" s="1" t="s">
        <v>25</v>
      </c>
      <c r="B10" s="64"/>
      <c r="C10" s="13"/>
      <c r="D10" s="13"/>
      <c r="E10" s="30">
        <f>'Données capacités de production'!B9</f>
        <v>352.00464606156021</v>
      </c>
      <c r="F10" s="30">
        <f>'Données capacités de production'!C9</f>
        <v>497.57773458226131</v>
      </c>
      <c r="G10" s="30">
        <f>'Données capacités de production'!D9</f>
        <v>642.82214345275486</v>
      </c>
      <c r="H10" s="30">
        <f>'Données capacités de production'!E9</f>
        <v>786.85786105788713</v>
      </c>
      <c r="I10" s="30">
        <f>'Données capacités de production'!F9</f>
        <v>929.68488739765792</v>
      </c>
      <c r="J10" s="30">
        <f>'Données capacités de production'!G9</f>
        <v>1071.3032224720678</v>
      </c>
      <c r="K10" s="30">
        <f>'Données capacités de production'!H9</f>
        <v>1211.712866281116</v>
      </c>
      <c r="L10" s="30">
        <f>'Données capacités de production'!I9</f>
        <v>1350.9138188248032</v>
      </c>
      <c r="M10" s="30">
        <f>'Données capacités de production'!J9</f>
        <v>1488.9060801031287</v>
      </c>
      <c r="N10" s="30">
        <f>'Données capacités de production'!K9</f>
        <v>1625.6896501160929</v>
      </c>
      <c r="O10" s="30">
        <f>'Données capacités de production'!L9</f>
        <v>1761.2645288636966</v>
      </c>
      <c r="P10" s="30">
        <f>'Données capacités de production'!M9</f>
        <v>1895.6307163459389</v>
      </c>
      <c r="Q10" s="30">
        <f>'Données capacités de production'!N9</f>
        <v>2028.7882125628203</v>
      </c>
      <c r="R10" s="30">
        <f>'Données capacités de production'!O9</f>
        <v>2160.7370175143401</v>
      </c>
      <c r="S10" s="30">
        <f>'Données capacités de production'!P9</f>
        <v>2291.4771312004996</v>
      </c>
      <c r="T10" s="30">
        <f>'Données capacités de production'!Q9</f>
        <v>2421.0085536212969</v>
      </c>
      <c r="U10" s="30">
        <f>'Données capacités de production'!R9</f>
        <v>2549.3312847767338</v>
      </c>
      <c r="V10" s="30">
        <f>'Données capacités de production'!S9</f>
        <v>2676.4453246668095</v>
      </c>
      <c r="W10" s="30">
        <f>'Données capacités de production'!T9</f>
        <v>2803.0456707691069</v>
      </c>
      <c r="X10" s="30">
        <f>'Données capacités de production'!U9</f>
        <v>2929.1323230836265</v>
      </c>
      <c r="Y10" s="30">
        <f>'Données capacités de production'!V9</f>
        <v>3037.9850609224427</v>
      </c>
      <c r="Z10" s="30">
        <f>'Données capacités de production'!W9</f>
        <v>3143.1905105910291</v>
      </c>
      <c r="AA10" s="30">
        <f>'Données capacités de production'!X9</f>
        <v>3248.6322646753661</v>
      </c>
      <c r="AB10" s="30">
        <f>'Données capacités de production'!Y9</f>
        <v>3354.3103231754558</v>
      </c>
      <c r="AC10" s="30">
        <f>'Données capacités de production'!Z9</f>
        <v>3460.2246860912974</v>
      </c>
      <c r="AD10" s="30">
        <f>'Données capacités de production'!AA9</f>
        <v>3566.3753534228899</v>
      </c>
      <c r="AE10" s="30">
        <f>'Données capacités de production'!AB9</f>
        <v>3672.7623251702339</v>
      </c>
      <c r="AF10" s="30">
        <f>'Données capacités de production'!AC9</f>
        <v>3779.3856013333289</v>
      </c>
      <c r="AG10" s="30">
        <f>'Données capacités de production'!AD9</f>
        <v>3886.245181912177</v>
      </c>
      <c r="AH10" s="30">
        <f>'Données capacités de production'!AE9</f>
        <v>3993.3410669067762</v>
      </c>
      <c r="AI10" s="30">
        <f>'Données capacités de production'!AF9</f>
        <v>4100.6732563171263</v>
      </c>
      <c r="AJ10" s="30">
        <f>'Données capacités de production'!AG9</f>
        <v>4208.2417501432301</v>
      </c>
      <c r="AK10" s="30">
        <f>'Données capacités de production'!AH9</f>
        <v>4316.046548385084</v>
      </c>
      <c r="AL10" s="30">
        <f>'Données capacités de production'!AI9</f>
        <v>4424.0876510426897</v>
      </c>
      <c r="AM10" s="30">
        <f>'Données capacités de production'!AJ9</f>
        <v>4532.3650581160482</v>
      </c>
      <c r="AN10" s="30">
        <f>'Données capacités de production'!AK9</f>
        <v>4640.8787696051568</v>
      </c>
      <c r="AO10" s="30">
        <f>'Données capacités de production'!AL9</f>
        <v>4749.628785510019</v>
      </c>
      <c r="AP10" s="30">
        <f>'Données capacités de production'!AM9</f>
        <v>4858.6151058306323</v>
      </c>
    </row>
    <row r="11" spans="1:42" x14ac:dyDescent="0.25">
      <c r="A11" s="1" t="s">
        <v>221</v>
      </c>
      <c r="B11" s="64"/>
      <c r="C11" s="1"/>
      <c r="D11" s="1"/>
      <c r="E11" s="147">
        <f>E10/E8</f>
        <v>0.27673321231254733</v>
      </c>
      <c r="F11" s="147">
        <f t="shared" ref="F11:AP11" si="4">F10/F8</f>
        <v>0.27673321231254733</v>
      </c>
      <c r="G11" s="147">
        <f t="shared" si="4"/>
        <v>0.27673321231254733</v>
      </c>
      <c r="H11" s="147">
        <f t="shared" si="4"/>
        <v>0.27673321231254733</v>
      </c>
      <c r="I11" s="147">
        <f t="shared" si="4"/>
        <v>0.27673321231254733</v>
      </c>
      <c r="J11" s="147">
        <f t="shared" si="4"/>
        <v>0.27673321231254733</v>
      </c>
      <c r="K11" s="147">
        <f t="shared" si="4"/>
        <v>0.27673321231254733</v>
      </c>
      <c r="L11" s="147">
        <f t="shared" si="4"/>
        <v>0.27673321231254733</v>
      </c>
      <c r="M11" s="147">
        <f t="shared" si="4"/>
        <v>0.27673321231254733</v>
      </c>
      <c r="N11" s="147">
        <f t="shared" si="4"/>
        <v>0.27673321231254733</v>
      </c>
      <c r="O11" s="147">
        <f t="shared" si="4"/>
        <v>0.27673321231254733</v>
      </c>
      <c r="P11" s="147">
        <f t="shared" si="4"/>
        <v>0.27673321231254733</v>
      </c>
      <c r="Q11" s="147">
        <f t="shared" si="4"/>
        <v>0.27673321231254733</v>
      </c>
      <c r="R11" s="147">
        <f t="shared" si="4"/>
        <v>0.27673321231254733</v>
      </c>
      <c r="S11" s="147">
        <f t="shared" si="4"/>
        <v>0.27673321231254733</v>
      </c>
      <c r="T11" s="147">
        <f t="shared" si="4"/>
        <v>0.27673321231254733</v>
      </c>
      <c r="U11" s="147">
        <f t="shared" si="4"/>
        <v>0.27673321231254733</v>
      </c>
      <c r="V11" s="147">
        <f t="shared" si="4"/>
        <v>0.27673321231254733</v>
      </c>
      <c r="W11" s="147">
        <f t="shared" si="4"/>
        <v>0.27673321231254733</v>
      </c>
      <c r="X11" s="147">
        <f t="shared" si="4"/>
        <v>0.27673321231254733</v>
      </c>
      <c r="Y11" s="147">
        <f t="shared" si="4"/>
        <v>0.27673321231254733</v>
      </c>
      <c r="Z11" s="147">
        <f t="shared" si="4"/>
        <v>0.27673321231254727</v>
      </c>
      <c r="AA11" s="147">
        <f t="shared" si="4"/>
        <v>0.27673321231254733</v>
      </c>
      <c r="AB11" s="147">
        <f t="shared" si="4"/>
        <v>0.27673321231254733</v>
      </c>
      <c r="AC11" s="147">
        <f t="shared" si="4"/>
        <v>0.27673321231254733</v>
      </c>
      <c r="AD11" s="147">
        <f t="shared" si="4"/>
        <v>0.27673321231254738</v>
      </c>
      <c r="AE11" s="147">
        <f t="shared" si="4"/>
        <v>0.27673321231254733</v>
      </c>
      <c r="AF11" s="147">
        <f t="shared" si="4"/>
        <v>0.27673321231254733</v>
      </c>
      <c r="AG11" s="147">
        <f t="shared" si="4"/>
        <v>0.27673321231254733</v>
      </c>
      <c r="AH11" s="147">
        <f t="shared" si="4"/>
        <v>0.27673321231254733</v>
      </c>
      <c r="AI11" s="147">
        <f t="shared" si="4"/>
        <v>0.27673321231254733</v>
      </c>
      <c r="AJ11" s="147">
        <f t="shared" si="4"/>
        <v>0.27673321231254733</v>
      </c>
      <c r="AK11" s="147">
        <f t="shared" si="4"/>
        <v>0.27673321231254733</v>
      </c>
      <c r="AL11" s="147">
        <f t="shared" si="4"/>
        <v>0.27673321231254733</v>
      </c>
      <c r="AM11" s="147">
        <f t="shared" si="4"/>
        <v>0.27673321231254738</v>
      </c>
      <c r="AN11" s="147">
        <f t="shared" si="4"/>
        <v>0.27673321231254733</v>
      </c>
      <c r="AO11" s="147">
        <f t="shared" si="4"/>
        <v>0.27673321231254733</v>
      </c>
      <c r="AP11" s="147">
        <f t="shared" si="4"/>
        <v>0.27673321231254733</v>
      </c>
    </row>
    <row r="12" spans="1:42" x14ac:dyDescent="0.25">
      <c r="A12" s="17" t="s">
        <v>160</v>
      </c>
      <c r="B12" s="65"/>
      <c r="C12" s="31"/>
      <c r="D12" s="31"/>
      <c r="E12" s="31">
        <f t="shared" ref="E12:AP12" si="5">E13+E14</f>
        <v>0</v>
      </c>
      <c r="F12" s="31">
        <f t="shared" si="5"/>
        <v>0</v>
      </c>
      <c r="G12" s="31">
        <f t="shared" si="5"/>
        <v>0</v>
      </c>
      <c r="H12" s="31">
        <f t="shared" si="5"/>
        <v>0</v>
      </c>
      <c r="I12" s="31">
        <f t="shared" si="5"/>
        <v>0</v>
      </c>
      <c r="J12" s="31">
        <f t="shared" si="5"/>
        <v>252.43551931188281</v>
      </c>
      <c r="K12" s="31">
        <f t="shared" si="5"/>
        <v>498.76820189314867</v>
      </c>
      <c r="L12" s="31">
        <f t="shared" si="5"/>
        <v>738.99804774379777</v>
      </c>
      <c r="M12" s="31">
        <f t="shared" si="5"/>
        <v>973.12505686382985</v>
      </c>
      <c r="N12" s="31">
        <f t="shared" si="5"/>
        <v>1201.149229253245</v>
      </c>
      <c r="O12" s="31">
        <f t="shared" si="5"/>
        <v>1423.0705649120434</v>
      </c>
      <c r="P12" s="31">
        <f t="shared" si="5"/>
        <v>1552.5616642689527</v>
      </c>
      <c r="Q12" s="31">
        <f t="shared" si="5"/>
        <v>1678.391061587492</v>
      </c>
      <c r="R12" s="31">
        <f t="shared" si="5"/>
        <v>1800.558756867661</v>
      </c>
      <c r="S12" s="31">
        <f t="shared" si="5"/>
        <v>1919.06475010946</v>
      </c>
      <c r="T12" s="31">
        <f t="shared" si="5"/>
        <v>2033.9090413128888</v>
      </c>
      <c r="U12" s="31">
        <f t="shared" si="5"/>
        <v>2145.0916304779475</v>
      </c>
      <c r="V12" s="31">
        <f t="shared" si="5"/>
        <v>2252.6125176046367</v>
      </c>
      <c r="W12" s="31">
        <f t="shared" si="5"/>
        <v>2359.2845556224306</v>
      </c>
      <c r="X12" s="31">
        <f t="shared" si="5"/>
        <v>2465.1077445313304</v>
      </c>
      <c r="Y12" s="31">
        <f t="shared" si="5"/>
        <v>2570.0820843313354</v>
      </c>
      <c r="Z12" s="31">
        <f t="shared" si="5"/>
        <v>2674.2075750224458</v>
      </c>
      <c r="AA12" s="31">
        <f t="shared" si="5"/>
        <v>2777.484216604661</v>
      </c>
      <c r="AB12" s="31">
        <f t="shared" si="5"/>
        <v>2879.912009077982</v>
      </c>
      <c r="AC12" s="31">
        <f t="shared" si="5"/>
        <v>2981.4909524424083</v>
      </c>
      <c r="AD12" s="31">
        <f t="shared" si="5"/>
        <v>2997.6690178119379</v>
      </c>
      <c r="AE12" s="31">
        <f t="shared" si="5"/>
        <v>3017.6863222883653</v>
      </c>
      <c r="AF12" s="31">
        <f t="shared" si="5"/>
        <v>3041.5428658716901</v>
      </c>
      <c r="AG12" s="31">
        <f t="shared" si="5"/>
        <v>3069.2386485619118</v>
      </c>
      <c r="AH12" s="31">
        <f t="shared" si="5"/>
        <v>3100.7736703590308</v>
      </c>
      <c r="AI12" s="31">
        <f t="shared" si="5"/>
        <v>3136.1479312630477</v>
      </c>
      <c r="AJ12" s="31">
        <f t="shared" si="5"/>
        <v>3197.930831110461</v>
      </c>
      <c r="AK12" s="31">
        <f t="shared" si="5"/>
        <v>3261.6777347784559</v>
      </c>
      <c r="AL12" s="31">
        <f t="shared" si="5"/>
        <v>3327.3886422670312</v>
      </c>
      <c r="AM12" s="31">
        <f t="shared" si="5"/>
        <v>3395.0635535761862</v>
      </c>
      <c r="AN12" s="31">
        <f t="shared" si="5"/>
        <v>3464.7024687059238</v>
      </c>
      <c r="AO12" s="31">
        <f t="shared" si="5"/>
        <v>3536.3053876562399</v>
      </c>
      <c r="AP12" s="31">
        <f t="shared" si="5"/>
        <v>3609.8723104271367</v>
      </c>
    </row>
    <row r="13" spans="1:42" x14ac:dyDescent="0.25">
      <c r="A13" s="1" t="s">
        <v>26</v>
      </c>
      <c r="B13" s="64"/>
      <c r="C13" s="29"/>
      <c r="D13" s="29"/>
      <c r="E13" s="25">
        <f>'Données capacités de production'!B21</f>
        <v>0</v>
      </c>
      <c r="F13" s="25">
        <f>'Données capacités de production'!C21</f>
        <v>0</v>
      </c>
      <c r="G13" s="25">
        <f>'Données capacités de production'!D21</f>
        <v>0</v>
      </c>
      <c r="H13" s="25">
        <f>'Données capacités de production'!E21</f>
        <v>0</v>
      </c>
      <c r="I13" s="25">
        <f>'Données capacités de production'!F21</f>
        <v>0</v>
      </c>
      <c r="J13" s="25">
        <f>'Données capacités de production'!G21</f>
        <v>152.67674405922756</v>
      </c>
      <c r="K13" s="25">
        <f>'Données capacités de production'!H21</f>
        <v>301.66240199834192</v>
      </c>
      <c r="L13" s="25">
        <f>'Données capacités de production'!I21</f>
        <v>446.95697381734323</v>
      </c>
      <c r="M13" s="25">
        <f>'Données capacités de production'!J21</f>
        <v>588.56045951623128</v>
      </c>
      <c r="N13" s="25">
        <f>'Données capacités de production'!K21</f>
        <v>726.47285909500613</v>
      </c>
      <c r="O13" s="25">
        <f>'Données capacités de production'!L21</f>
        <v>860.69417255366795</v>
      </c>
      <c r="P13" s="25">
        <f>'Données capacités de production'!M21</f>
        <v>939.01230895679726</v>
      </c>
      <c r="Q13" s="25">
        <f>'Données capacités de production'!N21</f>
        <v>1015.1157936878589</v>
      </c>
      <c r="R13" s="25">
        <f>'Données capacités de production'!O21</f>
        <v>1089.0046267468524</v>
      </c>
      <c r="S13" s="25">
        <f>'Données capacités de production'!P21</f>
        <v>1160.6788081337781</v>
      </c>
      <c r="T13" s="25">
        <f>'Données capacités de production'!Q21</f>
        <v>1230.1383378486362</v>
      </c>
      <c r="U13" s="25">
        <f>'Données capacités de production'!R21</f>
        <v>1297.3832158914261</v>
      </c>
      <c r="V13" s="25">
        <f>'Données capacités de production'!S21</f>
        <v>1362.4134422621487</v>
      </c>
      <c r="W13" s="25">
        <f>'Données capacités de production'!T21</f>
        <v>1426.9302721088916</v>
      </c>
      <c r="X13" s="25">
        <f>'Données capacités de production'!U21</f>
        <v>1490.9337054316554</v>
      </c>
      <c r="Y13" s="25">
        <f>'Données capacités de production'!V21</f>
        <v>1554.42374223044</v>
      </c>
      <c r="Z13" s="25">
        <f>'Données capacités de production'!W21</f>
        <v>1617.4003825052455</v>
      </c>
      <c r="AA13" s="25">
        <f>'Données capacités de production'!X21</f>
        <v>1679.8636262560713</v>
      </c>
      <c r="AB13" s="25">
        <f>'Données capacités de production'!Y21</f>
        <v>1741.8134734829182</v>
      </c>
      <c r="AC13" s="25">
        <f>'Données capacités de production'!Z21</f>
        <v>1803.2499241857859</v>
      </c>
      <c r="AD13" s="25">
        <f>'Données capacités de production'!AA21</f>
        <v>1813.0346579369243</v>
      </c>
      <c r="AE13" s="25">
        <f>'Données capacités de production'!AB21</f>
        <v>1825.1414204108978</v>
      </c>
      <c r="AF13" s="25">
        <f>'Données capacités de production'!AC21</f>
        <v>1839.5702116077064</v>
      </c>
      <c r="AG13" s="25">
        <f>'Données capacités de production'!AD21</f>
        <v>1856.3210315273495</v>
      </c>
      <c r="AH13" s="25">
        <f>'Données capacités de production'!AE21</f>
        <v>1875.3938801698278</v>
      </c>
      <c r="AI13" s="25">
        <f>'Données capacités de production'!AF21</f>
        <v>1896.788757535141</v>
      </c>
      <c r="AJ13" s="25">
        <f>'Données capacités de production'!AG21</f>
        <v>1934.1559712020348</v>
      </c>
      <c r="AK13" s="25">
        <f>'Données capacités de production'!AH21</f>
        <v>1972.7110434930385</v>
      </c>
      <c r="AL13" s="25">
        <f>'Données capacités de production'!AI21</f>
        <v>2012.4539744081512</v>
      </c>
      <c r="AM13" s="25">
        <f>'Données capacités de production'!AJ21</f>
        <v>2053.3847639473729</v>
      </c>
      <c r="AN13" s="25">
        <f>'Données capacités de production'!AK21</f>
        <v>2095.5034121107051</v>
      </c>
      <c r="AO13" s="25">
        <f>'Données capacités de production'!AL21</f>
        <v>2138.809918898145</v>
      </c>
      <c r="AP13" s="25">
        <f>'Données capacités de production'!AM21</f>
        <v>2183.3042843096946</v>
      </c>
    </row>
    <row r="14" spans="1:42" x14ac:dyDescent="0.25">
      <c r="A14" s="1" t="s">
        <v>25</v>
      </c>
      <c r="B14" s="64"/>
      <c r="C14" s="29"/>
      <c r="D14" s="29"/>
      <c r="E14" s="25">
        <f>'Données capacités de production'!B20</f>
        <v>0</v>
      </c>
      <c r="F14" s="25">
        <f>'Données capacités de production'!C20</f>
        <v>0</v>
      </c>
      <c r="G14" s="25">
        <f>'Données capacités de production'!D20</f>
        <v>0</v>
      </c>
      <c r="H14" s="25">
        <f>'Données capacités de production'!E20</f>
        <v>0</v>
      </c>
      <c r="I14" s="25">
        <f>'Données capacités de production'!F20</f>
        <v>0</v>
      </c>
      <c r="J14" s="25">
        <f>'Données capacités de production'!G20</f>
        <v>99.758775252655255</v>
      </c>
      <c r="K14" s="25">
        <f>'Données capacités de production'!H20</f>
        <v>197.10579989480678</v>
      </c>
      <c r="L14" s="25">
        <f>'Données capacités de production'!I20</f>
        <v>292.04107392645454</v>
      </c>
      <c r="M14" s="25">
        <f>'Données capacités de production'!J20</f>
        <v>384.56459734759858</v>
      </c>
      <c r="N14" s="25">
        <f>'Données capacités de production'!K20</f>
        <v>474.67637015823891</v>
      </c>
      <c r="O14" s="25">
        <f>'Données capacités de production'!L20</f>
        <v>562.37639235837548</v>
      </c>
      <c r="P14" s="25">
        <f>'Données capacités de production'!M20</f>
        <v>613.5493553121554</v>
      </c>
      <c r="Q14" s="25">
        <f>'Données capacités de production'!N20</f>
        <v>663.27526789963315</v>
      </c>
      <c r="R14" s="25">
        <f>'Données capacités de production'!O20</f>
        <v>711.55413012080851</v>
      </c>
      <c r="S14" s="25">
        <f>'Données capacités de production'!P20</f>
        <v>758.3859419756817</v>
      </c>
      <c r="T14" s="25">
        <f>'Données capacités de production'!Q20</f>
        <v>803.77070346425262</v>
      </c>
      <c r="U14" s="25">
        <f>'Données capacités de production'!R20</f>
        <v>847.70841458652137</v>
      </c>
      <c r="V14" s="25">
        <f>'Données capacités de production'!S20</f>
        <v>890.19907534248807</v>
      </c>
      <c r="W14" s="25">
        <f>'Données capacités de production'!T20</f>
        <v>932.35428351353914</v>
      </c>
      <c r="X14" s="25">
        <f>'Données capacités de production'!U20</f>
        <v>974.17403909967493</v>
      </c>
      <c r="Y14" s="25">
        <f>'Données capacités de production'!V20</f>
        <v>1015.6583421008954</v>
      </c>
      <c r="Z14" s="25">
        <f>'Données capacités de production'!W20</f>
        <v>1056.8071925172003</v>
      </c>
      <c r="AA14" s="25">
        <f>'Données capacités de production'!X20</f>
        <v>1097.6205903485898</v>
      </c>
      <c r="AB14" s="25">
        <f>'Données capacités de production'!Y20</f>
        <v>1138.0985355950638</v>
      </c>
      <c r="AC14" s="25">
        <f>'Données capacités de production'!Z20</f>
        <v>1178.2410282566225</v>
      </c>
      <c r="AD14" s="25">
        <f>'Données capacités de production'!AA20</f>
        <v>1184.6343598750136</v>
      </c>
      <c r="AE14" s="25">
        <f>'Données capacités de production'!AB20</f>
        <v>1192.5449018774675</v>
      </c>
      <c r="AF14" s="25">
        <f>'Données capacités de production'!AC20</f>
        <v>1201.9726542639837</v>
      </c>
      <c r="AG14" s="25">
        <f>'Données capacités de production'!AD20</f>
        <v>1212.9176170345622</v>
      </c>
      <c r="AH14" s="25">
        <f>'Données capacités de production'!AE20</f>
        <v>1225.379790189203</v>
      </c>
      <c r="AI14" s="25">
        <f>'Données capacités de production'!AF20</f>
        <v>1239.3591737279066</v>
      </c>
      <c r="AJ14" s="25">
        <f>'Données capacités de production'!AG20</f>
        <v>1263.7748599084262</v>
      </c>
      <c r="AK14" s="25">
        <f>'Données capacités de production'!AH20</f>
        <v>1288.9666912854175</v>
      </c>
      <c r="AL14" s="25">
        <f>'Données capacités de production'!AI20</f>
        <v>1314.9346678588799</v>
      </c>
      <c r="AM14" s="25">
        <f>'Données capacités de production'!AJ20</f>
        <v>1341.6787896288133</v>
      </c>
      <c r="AN14" s="25">
        <f>'Données capacités de production'!AK20</f>
        <v>1369.1990565952187</v>
      </c>
      <c r="AO14" s="25">
        <f>'Données capacités de production'!AL20</f>
        <v>1397.4954687580948</v>
      </c>
      <c r="AP14" s="25">
        <f>'Données capacités de production'!AM20</f>
        <v>1426.5680261174423</v>
      </c>
    </row>
    <row r="15" spans="1:42" x14ac:dyDescent="0.25">
      <c r="A15" s="1" t="s">
        <v>221</v>
      </c>
      <c r="B15" s="64"/>
      <c r="C15" s="1"/>
      <c r="D15" s="1"/>
      <c r="E15" s="147"/>
      <c r="F15" s="147"/>
      <c r="G15" s="147"/>
      <c r="H15" s="147"/>
      <c r="I15" s="147"/>
      <c r="J15" s="147">
        <f t="shared" ref="J15" si="6">J14/J12</f>
        <v>0.39518517649413587</v>
      </c>
      <c r="K15" s="147">
        <f t="shared" ref="K15" si="7">K14/K12</f>
        <v>0.39518517649413593</v>
      </c>
      <c r="L15" s="147">
        <f t="shared" ref="L15" si="8">L14/L12</f>
        <v>0.39518517649413581</v>
      </c>
      <c r="M15" s="147">
        <f t="shared" ref="M15" si="9">M14/M12</f>
        <v>0.39518517649413581</v>
      </c>
      <c r="N15" s="147">
        <f t="shared" ref="N15" si="10">N14/N12</f>
        <v>0.39518517649413587</v>
      </c>
      <c r="O15" s="147">
        <f t="shared" ref="O15" si="11">O14/O12</f>
        <v>0.39518517649413587</v>
      </c>
      <c r="P15" s="147">
        <f t="shared" ref="P15" si="12">P14/P12</f>
        <v>0.39518517649413587</v>
      </c>
      <c r="Q15" s="147">
        <f t="shared" ref="Q15" si="13">Q14/Q12</f>
        <v>0.39518517649413593</v>
      </c>
      <c r="R15" s="147">
        <f t="shared" ref="R15" si="14">R14/R12</f>
        <v>0.39518517649413587</v>
      </c>
      <c r="S15" s="147">
        <f t="shared" ref="S15" si="15">S14/S12</f>
        <v>0.39518517649413587</v>
      </c>
      <c r="T15" s="147">
        <f t="shared" ref="T15" si="16">T14/T12</f>
        <v>0.39518517649413587</v>
      </c>
      <c r="U15" s="147">
        <f t="shared" ref="U15" si="17">U14/U12</f>
        <v>0.39518517649413587</v>
      </c>
      <c r="V15" s="147">
        <f t="shared" ref="V15" si="18">V14/V12</f>
        <v>0.39518517649413587</v>
      </c>
      <c r="W15" s="147">
        <f t="shared" ref="W15" si="19">W14/W12</f>
        <v>0.39518517649413587</v>
      </c>
      <c r="X15" s="147">
        <f t="shared" ref="X15" si="20">X14/X12</f>
        <v>0.39518517649413587</v>
      </c>
      <c r="Y15" s="147">
        <f t="shared" ref="Y15" si="21">Y14/Y12</f>
        <v>0.39518517649413587</v>
      </c>
      <c r="Z15" s="147">
        <f t="shared" ref="Z15" si="22">Z14/Z12</f>
        <v>0.39518517649413587</v>
      </c>
      <c r="AA15" s="147">
        <f t="shared" ref="AA15" si="23">AA14/AA12</f>
        <v>0.39518517649413593</v>
      </c>
      <c r="AB15" s="147">
        <f t="shared" ref="AB15" si="24">AB14/AB12</f>
        <v>0.39518517649413587</v>
      </c>
      <c r="AC15" s="147">
        <f t="shared" ref="AC15" si="25">AC14/AC12</f>
        <v>0.39518517649413593</v>
      </c>
      <c r="AD15" s="147">
        <f t="shared" ref="AD15" si="26">AD14/AD12</f>
        <v>0.39518517649413587</v>
      </c>
      <c r="AE15" s="147">
        <f t="shared" ref="AE15" si="27">AE14/AE12</f>
        <v>0.39518517649413587</v>
      </c>
      <c r="AF15" s="147">
        <f t="shared" ref="AF15" si="28">AF14/AF12</f>
        <v>0.39518517649413587</v>
      </c>
      <c r="AG15" s="147">
        <f t="shared" ref="AG15" si="29">AG14/AG12</f>
        <v>0.39518517649413587</v>
      </c>
      <c r="AH15" s="147">
        <f t="shared" ref="AH15" si="30">AH14/AH12</f>
        <v>0.39518517649413587</v>
      </c>
      <c r="AI15" s="147">
        <f t="shared" ref="AI15" si="31">AI14/AI12</f>
        <v>0.39518517649413587</v>
      </c>
      <c r="AJ15" s="147">
        <f t="shared" ref="AJ15" si="32">AJ14/AJ12</f>
        <v>0.39518517649413587</v>
      </c>
      <c r="AK15" s="147">
        <f t="shared" ref="AK15" si="33">AK14/AK12</f>
        <v>0.39518517649413587</v>
      </c>
      <c r="AL15" s="147">
        <f t="shared" ref="AL15" si="34">AL14/AL12</f>
        <v>0.39518517649413593</v>
      </c>
      <c r="AM15" s="147">
        <f t="shared" ref="AM15" si="35">AM14/AM12</f>
        <v>0.39518517649413587</v>
      </c>
      <c r="AN15" s="147">
        <f t="shared" ref="AN15" si="36">AN14/AN12</f>
        <v>0.39518517649413587</v>
      </c>
      <c r="AO15" s="147">
        <f t="shared" ref="AO15" si="37">AO14/AO12</f>
        <v>0.39518517649413593</v>
      </c>
      <c r="AP15" s="147">
        <f t="shared" ref="AP15" si="38">AP14/AP12</f>
        <v>0.39518517649413593</v>
      </c>
    </row>
    <row r="17" spans="1:43" x14ac:dyDescent="0.25">
      <c r="A17" s="52" t="s">
        <v>120</v>
      </c>
      <c r="B17" s="52"/>
      <c r="C17" s="52"/>
      <c r="D17" s="52"/>
      <c r="E17" s="73">
        <f>E18+E19</f>
        <v>825.56192536506228</v>
      </c>
      <c r="F17" s="73">
        <f t="shared" ref="F17:AP17" si="39">F18+F19</f>
        <v>1192.9435761030027</v>
      </c>
      <c r="G17" s="73">
        <f t="shared" si="39"/>
        <v>1551.8627223963872</v>
      </c>
      <c r="H17" s="73">
        <f t="shared" si="39"/>
        <v>1902.3193642452156</v>
      </c>
      <c r="I17" s="73">
        <f t="shared" si="39"/>
        <v>2244.3135016494884</v>
      </c>
      <c r="J17" s="73">
        <f t="shared" si="39"/>
        <v>2577.8451346092047</v>
      </c>
      <c r="K17" s="73">
        <f t="shared" si="39"/>
        <v>2902.9142631243649</v>
      </c>
      <c r="L17" s="73">
        <f t="shared" si="39"/>
        <v>3219.520887194969</v>
      </c>
      <c r="M17" s="73">
        <f t="shared" si="39"/>
        <v>3527.6650068210183</v>
      </c>
      <c r="N17" s="73">
        <f t="shared" si="39"/>
        <v>3827.3466220025102</v>
      </c>
      <c r="O17" s="73">
        <f t="shared" si="39"/>
        <v>4118.5657327394474</v>
      </c>
      <c r="P17" s="73">
        <f t="shared" si="39"/>
        <v>4401.3223390318271</v>
      </c>
      <c r="Q17" s="73">
        <f t="shared" si="39"/>
        <v>4675.6164408796521</v>
      </c>
      <c r="R17" s="73">
        <f t="shared" si="39"/>
        <v>4941.4480382829188</v>
      </c>
      <c r="S17" s="73">
        <f t="shared" si="39"/>
        <v>5198.8171312416307</v>
      </c>
      <c r="T17" s="73">
        <f t="shared" si="39"/>
        <v>5447.7237197557861</v>
      </c>
      <c r="U17" s="73">
        <f t="shared" si="39"/>
        <v>5688.167803825384</v>
      </c>
      <c r="V17" s="73">
        <f t="shared" si="39"/>
        <v>5920.1493834504272</v>
      </c>
      <c r="W17" s="73">
        <f t="shared" si="39"/>
        <v>6146.9267810862275</v>
      </c>
      <c r="X17" s="73">
        <f t="shared" si="39"/>
        <v>6368.4999967327822</v>
      </c>
      <c r="Y17" s="73">
        <f t="shared" si="39"/>
        <v>6584.869030390093</v>
      </c>
      <c r="Z17" s="73">
        <f t="shared" si="39"/>
        <v>6796.0338820581601</v>
      </c>
      <c r="AA17" s="73">
        <f t="shared" si="39"/>
        <v>7001.9945517369824</v>
      </c>
      <c r="AB17" s="73">
        <f t="shared" si="39"/>
        <v>7202.751039426561</v>
      </c>
      <c r="AC17" s="73">
        <f t="shared" si="39"/>
        <v>7398.3033451268957</v>
      </c>
      <c r="AD17" s="73">
        <f t="shared" si="39"/>
        <v>7588.6514688379857</v>
      </c>
      <c r="AE17" s="73">
        <f t="shared" si="39"/>
        <v>7606.9597738083339</v>
      </c>
      <c r="AF17" s="73">
        <f t="shared" si="39"/>
        <v>7623.7425396294075</v>
      </c>
      <c r="AG17" s="73">
        <f t="shared" si="39"/>
        <v>7638.9997663012082</v>
      </c>
      <c r="AH17" s="73">
        <f t="shared" si="39"/>
        <v>7652.731453823736</v>
      </c>
      <c r="AI17" s="73">
        <f t="shared" si="39"/>
        <v>7664.9376021969911</v>
      </c>
      <c r="AJ17" s="73">
        <f t="shared" si="39"/>
        <v>7675.6182114209714</v>
      </c>
      <c r="AK17" s="73">
        <f t="shared" si="39"/>
        <v>7684.7732814956807</v>
      </c>
      <c r="AL17" s="73">
        <f t="shared" si="39"/>
        <v>7692.4028124211172</v>
      </c>
      <c r="AM17" s="73">
        <f t="shared" si="39"/>
        <v>7698.5068041972791</v>
      </c>
      <c r="AN17" s="73">
        <f t="shared" si="39"/>
        <v>7703.0852568241698</v>
      </c>
      <c r="AO17" s="73">
        <f t="shared" si="39"/>
        <v>7706.138170301786</v>
      </c>
      <c r="AP17" s="73">
        <f t="shared" si="39"/>
        <v>7707.6655446301302</v>
      </c>
    </row>
    <row r="18" spans="1:43" x14ac:dyDescent="0.25">
      <c r="A18" s="1" t="s">
        <v>26</v>
      </c>
      <c r="B18" s="64"/>
      <c r="C18" s="13"/>
      <c r="D18" s="13"/>
      <c r="E18" s="30">
        <f>'Données capacités de production'!B34</f>
        <v>686.64883751728235</v>
      </c>
      <c r="F18" s="30">
        <f>'Données capacités de production'!C34</f>
        <v>992.21305463259682</v>
      </c>
      <c r="G18" s="30">
        <f>'Données capacités de production'!D34</f>
        <v>1290.7387096960465</v>
      </c>
      <c r="H18" s="30">
        <f>'Données capacités de production'!E34</f>
        <v>1582.2258027076307</v>
      </c>
      <c r="I18" s="30">
        <f>'Données capacités de production'!F34</f>
        <v>1866.6743336673503</v>
      </c>
      <c r="J18" s="30">
        <f>'Données capacités de production'!G34</f>
        <v>2144.0843025752042</v>
      </c>
      <c r="K18" s="30">
        <f>'Données capacités de production'!H34</f>
        <v>2414.4557094311931</v>
      </c>
      <c r="L18" s="30">
        <f>'Données capacités de production'!I34</f>
        <v>2677.788554235317</v>
      </c>
      <c r="M18" s="30">
        <f>'Données capacités de production'!J34</f>
        <v>2934.0828369875767</v>
      </c>
      <c r="N18" s="30">
        <f>'Données capacités de production'!K34</f>
        <v>3183.33855768797</v>
      </c>
      <c r="O18" s="30">
        <f>'Données capacités de production'!L34</f>
        <v>3425.5557163364992</v>
      </c>
      <c r="P18" s="30">
        <f>'Données capacités de production'!M34</f>
        <v>3660.7343129331621</v>
      </c>
      <c r="Q18" s="30">
        <f>'Données capacités de production'!N34</f>
        <v>3888.8743474779612</v>
      </c>
      <c r="R18" s="30">
        <f>'Données capacités de production'!O34</f>
        <v>4109.9758199708931</v>
      </c>
      <c r="S18" s="30">
        <f>'Données capacités de production'!P34</f>
        <v>4324.0387304119613</v>
      </c>
      <c r="T18" s="30">
        <f>'Données capacités de production'!Q34</f>
        <v>4531.0630788011631</v>
      </c>
      <c r="U18" s="30">
        <f>'Données capacités de production'!R34</f>
        <v>4731.0488651384994</v>
      </c>
      <c r="V18" s="30">
        <f>'Données capacités de production'!S34</f>
        <v>4923.9960894239712</v>
      </c>
      <c r="W18" s="30">
        <f>'Données capacités de production'!T34</f>
        <v>5112.6148128382802</v>
      </c>
      <c r="X18" s="30">
        <f>'Données capacités de production'!U34</f>
        <v>5296.9050353814227</v>
      </c>
      <c r="Y18" s="30">
        <f>'Données capacités de production'!V34</f>
        <v>5476.8667570534017</v>
      </c>
      <c r="Z18" s="30">
        <f>'Données capacités de production'!W34</f>
        <v>5652.499977854216</v>
      </c>
      <c r="AA18" s="30">
        <f>'Données capacités de production'!X34</f>
        <v>5823.8046977838658</v>
      </c>
      <c r="AB18" s="30">
        <f>'Données capacités de production'!Y34</f>
        <v>5990.7809168423519</v>
      </c>
      <c r="AC18" s="30">
        <f>'Données capacités de production'!Z34</f>
        <v>6153.4286350296725</v>
      </c>
      <c r="AD18" s="30">
        <f>'Données capacités de production'!AA34</f>
        <v>6311.7478523458294</v>
      </c>
      <c r="AE18" s="30">
        <f>'Données capacités de production'!AB34</f>
        <v>6326.9755123656905</v>
      </c>
      <c r="AF18" s="30">
        <f>'Données capacités de production'!AC34</f>
        <v>6340.9343279158011</v>
      </c>
      <c r="AG18" s="30">
        <f>'Données capacités de production'!AD34</f>
        <v>6353.624298996162</v>
      </c>
      <c r="AH18" s="30">
        <f>'Données capacités de production'!AE34</f>
        <v>6365.0454256067733</v>
      </c>
      <c r="AI18" s="30">
        <f>'Données capacités de production'!AF34</f>
        <v>6375.1977077476349</v>
      </c>
      <c r="AJ18" s="30">
        <f>'Données capacités de production'!AG34</f>
        <v>6384.0811454187451</v>
      </c>
      <c r="AK18" s="30">
        <f>'Données capacités de production'!AH34</f>
        <v>6391.6957386201075</v>
      </c>
      <c r="AL18" s="30">
        <f>'Données capacités de production'!AI34</f>
        <v>6398.0414873517202</v>
      </c>
      <c r="AM18" s="30">
        <f>'Données capacités de production'!AJ34</f>
        <v>6403.1183916135815</v>
      </c>
      <c r="AN18" s="30">
        <f>'Données capacités de production'!AK34</f>
        <v>6406.9264514056958</v>
      </c>
      <c r="AO18" s="30">
        <f>'Données capacités de production'!AL34</f>
        <v>6409.4656667280578</v>
      </c>
      <c r="AP18" s="30">
        <f>'Données capacités de production'!AM34</f>
        <v>6410.7360375806711</v>
      </c>
    </row>
    <row r="19" spans="1:43" x14ac:dyDescent="0.25">
      <c r="A19" s="1" t="s">
        <v>25</v>
      </c>
      <c r="B19" s="64"/>
      <c r="C19" s="13"/>
      <c r="D19" s="13"/>
      <c r="E19" s="30">
        <f>'Données capacités de production'!B33</f>
        <v>138.91308784777999</v>
      </c>
      <c r="F19" s="30">
        <f>'Données capacités de production'!C33</f>
        <v>200.73052147040585</v>
      </c>
      <c r="G19" s="30">
        <f>'Données capacités de production'!D33</f>
        <v>261.12401270034081</v>
      </c>
      <c r="H19" s="30">
        <f>'Données capacités de production'!E33</f>
        <v>320.09356153758489</v>
      </c>
      <c r="I19" s="30">
        <f>'Données capacités de production'!F33</f>
        <v>377.63916798213813</v>
      </c>
      <c r="J19" s="30">
        <f>'Données capacités de production'!G33</f>
        <v>433.76083203400032</v>
      </c>
      <c r="K19" s="30">
        <f>'Données capacités de production'!H33</f>
        <v>488.45855369317167</v>
      </c>
      <c r="L19" s="30">
        <f>'Données capacités de production'!I33</f>
        <v>541.73233295965201</v>
      </c>
      <c r="M19" s="30">
        <f>'Données capacités de production'!J33</f>
        <v>593.58216983344175</v>
      </c>
      <c r="N19" s="30">
        <f>'Données capacités de production'!K33</f>
        <v>644.00806431454032</v>
      </c>
      <c r="O19" s="30">
        <f>'Données capacités de production'!L33</f>
        <v>693.01001640294817</v>
      </c>
      <c r="P19" s="30">
        <f>'Données capacités de production'!M33</f>
        <v>740.58802609866484</v>
      </c>
      <c r="Q19" s="30">
        <f>'Données capacités de production'!N33</f>
        <v>786.74209340169091</v>
      </c>
      <c r="R19" s="30">
        <f>'Données capacités de production'!O33</f>
        <v>831.47221831202557</v>
      </c>
      <c r="S19" s="30">
        <f>'Données capacités de production'!P33</f>
        <v>874.77840082966964</v>
      </c>
      <c r="T19" s="30">
        <f>'Données capacités de production'!Q33</f>
        <v>916.66064095462264</v>
      </c>
      <c r="U19" s="30">
        <f>'Données capacités de production'!R33</f>
        <v>957.11893868688458</v>
      </c>
      <c r="V19" s="30">
        <f>'Données capacités de production'!S33</f>
        <v>996.15329402645568</v>
      </c>
      <c r="W19" s="30">
        <f>'Données capacités de production'!T33</f>
        <v>1034.3119682479473</v>
      </c>
      <c r="X19" s="30">
        <f>'Données capacités de production'!U33</f>
        <v>1071.5949613513592</v>
      </c>
      <c r="Y19" s="30">
        <f>'Données capacités de production'!V33</f>
        <v>1108.0022733366914</v>
      </c>
      <c r="Z19" s="30">
        <f>'Données capacités de production'!W33</f>
        <v>1143.5339042039438</v>
      </c>
      <c r="AA19" s="30">
        <f>'Données capacités de production'!X33</f>
        <v>1178.1898539531164</v>
      </c>
      <c r="AB19" s="30">
        <f>'Données capacités de production'!Y33</f>
        <v>1211.9701225842095</v>
      </c>
      <c r="AC19" s="30">
        <f>'Données capacités de production'!Z33</f>
        <v>1244.874710097223</v>
      </c>
      <c r="AD19" s="30">
        <f>'Données capacités de production'!AA33</f>
        <v>1276.9036164921565</v>
      </c>
      <c r="AE19" s="30">
        <f>'Données capacités de production'!AB33</f>
        <v>1279.9842614426429</v>
      </c>
      <c r="AF19" s="30">
        <f>'Données capacités de production'!AC33</f>
        <v>1282.8082117136064</v>
      </c>
      <c r="AG19" s="30">
        <f>'Données capacités de production'!AD33</f>
        <v>1285.3754673050462</v>
      </c>
      <c r="AH19" s="30">
        <f>'Données capacités de production'!AE33</f>
        <v>1287.6860282169628</v>
      </c>
      <c r="AI19" s="30">
        <f>'Données capacités de production'!AF33</f>
        <v>1289.7398944493564</v>
      </c>
      <c r="AJ19" s="30">
        <f>'Données capacités de production'!AG33</f>
        <v>1291.5370660022263</v>
      </c>
      <c r="AK19" s="30">
        <f>'Données capacités de production'!AH33</f>
        <v>1293.0775428755733</v>
      </c>
      <c r="AL19" s="30">
        <f>'Données capacités de production'!AI33</f>
        <v>1294.361325069397</v>
      </c>
      <c r="AM19" s="30">
        <f>'Données capacités de production'!AJ33</f>
        <v>1295.3884125836971</v>
      </c>
      <c r="AN19" s="30">
        <f>'Données capacités de production'!AK33</f>
        <v>1296.1588054184745</v>
      </c>
      <c r="AO19" s="30">
        <f>'Données capacités de production'!AL33</f>
        <v>1296.6725035737281</v>
      </c>
      <c r="AP19" s="30">
        <f>'Données capacités de production'!AM33</f>
        <v>1296.9295070494588</v>
      </c>
    </row>
    <row r="20" spans="1:43" x14ac:dyDescent="0.25">
      <c r="A20" s="1" t="s">
        <v>221</v>
      </c>
      <c r="B20" s="64"/>
      <c r="C20" s="1"/>
      <c r="D20" s="1"/>
      <c r="E20" s="147">
        <f>E19/E17</f>
        <v>0.16826489156019742</v>
      </c>
      <c r="F20" s="147">
        <f t="shared" ref="F20" si="40">F19/F17</f>
        <v>0.16826489156019742</v>
      </c>
      <c r="G20" s="147">
        <f t="shared" ref="G20" si="41">G19/G17</f>
        <v>0.16826489156019739</v>
      </c>
      <c r="H20" s="147">
        <f t="shared" ref="H20" si="42">H19/H17</f>
        <v>0.16826489156019742</v>
      </c>
      <c r="I20" s="147">
        <f t="shared" ref="I20" si="43">I19/I17</f>
        <v>0.16826489156019742</v>
      </c>
      <c r="J20" s="147">
        <f t="shared" ref="J20" si="44">J19/J17</f>
        <v>0.16826489156019742</v>
      </c>
      <c r="K20" s="147">
        <f t="shared" ref="K20" si="45">K19/K17</f>
        <v>0.16826489156019742</v>
      </c>
      <c r="L20" s="147">
        <f t="shared" ref="L20" si="46">L19/L17</f>
        <v>0.16826489156019742</v>
      </c>
      <c r="M20" s="147">
        <f t="shared" ref="M20" si="47">M19/M17</f>
        <v>0.16826489156019742</v>
      </c>
      <c r="N20" s="147">
        <f t="shared" ref="N20" si="48">N19/N17</f>
        <v>0.16826489156019742</v>
      </c>
      <c r="O20" s="147">
        <f t="shared" ref="O20" si="49">O19/O17</f>
        <v>0.16826489156019742</v>
      </c>
      <c r="P20" s="147">
        <f t="shared" ref="P20" si="50">P19/P17</f>
        <v>0.16826489156019742</v>
      </c>
      <c r="Q20" s="147">
        <f t="shared" ref="Q20" si="51">Q19/Q17</f>
        <v>0.16826489156019742</v>
      </c>
      <c r="R20" s="147">
        <f t="shared" ref="R20" si="52">R19/R17</f>
        <v>0.16826489156019742</v>
      </c>
      <c r="S20" s="147">
        <f t="shared" ref="S20" si="53">S19/S17</f>
        <v>0.16826489156019742</v>
      </c>
      <c r="T20" s="147">
        <f t="shared" ref="T20" si="54">T19/T17</f>
        <v>0.16826489156019742</v>
      </c>
      <c r="U20" s="147">
        <f t="shared" ref="U20" si="55">U19/U17</f>
        <v>0.16826489156019742</v>
      </c>
      <c r="V20" s="147">
        <f t="shared" ref="V20" si="56">V19/V17</f>
        <v>0.16826489156019742</v>
      </c>
      <c r="W20" s="147">
        <f t="shared" ref="W20" si="57">W19/W17</f>
        <v>0.16826489156019739</v>
      </c>
      <c r="X20" s="147">
        <f t="shared" ref="X20" si="58">X19/X17</f>
        <v>0.16826489156019742</v>
      </c>
      <c r="Y20" s="147">
        <f t="shared" ref="Y20" si="59">Y19/Y17</f>
        <v>0.16826489156019742</v>
      </c>
      <c r="Z20" s="147">
        <f t="shared" ref="Z20" si="60">Z19/Z17</f>
        <v>0.16826489156019742</v>
      </c>
      <c r="AA20" s="147">
        <f t="shared" ref="AA20" si="61">AA19/AA17</f>
        <v>0.16826489156019742</v>
      </c>
      <c r="AB20" s="147">
        <f t="shared" ref="AB20" si="62">AB19/AB17</f>
        <v>0.16826489156019742</v>
      </c>
      <c r="AC20" s="147">
        <f t="shared" ref="AC20" si="63">AC19/AC17</f>
        <v>0.16826489156019742</v>
      </c>
      <c r="AD20" s="147">
        <f t="shared" ref="AD20" si="64">AD19/AD17</f>
        <v>0.16826489156019742</v>
      </c>
      <c r="AE20" s="147">
        <f t="shared" ref="AE20" si="65">AE19/AE17</f>
        <v>0.16826489156019739</v>
      </c>
      <c r="AF20" s="147">
        <f t="shared" ref="AF20" si="66">AF19/AF17</f>
        <v>0.16826489156019742</v>
      </c>
      <c r="AG20" s="147">
        <f t="shared" ref="AG20" si="67">AG19/AG17</f>
        <v>0.16826489156019742</v>
      </c>
      <c r="AH20" s="147">
        <f t="shared" ref="AH20" si="68">AH19/AH17</f>
        <v>0.16826489156019742</v>
      </c>
      <c r="AI20" s="147">
        <f t="shared" ref="AI20" si="69">AI19/AI17</f>
        <v>0.16826489156019742</v>
      </c>
      <c r="AJ20" s="147">
        <f t="shared" ref="AJ20" si="70">AJ19/AJ17</f>
        <v>0.16826489156019744</v>
      </c>
      <c r="AK20" s="147">
        <f t="shared" ref="AK20" si="71">AK19/AK17</f>
        <v>0.16826489156019742</v>
      </c>
      <c r="AL20" s="147">
        <f t="shared" ref="AL20" si="72">AL19/AL17</f>
        <v>0.16826489156019744</v>
      </c>
      <c r="AM20" s="147">
        <f t="shared" ref="AM20" si="73">AM19/AM17</f>
        <v>0.16826489156019742</v>
      </c>
      <c r="AN20" s="147">
        <f t="shared" ref="AN20" si="74">AN19/AN17</f>
        <v>0.16826489156019742</v>
      </c>
      <c r="AO20" s="147">
        <f t="shared" ref="AO20" si="75">AO19/AO17</f>
        <v>0.16826489156019742</v>
      </c>
      <c r="AP20" s="147">
        <f t="shared" ref="AP20" si="76">AP19/AP17</f>
        <v>0.16826489156019742</v>
      </c>
    </row>
    <row r="22" spans="1:43" x14ac:dyDescent="0.25">
      <c r="A22" s="52" t="s">
        <v>123</v>
      </c>
      <c r="B22" s="52"/>
      <c r="C22" s="52"/>
      <c r="D22" s="52"/>
      <c r="E22" s="73">
        <f t="shared" ref="E22:AP22" si="77">E23+E28+E32</f>
        <v>472.47128100000009</v>
      </c>
      <c r="F22" s="73">
        <f t="shared" si="77"/>
        <v>540.27142731392701</v>
      </c>
      <c r="G22" s="73">
        <f t="shared" si="77"/>
        <v>607.89427183372072</v>
      </c>
      <c r="H22" s="73">
        <f t="shared" si="77"/>
        <v>674.77731455938147</v>
      </c>
      <c r="I22" s="73">
        <f t="shared" si="77"/>
        <v>740.92055549090901</v>
      </c>
      <c r="J22" s="73">
        <f t="shared" si="77"/>
        <v>806.32399462830347</v>
      </c>
      <c r="K22" s="73">
        <f t="shared" si="77"/>
        <v>870.98763197156472</v>
      </c>
      <c r="L22" s="73">
        <f t="shared" si="77"/>
        <v>934.91146752069324</v>
      </c>
      <c r="M22" s="73">
        <f t="shared" si="77"/>
        <v>998.09550127568878</v>
      </c>
      <c r="N22" s="73">
        <f t="shared" si="77"/>
        <v>1060.539733236551</v>
      </c>
      <c r="O22" s="73">
        <f t="shared" si="77"/>
        <v>1122.2441634032803</v>
      </c>
      <c r="P22" s="73">
        <f t="shared" si="77"/>
        <v>1183.2087917758763</v>
      </c>
      <c r="Q22" s="73">
        <f t="shared" si="77"/>
        <v>1243.4336183543396</v>
      </c>
      <c r="R22" s="73">
        <f t="shared" si="77"/>
        <v>1302.9186431386697</v>
      </c>
      <c r="S22" s="73">
        <f t="shared" si="77"/>
        <v>1361.6638661288669</v>
      </c>
      <c r="T22" s="73">
        <f t="shared" si="77"/>
        <v>1419.6692873249312</v>
      </c>
      <c r="U22" s="73">
        <f t="shared" si="77"/>
        <v>1476.9349067268624</v>
      </c>
      <c r="V22" s="73">
        <f t="shared" si="77"/>
        <v>1533.4607243346609</v>
      </c>
      <c r="W22" s="73">
        <f t="shared" si="77"/>
        <v>1589.357710417446</v>
      </c>
      <c r="X22" s="73">
        <f t="shared" si="77"/>
        <v>1644.6258649752181</v>
      </c>
      <c r="Y22" s="73">
        <f t="shared" si="77"/>
        <v>1688.577688007977</v>
      </c>
      <c r="Z22" s="73">
        <f t="shared" si="77"/>
        <v>1732.1735247095403</v>
      </c>
      <c r="AA22" s="73">
        <f t="shared" si="77"/>
        <v>1775.4390001552104</v>
      </c>
      <c r="AB22" s="73">
        <f t="shared" si="77"/>
        <v>1818.3741143449874</v>
      </c>
      <c r="AC22" s="73">
        <f t="shared" si="77"/>
        <v>1860.9788672788713</v>
      </c>
      <c r="AD22" s="73">
        <f t="shared" si="77"/>
        <v>1903.2532589568623</v>
      </c>
      <c r="AE22" s="73">
        <f t="shared" si="77"/>
        <v>1945.1972893789602</v>
      </c>
      <c r="AF22" s="73">
        <f t="shared" si="77"/>
        <v>1986.810958545165</v>
      </c>
      <c r="AG22" s="73">
        <f t="shared" si="77"/>
        <v>2028.0942664554768</v>
      </c>
      <c r="AH22" s="73">
        <f t="shared" si="77"/>
        <v>2069.047213109895</v>
      </c>
      <c r="AI22" s="73">
        <f t="shared" si="77"/>
        <v>2109.6697985084211</v>
      </c>
      <c r="AJ22" s="73">
        <f t="shared" si="77"/>
        <v>2149.9620226510538</v>
      </c>
      <c r="AK22" s="73">
        <f t="shared" si="77"/>
        <v>2189.923885537793</v>
      </c>
      <c r="AL22" s="73">
        <f t="shared" si="77"/>
        <v>2229.5553871686398</v>
      </c>
      <c r="AM22" s="73">
        <f t="shared" si="77"/>
        <v>2268.8565275435931</v>
      </c>
      <c r="AN22" s="73">
        <f t="shared" si="77"/>
        <v>2307.8273066626543</v>
      </c>
      <c r="AO22" s="73">
        <f t="shared" si="77"/>
        <v>2346.4677245258213</v>
      </c>
      <c r="AP22" s="73">
        <f t="shared" si="77"/>
        <v>2384.7777811330961</v>
      </c>
    </row>
    <row r="23" spans="1:43" x14ac:dyDescent="0.25">
      <c r="A23" s="20" t="s">
        <v>125</v>
      </c>
      <c r="B23" s="31"/>
      <c r="C23" s="31"/>
      <c r="D23" s="31"/>
      <c r="E23" s="31">
        <f t="shared" ref="E23:AO23" si="78">E24+E25+E26</f>
        <v>119.28925890000002</v>
      </c>
      <c r="F23" s="31">
        <f t="shared" si="78"/>
        <v>158.71698096943271</v>
      </c>
      <c r="G23" s="31">
        <f t="shared" si="78"/>
        <v>198.14470303886537</v>
      </c>
      <c r="H23" s="31">
        <f t="shared" si="78"/>
        <v>237.57242510829803</v>
      </c>
      <c r="I23" s="31">
        <f t="shared" si="78"/>
        <v>277.00014717773075</v>
      </c>
      <c r="J23" s="31">
        <f t="shared" si="78"/>
        <v>316.42786924716353</v>
      </c>
      <c r="K23" s="31">
        <f t="shared" si="78"/>
        <v>355.85559131659625</v>
      </c>
      <c r="L23" s="31">
        <f t="shared" si="78"/>
        <v>395.28331338602902</v>
      </c>
      <c r="M23" s="31">
        <f t="shared" si="78"/>
        <v>434.71103545546197</v>
      </c>
      <c r="N23" s="31">
        <f t="shared" si="78"/>
        <v>474.1387575248948</v>
      </c>
      <c r="O23" s="31">
        <f t="shared" si="78"/>
        <v>513.56647959432769</v>
      </c>
      <c r="P23" s="31">
        <f t="shared" si="78"/>
        <v>552.99420166376069</v>
      </c>
      <c r="Q23" s="31">
        <f t="shared" si="78"/>
        <v>592.42192373319369</v>
      </c>
      <c r="R23" s="31">
        <f t="shared" si="78"/>
        <v>631.8496458026267</v>
      </c>
      <c r="S23" s="31">
        <f t="shared" si="78"/>
        <v>671.27736787205981</v>
      </c>
      <c r="T23" s="31">
        <f t="shared" si="78"/>
        <v>710.70508994149316</v>
      </c>
      <c r="U23" s="31">
        <f t="shared" si="78"/>
        <v>750.1328120109265</v>
      </c>
      <c r="V23" s="31">
        <f t="shared" si="78"/>
        <v>789.56053408035996</v>
      </c>
      <c r="W23" s="31">
        <f t="shared" si="78"/>
        <v>828.98825614979341</v>
      </c>
      <c r="X23" s="31">
        <f t="shared" si="78"/>
        <v>868.41597821922699</v>
      </c>
      <c r="Y23" s="31">
        <f t="shared" si="78"/>
        <v>907.84370028866056</v>
      </c>
      <c r="Z23" s="31">
        <f t="shared" si="78"/>
        <v>947.27142235809424</v>
      </c>
      <c r="AA23" s="31">
        <f t="shared" si="78"/>
        <v>986.69914442752793</v>
      </c>
      <c r="AB23" s="31">
        <f t="shared" si="78"/>
        <v>1026.1268664969618</v>
      </c>
      <c r="AC23" s="31">
        <f t="shared" si="78"/>
        <v>1065.5545885663958</v>
      </c>
      <c r="AD23" s="31">
        <f t="shared" si="78"/>
        <v>1104.9823106358299</v>
      </c>
      <c r="AE23" s="31">
        <f t="shared" si="78"/>
        <v>1144.410032705264</v>
      </c>
      <c r="AF23" s="31">
        <f t="shared" si="78"/>
        <v>1183.8377547746982</v>
      </c>
      <c r="AG23" s="31">
        <f t="shared" si="78"/>
        <v>1223.2654768441325</v>
      </c>
      <c r="AH23" s="31">
        <f t="shared" si="78"/>
        <v>1262.6931989135669</v>
      </c>
      <c r="AI23" s="31">
        <f t="shared" si="78"/>
        <v>1302.1209209830017</v>
      </c>
      <c r="AJ23" s="31">
        <f t="shared" si="78"/>
        <v>1341.5486430524365</v>
      </c>
      <c r="AK23" s="31">
        <f t="shared" si="78"/>
        <v>1380.9763651218714</v>
      </c>
      <c r="AL23" s="31">
        <f t="shared" si="78"/>
        <v>1420.4040871913066</v>
      </c>
      <c r="AM23" s="31">
        <f t="shared" si="78"/>
        <v>1459.8318092607417</v>
      </c>
      <c r="AN23" s="31">
        <f t="shared" si="78"/>
        <v>1499.2595313301774</v>
      </c>
      <c r="AO23" s="31">
        <f t="shared" si="78"/>
        <v>1538.6872533996129</v>
      </c>
      <c r="AP23" s="31">
        <f>AP24+AP25+AP26</f>
        <v>1578.1149754690489</v>
      </c>
    </row>
    <row r="24" spans="1:43" x14ac:dyDescent="0.25">
      <c r="A24" s="1" t="s">
        <v>26</v>
      </c>
      <c r="B24" s="64"/>
      <c r="C24" s="13"/>
      <c r="D24" s="13"/>
      <c r="E24" s="30">
        <f>'Données capacités de production'!B48</f>
        <v>73.201303913098286</v>
      </c>
      <c r="F24" s="30">
        <f>'Données capacités de production'!C48</f>
        <v>97.395943836422646</v>
      </c>
      <c r="G24" s="30">
        <f>'Données capacités de production'!D48</f>
        <v>121.59058375974698</v>
      </c>
      <c r="H24" s="30">
        <f>'Données capacités de production'!E48</f>
        <v>145.78522368307131</v>
      </c>
      <c r="I24" s="30">
        <f>'Données capacités de production'!F48</f>
        <v>169.9798636063957</v>
      </c>
      <c r="J24" s="30">
        <f>'Données capacités de production'!G48</f>
        <v>194.17450352972008</v>
      </c>
      <c r="K24" s="30">
        <f>'Données capacités de production'!H48</f>
        <v>218.36914345304447</v>
      </c>
      <c r="L24" s="30">
        <f>'Données capacités de production'!I48</f>
        <v>242.56378337636889</v>
      </c>
      <c r="M24" s="30">
        <f>'Données capacités de production'!J48</f>
        <v>266.75842329969339</v>
      </c>
      <c r="N24" s="30">
        <f>'Données capacités de production'!K48</f>
        <v>290.95306322301781</v>
      </c>
      <c r="O24" s="30">
        <f>'Données capacités de production'!L48</f>
        <v>315.14770314634228</v>
      </c>
      <c r="P24" s="30">
        <f>'Données capacités de production'!M48</f>
        <v>339.34234306966687</v>
      </c>
      <c r="Q24" s="30">
        <f>'Données capacités de production'!N48</f>
        <v>363.53698299299134</v>
      </c>
      <c r="R24" s="30">
        <f>'Données capacités de production'!O48</f>
        <v>387.73162291631593</v>
      </c>
      <c r="S24" s="30">
        <f>'Données capacités de production'!P48</f>
        <v>411.92626283964057</v>
      </c>
      <c r="T24" s="30">
        <f>'Données capacités de production'!Q48</f>
        <v>436.12090276296527</v>
      </c>
      <c r="U24" s="30">
        <f>'Données capacités de production'!R48</f>
        <v>460.31554268629003</v>
      </c>
      <c r="V24" s="30">
        <f>'Données capacités de production'!S48</f>
        <v>484.51018260961484</v>
      </c>
      <c r="W24" s="30">
        <f>'Données capacités de production'!T48</f>
        <v>508.70482253293972</v>
      </c>
      <c r="X24" s="30">
        <f>'Données capacités de production'!U48</f>
        <v>532.89946245626459</v>
      </c>
      <c r="Y24" s="30">
        <f>'Données capacités de production'!V48</f>
        <v>557.09410237958946</v>
      </c>
      <c r="Z24" s="30">
        <f>'Données capacités de production'!W48</f>
        <v>581.28874230291444</v>
      </c>
      <c r="AA24" s="30">
        <f>'Données capacités de production'!X48</f>
        <v>605.48338222623943</v>
      </c>
      <c r="AB24" s="30">
        <f>'Données capacités de production'!Y48</f>
        <v>629.67802214956453</v>
      </c>
      <c r="AC24" s="30">
        <f>'Données capacités de production'!Z48</f>
        <v>653.87266207288963</v>
      </c>
      <c r="AD24" s="30">
        <f>'Données capacités de production'!AA48</f>
        <v>678.06730199621495</v>
      </c>
      <c r="AE24" s="30">
        <f>'Données capacités de production'!AB48</f>
        <v>702.26194191954016</v>
      </c>
      <c r="AF24" s="30">
        <f>'Données capacités de production'!AC48</f>
        <v>726.45658184286538</v>
      </c>
      <c r="AG24" s="30">
        <f>'Données capacités de production'!AD48</f>
        <v>750.65122176619082</v>
      </c>
      <c r="AH24" s="30">
        <f>'Données capacités de production'!AE48</f>
        <v>774.84586168951614</v>
      </c>
      <c r="AI24" s="30">
        <f>'Données capacités de production'!AF48</f>
        <v>799.04050161284181</v>
      </c>
      <c r="AJ24" s="30">
        <f>'Données capacités de production'!AG48</f>
        <v>823.23514153616748</v>
      </c>
      <c r="AK24" s="30">
        <f>'Données capacités de production'!AH48</f>
        <v>847.42978145949303</v>
      </c>
      <c r="AL24" s="30">
        <f>'Données capacités de production'!AI48</f>
        <v>871.62442138281904</v>
      </c>
      <c r="AM24" s="30">
        <f>'Données capacités de production'!AJ48</f>
        <v>895.8190613061447</v>
      </c>
      <c r="AN24" s="30">
        <f>'Données capacités de production'!AK48</f>
        <v>920.01370122947105</v>
      </c>
      <c r="AO24" s="30">
        <f>'Données capacités de production'!AL48</f>
        <v>944.20834115279717</v>
      </c>
      <c r="AP24" s="30">
        <f>'Données capacités de production'!AM48</f>
        <v>968.40298107612352</v>
      </c>
    </row>
    <row r="25" spans="1:43" x14ac:dyDescent="0.25">
      <c r="A25" s="1" t="s">
        <v>25</v>
      </c>
      <c r="B25" s="64"/>
      <c r="C25" s="13"/>
      <c r="D25" s="13"/>
      <c r="E25" s="30">
        <f>'Données capacités de production'!B47</f>
        <v>18.821838666901719</v>
      </c>
      <c r="F25" s="30">
        <f>'Données capacités de production'!C47</f>
        <v>25.042870054282584</v>
      </c>
      <c r="G25" s="30">
        <f>'Données capacités de production'!D47</f>
        <v>31.263901441663446</v>
      </c>
      <c r="H25" s="30">
        <f>'Données capacités de production'!E47</f>
        <v>37.484932829044304</v>
      </c>
      <c r="I25" s="30">
        <f>'Données capacités de production'!F47</f>
        <v>43.70596421642518</v>
      </c>
      <c r="J25" s="30">
        <f>'Données capacités de production'!G47</f>
        <v>49.926995603806056</v>
      </c>
      <c r="K25" s="30">
        <f>'Données capacités de production'!H47</f>
        <v>56.148026991186931</v>
      </c>
      <c r="L25" s="30">
        <f>'Données capacités de production'!I47</f>
        <v>62.369058378567814</v>
      </c>
      <c r="M25" s="30">
        <f>'Données capacités de production'!J47</f>
        <v>68.590089765948704</v>
      </c>
      <c r="N25" s="30">
        <f>'Données capacités de production'!K47</f>
        <v>74.811121153329594</v>
      </c>
      <c r="O25" s="30">
        <f>'Données capacités de production'!L47</f>
        <v>81.032152540710499</v>
      </c>
      <c r="P25" s="30">
        <f>'Données capacités de production'!M47</f>
        <v>87.253183928091417</v>
      </c>
      <c r="Q25" s="30">
        <f>'Données capacités de production'!N47</f>
        <v>93.474215315472335</v>
      </c>
      <c r="R25" s="30">
        <f>'Données capacités de production'!O47</f>
        <v>99.695246702853254</v>
      </c>
      <c r="S25" s="30">
        <f>'Données capacités de production'!P47</f>
        <v>105.91627809023419</v>
      </c>
      <c r="T25" s="30">
        <f>'Données capacités de production'!Q47</f>
        <v>112.13730947761515</v>
      </c>
      <c r="U25" s="30">
        <f>'Données capacités de production'!R47</f>
        <v>118.35834086499612</v>
      </c>
      <c r="V25" s="30">
        <f>'Données capacités de production'!S47</f>
        <v>124.5793722523771</v>
      </c>
      <c r="W25" s="30">
        <f>'Données capacités de production'!T47</f>
        <v>130.80040363975809</v>
      </c>
      <c r="X25" s="30">
        <f>'Données capacités de production'!U47</f>
        <v>137.02143502713909</v>
      </c>
      <c r="Y25" s="30">
        <f>'Données capacités de production'!V47</f>
        <v>143.24246641452009</v>
      </c>
      <c r="Z25" s="30">
        <f>'Données capacités de production'!W47</f>
        <v>149.46349780190116</v>
      </c>
      <c r="AA25" s="30">
        <f>'Données capacités de production'!X47</f>
        <v>155.68452918928216</v>
      </c>
      <c r="AB25" s="30">
        <f>'Données capacités de production'!Y47</f>
        <v>161.90556057666322</v>
      </c>
      <c r="AC25" s="30">
        <f>'Données capacités de production'!Z47</f>
        <v>168.12659196404428</v>
      </c>
      <c r="AD25" s="30">
        <f>'Données capacités de production'!AA47</f>
        <v>174.34762335142537</v>
      </c>
      <c r="AE25" s="30">
        <f>'Données capacités de production'!AB47</f>
        <v>180.56865473880649</v>
      </c>
      <c r="AF25" s="30">
        <f>'Données capacités de production'!AC47</f>
        <v>186.78968612618758</v>
      </c>
      <c r="AG25" s="30">
        <f>'Données capacités de production'!AD47</f>
        <v>193.01071751356872</v>
      </c>
      <c r="AH25" s="30">
        <f>'Données capacités de production'!AE47</f>
        <v>199.23174890094984</v>
      </c>
      <c r="AI25" s="30">
        <f>'Données capacités de production'!AF47</f>
        <v>205.45278028833104</v>
      </c>
      <c r="AJ25" s="30">
        <f>'Données capacités de production'!AG47</f>
        <v>211.67381167571222</v>
      </c>
      <c r="AK25" s="30">
        <f>'Données capacités de production'!AH47</f>
        <v>217.89484306309342</v>
      </c>
      <c r="AL25" s="30">
        <f>'Données capacités de production'!AI47</f>
        <v>224.11587445047468</v>
      </c>
      <c r="AM25" s="30">
        <f>'Données capacités de production'!AJ47</f>
        <v>230.33690583785591</v>
      </c>
      <c r="AN25" s="30">
        <f>'Données capacités de production'!AK47</f>
        <v>236.55793722523728</v>
      </c>
      <c r="AO25" s="30">
        <f>'Données capacités de production'!AL47</f>
        <v>242.77896861261863</v>
      </c>
      <c r="AP25" s="30">
        <f>'Données capacités de production'!AM47</f>
        <v>249</v>
      </c>
    </row>
    <row r="26" spans="1:43" x14ac:dyDescent="0.25">
      <c r="A26" s="1" t="s">
        <v>144</v>
      </c>
      <c r="B26" s="64"/>
      <c r="C26" s="13"/>
      <c r="D26" s="13"/>
      <c r="E26" s="30">
        <f>'Données capacités de production'!B50</f>
        <v>27.266116320000005</v>
      </c>
      <c r="F26" s="30">
        <f>'Données capacités de production'!C50</f>
        <v>36.278167078727478</v>
      </c>
      <c r="G26" s="30">
        <f>'Données capacités de production'!D50</f>
        <v>45.290217837454946</v>
      </c>
      <c r="H26" s="30">
        <f>'Données capacités de production'!E50</f>
        <v>54.302268596182415</v>
      </c>
      <c r="I26" s="30">
        <f>'Données capacités de production'!F50</f>
        <v>63.314319354909891</v>
      </c>
      <c r="J26" s="30">
        <f>'Données capacités de production'!G50</f>
        <v>72.326370113637367</v>
      </c>
      <c r="K26" s="30">
        <f>'Données capacités de production'!H50</f>
        <v>81.33842087236485</v>
      </c>
      <c r="L26" s="30">
        <f>'Données capacités de production'!I50</f>
        <v>90.350471631092333</v>
      </c>
      <c r="M26" s="30">
        <f>'Données capacités de production'!J50</f>
        <v>99.362522389819858</v>
      </c>
      <c r="N26" s="30">
        <f>'Données capacités de production'!K50</f>
        <v>108.37457314854737</v>
      </c>
      <c r="O26" s="30">
        <f>'Données capacités de production'!L50</f>
        <v>117.3866239072749</v>
      </c>
      <c r="P26" s="30">
        <f>'Données capacités de production'!M50</f>
        <v>126.39867466600244</v>
      </c>
      <c r="Q26" s="30">
        <f>'Données capacités de production'!N50</f>
        <v>135.41072542472997</v>
      </c>
      <c r="R26" s="30">
        <f>'Données capacités de production'!O50</f>
        <v>144.42277618345753</v>
      </c>
      <c r="S26" s="30">
        <f>'Données capacités de production'!P50</f>
        <v>153.43482694218511</v>
      </c>
      <c r="T26" s="30">
        <f>'Données capacités de production'!Q50</f>
        <v>162.44687770091272</v>
      </c>
      <c r="U26" s="30">
        <f>'Données capacités de production'!R50</f>
        <v>171.45892845964033</v>
      </c>
      <c r="V26" s="30">
        <f>'Données capacités de production'!S50</f>
        <v>180.47097921836797</v>
      </c>
      <c r="W26" s="30">
        <f>'Données capacités de production'!T50</f>
        <v>189.48302997709561</v>
      </c>
      <c r="X26" s="30">
        <f>'Données capacités de production'!U50</f>
        <v>198.49508073582328</v>
      </c>
      <c r="Y26" s="30">
        <f>'Données capacités de production'!V50</f>
        <v>207.50713149455095</v>
      </c>
      <c r="Z26" s="30">
        <f>'Données capacités de production'!W50</f>
        <v>216.51918225327864</v>
      </c>
      <c r="AA26" s="30">
        <f>'Données capacités de production'!X50</f>
        <v>225.53123301200637</v>
      </c>
      <c r="AB26" s="30">
        <f>'Données capacités de production'!Y50</f>
        <v>234.54328377073409</v>
      </c>
      <c r="AC26" s="30">
        <f>'Données capacités de production'!Z50</f>
        <v>243.55533452946182</v>
      </c>
      <c r="AD26" s="30">
        <f>'Données capacités de production'!AA50</f>
        <v>252.56738528818963</v>
      </c>
      <c r="AE26" s="30">
        <f>'Données capacités de production'!AB50</f>
        <v>261.57943604691741</v>
      </c>
      <c r="AF26" s="30">
        <f>'Données capacités de production'!AC50</f>
        <v>270.59148680564522</v>
      </c>
      <c r="AG26" s="30">
        <f>'Données capacités de production'!AD50</f>
        <v>279.60353756437308</v>
      </c>
      <c r="AH26" s="30">
        <f>'Données capacités de production'!AE50</f>
        <v>288.61558832310095</v>
      </c>
      <c r="AI26" s="30">
        <f>'Données capacités de production'!AF50</f>
        <v>297.62763908182887</v>
      </c>
      <c r="AJ26" s="30">
        <f>'Données capacités de production'!AG50</f>
        <v>306.63968984055685</v>
      </c>
      <c r="AK26" s="30">
        <f>'Données capacités de production'!AH50</f>
        <v>315.65174059928484</v>
      </c>
      <c r="AL26" s="30">
        <f>'Données capacités de production'!AI50</f>
        <v>324.66379135801287</v>
      </c>
      <c r="AM26" s="30">
        <f>'Données capacités de production'!AJ50</f>
        <v>333.67584211674097</v>
      </c>
      <c r="AN26" s="30">
        <f>'Données capacités de production'!AK50</f>
        <v>342.68789287546906</v>
      </c>
      <c r="AO26" s="30">
        <f>'Données capacités de production'!AL50</f>
        <v>351.69994363419721</v>
      </c>
      <c r="AP26" s="30">
        <f>'Données capacités de production'!AM50</f>
        <v>360.71199439292536</v>
      </c>
    </row>
    <row r="27" spans="1:43" x14ac:dyDescent="0.25">
      <c r="A27" s="1" t="s">
        <v>221</v>
      </c>
      <c r="B27" s="64"/>
      <c r="C27" s="1"/>
      <c r="D27" s="1"/>
      <c r="E27" s="147">
        <f>(E26+E25)/E23</f>
        <v>0.38635460905610264</v>
      </c>
      <c r="F27" s="147">
        <f t="shared" ref="F27:AP27" si="79">(F26+F25)/F23</f>
        <v>0.38635460905610269</v>
      </c>
      <c r="G27" s="147">
        <f t="shared" si="79"/>
        <v>0.38635460905610269</v>
      </c>
      <c r="H27" s="147">
        <f t="shared" si="79"/>
        <v>0.38635460905610269</v>
      </c>
      <c r="I27" s="147">
        <f t="shared" si="79"/>
        <v>0.38635460905610269</v>
      </c>
      <c r="J27" s="147">
        <f t="shared" si="79"/>
        <v>0.38635460905610258</v>
      </c>
      <c r="K27" s="147">
        <f t="shared" si="79"/>
        <v>0.38635460905610264</v>
      </c>
      <c r="L27" s="147">
        <f t="shared" si="79"/>
        <v>0.38635460905610269</v>
      </c>
      <c r="M27" s="147">
        <f t="shared" si="79"/>
        <v>0.38635460905610264</v>
      </c>
      <c r="N27" s="147">
        <f t="shared" si="79"/>
        <v>0.38635460905610264</v>
      </c>
      <c r="O27" s="147">
        <f t="shared" si="79"/>
        <v>0.38635460905610269</v>
      </c>
      <c r="P27" s="147">
        <f t="shared" si="79"/>
        <v>0.38635460905610264</v>
      </c>
      <c r="Q27" s="147">
        <f t="shared" si="79"/>
        <v>0.38635460905610264</v>
      </c>
      <c r="R27" s="147">
        <f t="shared" si="79"/>
        <v>0.38635460905610264</v>
      </c>
      <c r="S27" s="147">
        <f t="shared" si="79"/>
        <v>0.38635460905610269</v>
      </c>
      <c r="T27" s="147">
        <f t="shared" si="79"/>
        <v>0.38635460905610269</v>
      </c>
      <c r="U27" s="147">
        <f t="shared" si="79"/>
        <v>0.38635460905610269</v>
      </c>
      <c r="V27" s="147">
        <f t="shared" si="79"/>
        <v>0.38635460905610264</v>
      </c>
      <c r="W27" s="147">
        <f t="shared" si="79"/>
        <v>0.38635460905610264</v>
      </c>
      <c r="X27" s="147">
        <f t="shared" si="79"/>
        <v>0.38635460905610264</v>
      </c>
      <c r="Y27" s="147">
        <f t="shared" si="79"/>
        <v>0.38635460905610264</v>
      </c>
      <c r="Z27" s="147">
        <f t="shared" si="79"/>
        <v>0.38635460905610264</v>
      </c>
      <c r="AA27" s="147">
        <f t="shared" si="79"/>
        <v>0.38635460905610264</v>
      </c>
      <c r="AB27" s="147">
        <f t="shared" si="79"/>
        <v>0.38635460905610264</v>
      </c>
      <c r="AC27" s="147">
        <f t="shared" si="79"/>
        <v>0.38635460905610264</v>
      </c>
      <c r="AD27" s="147">
        <f t="shared" si="79"/>
        <v>0.38635460905610264</v>
      </c>
      <c r="AE27" s="147">
        <f t="shared" si="79"/>
        <v>0.38635460905610258</v>
      </c>
      <c r="AF27" s="147">
        <f t="shared" si="79"/>
        <v>0.38635460905610264</v>
      </c>
      <c r="AG27" s="147">
        <f t="shared" si="79"/>
        <v>0.38635460905610269</v>
      </c>
      <c r="AH27" s="147">
        <f t="shared" si="79"/>
        <v>0.38635460905610264</v>
      </c>
      <c r="AI27" s="147">
        <f t="shared" si="79"/>
        <v>0.38635460905610264</v>
      </c>
      <c r="AJ27" s="147">
        <f t="shared" si="79"/>
        <v>0.38635460905610264</v>
      </c>
      <c r="AK27" s="147">
        <f t="shared" si="79"/>
        <v>0.38635460905610258</v>
      </c>
      <c r="AL27" s="147">
        <f t="shared" si="79"/>
        <v>0.38635460905610264</v>
      </c>
      <c r="AM27" s="147">
        <f t="shared" si="79"/>
        <v>0.38635460905610264</v>
      </c>
      <c r="AN27" s="147">
        <f t="shared" si="79"/>
        <v>0.38635460905610264</v>
      </c>
      <c r="AO27" s="147">
        <f t="shared" si="79"/>
        <v>0.38635460905610269</v>
      </c>
      <c r="AP27" s="147">
        <f t="shared" si="79"/>
        <v>0.38635460905610264</v>
      </c>
    </row>
    <row r="28" spans="1:43" x14ac:dyDescent="0.25">
      <c r="A28" s="17" t="s">
        <v>21</v>
      </c>
      <c r="B28" s="65"/>
      <c r="C28" s="31"/>
      <c r="D28" s="31"/>
      <c r="E28" s="31">
        <f t="shared" ref="E28:AO28" si="80">E29+E30</f>
        <v>128.18202210000004</v>
      </c>
      <c r="F28" s="31">
        <f t="shared" si="80"/>
        <v>130.81435663783756</v>
      </c>
      <c r="G28" s="31">
        <f t="shared" si="80"/>
        <v>133.44669117567511</v>
      </c>
      <c r="H28" s="31">
        <f t="shared" si="80"/>
        <v>136.07902571351269</v>
      </c>
      <c r="I28" s="31">
        <f t="shared" si="80"/>
        <v>138.71136025135024</v>
      </c>
      <c r="J28" s="31">
        <f t="shared" si="80"/>
        <v>141.34369478918782</v>
      </c>
      <c r="K28" s="31">
        <f t="shared" si="80"/>
        <v>143.9760293270254</v>
      </c>
      <c r="L28" s="31">
        <f t="shared" si="80"/>
        <v>146.60836386486304</v>
      </c>
      <c r="M28" s="31">
        <f t="shared" si="80"/>
        <v>149.24069840270067</v>
      </c>
      <c r="N28" s="31">
        <f t="shared" si="80"/>
        <v>151.87303294053831</v>
      </c>
      <c r="O28" s="31">
        <f t="shared" si="80"/>
        <v>154.50536747837597</v>
      </c>
      <c r="P28" s="31">
        <f t="shared" si="80"/>
        <v>157.13770201621367</v>
      </c>
      <c r="Q28" s="31">
        <f t="shared" si="80"/>
        <v>159.77003655405136</v>
      </c>
      <c r="R28" s="31">
        <f t="shared" si="80"/>
        <v>162.40237109188908</v>
      </c>
      <c r="S28" s="31">
        <f t="shared" si="80"/>
        <v>165.03470562972683</v>
      </c>
      <c r="T28" s="31">
        <f t="shared" si="80"/>
        <v>167.66704016756458</v>
      </c>
      <c r="U28" s="31">
        <f t="shared" si="80"/>
        <v>170.29937470540236</v>
      </c>
      <c r="V28" s="31">
        <f t="shared" si="80"/>
        <v>172.93170924324016</v>
      </c>
      <c r="W28" s="31">
        <f t="shared" si="80"/>
        <v>175.56404378107794</v>
      </c>
      <c r="X28" s="31">
        <f t="shared" si="80"/>
        <v>178.19637831891578</v>
      </c>
      <c r="Y28" s="31">
        <f t="shared" si="80"/>
        <v>180.82871285675364</v>
      </c>
      <c r="Z28" s="31">
        <f t="shared" si="80"/>
        <v>183.4610473945915</v>
      </c>
      <c r="AA28" s="31">
        <f t="shared" si="80"/>
        <v>186.09338193242937</v>
      </c>
      <c r="AB28" s="31">
        <f t="shared" si="80"/>
        <v>188.72571647026729</v>
      </c>
      <c r="AC28" s="31">
        <f t="shared" si="80"/>
        <v>191.35805100810518</v>
      </c>
      <c r="AD28" s="31">
        <f t="shared" si="80"/>
        <v>193.99038554594313</v>
      </c>
      <c r="AE28" s="31">
        <f t="shared" si="80"/>
        <v>196.62272008378108</v>
      </c>
      <c r="AF28" s="31">
        <f t="shared" si="80"/>
        <v>199.25505462161908</v>
      </c>
      <c r="AG28" s="31">
        <f t="shared" si="80"/>
        <v>201.88738915945706</v>
      </c>
      <c r="AH28" s="31">
        <f t="shared" si="80"/>
        <v>204.51972369729506</v>
      </c>
      <c r="AI28" s="31">
        <f t="shared" si="80"/>
        <v>207.1520582351331</v>
      </c>
      <c r="AJ28" s="31">
        <f t="shared" si="80"/>
        <v>209.78439277297113</v>
      </c>
      <c r="AK28" s="31">
        <f t="shared" si="80"/>
        <v>212.41672731080922</v>
      </c>
      <c r="AL28" s="31">
        <f t="shared" si="80"/>
        <v>215.04906184864728</v>
      </c>
      <c r="AM28" s="31">
        <f t="shared" si="80"/>
        <v>217.68139638648535</v>
      </c>
      <c r="AN28" s="31">
        <f t="shared" si="80"/>
        <v>220.31373092432352</v>
      </c>
      <c r="AO28" s="31">
        <f t="shared" si="80"/>
        <v>222.94606546216164</v>
      </c>
      <c r="AP28" s="31">
        <f>AP29+AP30</f>
        <v>225.57839999999979</v>
      </c>
    </row>
    <row r="29" spans="1:43" x14ac:dyDescent="0.25">
      <c r="A29" s="1" t="s">
        <v>26</v>
      </c>
      <c r="B29" s="64"/>
      <c r="C29" s="29"/>
      <c r="D29" s="29"/>
      <c r="E29" s="25">
        <f>'Données capacités de production'!B60</f>
        <v>104.29219677484387</v>
      </c>
      <c r="F29" s="25">
        <f>'Données capacités de production'!C60</f>
        <v>106.43393199714514</v>
      </c>
      <c r="G29" s="25">
        <f>'Données capacités de production'!D60</f>
        <v>108.57566721944642</v>
      </c>
      <c r="H29" s="25">
        <f>'Données capacités de production'!E60</f>
        <v>110.71740244174772</v>
      </c>
      <c r="I29" s="25">
        <f>'Données capacités de production'!F60</f>
        <v>112.859137664049</v>
      </c>
      <c r="J29" s="25">
        <f>'Données capacités de production'!G60</f>
        <v>115.00087288635032</v>
      </c>
      <c r="K29" s="25">
        <f>'Données capacités de production'!H60</f>
        <v>117.14260810865161</v>
      </c>
      <c r="L29" s="25">
        <f>'Données capacités de production'!I60</f>
        <v>119.28434333095296</v>
      </c>
      <c r="M29" s="25">
        <f>'Données capacités de production'!J60</f>
        <v>121.42607855325433</v>
      </c>
      <c r="N29" s="25">
        <f>'Données capacités de production'!K60</f>
        <v>123.56781377555568</v>
      </c>
      <c r="O29" s="25">
        <f>'Données capacités de production'!L60</f>
        <v>125.70954899785706</v>
      </c>
      <c r="P29" s="25">
        <f>'Données capacités de production'!M60</f>
        <v>127.85128422015845</v>
      </c>
      <c r="Q29" s="25">
        <f>'Données capacités de production'!N60</f>
        <v>129.99301944245985</v>
      </c>
      <c r="R29" s="25">
        <f>'Données capacités de production'!O60</f>
        <v>132.13475466476126</v>
      </c>
      <c r="S29" s="25">
        <f>'Données capacités de production'!P60</f>
        <v>134.27648988706272</v>
      </c>
      <c r="T29" s="25">
        <f>'Données capacités de production'!Q60</f>
        <v>136.41822510936416</v>
      </c>
      <c r="U29" s="25">
        <f>'Données capacités de production'!R60</f>
        <v>138.55996033166562</v>
      </c>
      <c r="V29" s="25">
        <f>'Données capacités de production'!S60</f>
        <v>140.70169555396711</v>
      </c>
      <c r="W29" s="25">
        <f>'Données capacités de production'!T60</f>
        <v>142.84343077626858</v>
      </c>
      <c r="X29" s="25">
        <f>'Données capacités de production'!U60</f>
        <v>144.9851659985701</v>
      </c>
      <c r="Y29" s="25">
        <f>'Données capacités de production'!V60</f>
        <v>147.12690122087164</v>
      </c>
      <c r="Z29" s="25">
        <f>'Données capacités de production'!W60</f>
        <v>149.26863644317319</v>
      </c>
      <c r="AA29" s="25">
        <f>'Données capacités de production'!X60</f>
        <v>151.41037166547471</v>
      </c>
      <c r="AB29" s="25">
        <f>'Données capacités de production'!Y60</f>
        <v>153.55210688777629</v>
      </c>
      <c r="AC29" s="25">
        <f>'Données capacités de production'!Z60</f>
        <v>155.69384211007787</v>
      </c>
      <c r="AD29" s="25">
        <f>'Données capacités de production'!AA60</f>
        <v>157.83557733237947</v>
      </c>
      <c r="AE29" s="25">
        <f>'Données capacités de production'!AB60</f>
        <v>159.97731255468108</v>
      </c>
      <c r="AF29" s="25">
        <f>'Données capacités de production'!AC60</f>
        <v>162.11904777698271</v>
      </c>
      <c r="AG29" s="25">
        <f>'Données capacités de production'!AD60</f>
        <v>164.26078299928434</v>
      </c>
      <c r="AH29" s="25">
        <f>'Données capacités de production'!AE60</f>
        <v>166.40251822158601</v>
      </c>
      <c r="AI29" s="25">
        <f>'Données capacités de production'!AF60</f>
        <v>168.54425344388767</v>
      </c>
      <c r="AJ29" s="25">
        <f>'Données capacités de production'!AG60</f>
        <v>170.68598866618936</v>
      </c>
      <c r="AK29" s="25">
        <f>'Données capacités de production'!AH60</f>
        <v>172.82772388849108</v>
      </c>
      <c r="AL29" s="25">
        <f>'Données capacités de production'!AI60</f>
        <v>174.96945911079277</v>
      </c>
      <c r="AM29" s="25">
        <f>'Données capacités de production'!AJ60</f>
        <v>177.11119433309449</v>
      </c>
      <c r="AN29" s="25">
        <f>'Données capacités de production'!AK60</f>
        <v>179.25292955539626</v>
      </c>
      <c r="AO29" s="25">
        <f>'Données capacités de production'!AL60</f>
        <v>181.39466477769801</v>
      </c>
      <c r="AP29" s="25">
        <f>'Données capacités de production'!AM60</f>
        <v>183.53639999999979</v>
      </c>
      <c r="AQ29" s="25"/>
    </row>
    <row r="30" spans="1:43" x14ac:dyDescent="0.25">
      <c r="A30" s="1" t="s">
        <v>25</v>
      </c>
      <c r="B30" s="64"/>
      <c r="C30" s="29"/>
      <c r="D30" s="29"/>
      <c r="E30" s="25">
        <f>'Données capacités de production'!B59</f>
        <v>23.889825325156163</v>
      </c>
      <c r="F30" s="25">
        <f>'Données capacités de production'!C59</f>
        <v>24.380424640692429</v>
      </c>
      <c r="G30" s="25">
        <f>'Données capacités de production'!D59</f>
        <v>24.871023956228694</v>
      </c>
      <c r="H30" s="25">
        <f>'Données capacités de production'!E59</f>
        <v>25.361623271764966</v>
      </c>
      <c r="I30" s="25">
        <f>'Données capacités de production'!F59</f>
        <v>25.852222587301235</v>
      </c>
      <c r="J30" s="25">
        <f>'Données capacités de production'!G59</f>
        <v>26.342821902837507</v>
      </c>
      <c r="K30" s="25">
        <f>'Données capacités de production'!H59</f>
        <v>26.833421218373783</v>
      </c>
      <c r="L30" s="25">
        <f>'Données capacités de production'!I59</f>
        <v>27.324020533910065</v>
      </c>
      <c r="M30" s="25">
        <f>'Données capacités de production'!J59</f>
        <v>27.814619849446348</v>
      </c>
      <c r="N30" s="25">
        <f>'Données capacités de production'!K59</f>
        <v>28.305219164982631</v>
      </c>
      <c r="O30" s="25">
        <f>'Données capacités de production'!L59</f>
        <v>28.795818480518921</v>
      </c>
      <c r="P30" s="25">
        <f>'Données capacités de production'!M59</f>
        <v>29.286417796055215</v>
      </c>
      <c r="Q30" s="25">
        <f>'Données capacités de production'!N59</f>
        <v>29.777017111591508</v>
      </c>
      <c r="R30" s="25">
        <f>'Données capacités de production'!O59</f>
        <v>30.267616427127809</v>
      </c>
      <c r="S30" s="25">
        <f>'Données capacités de production'!P59</f>
        <v>30.758215742664113</v>
      </c>
      <c r="T30" s="25">
        <f>'Données capacités de production'!Q59</f>
        <v>31.248815058200417</v>
      </c>
      <c r="U30" s="25">
        <f>'Données capacités de production'!R59</f>
        <v>31.739414373736729</v>
      </c>
      <c r="V30" s="25">
        <f>'Données capacités de production'!S59</f>
        <v>32.230013689273044</v>
      </c>
      <c r="W30" s="25">
        <f>'Données capacités de production'!T59</f>
        <v>32.720613004809351</v>
      </c>
      <c r="X30" s="25">
        <f>'Données capacités de production'!U59</f>
        <v>33.211212320345673</v>
      </c>
      <c r="Y30" s="25">
        <f>'Données capacités de production'!V59</f>
        <v>33.701811635882002</v>
      </c>
      <c r="Z30" s="25">
        <f>'Données capacités de production'!W59</f>
        <v>34.192410951418324</v>
      </c>
      <c r="AA30" s="25">
        <f>'Données capacités de production'!X59</f>
        <v>34.683010266954653</v>
      </c>
      <c r="AB30" s="25">
        <f>'Données capacités de production'!Y59</f>
        <v>35.17360958249099</v>
      </c>
      <c r="AC30" s="25">
        <f>'Données capacités de production'!Z59</f>
        <v>35.664208898027326</v>
      </c>
      <c r="AD30" s="25">
        <f>'Données capacités de production'!AA59</f>
        <v>36.154808213563662</v>
      </c>
      <c r="AE30" s="25">
        <f>'Données capacités de production'!AB59</f>
        <v>36.645407529100012</v>
      </c>
      <c r="AF30" s="25">
        <f>'Données capacités de production'!AC59</f>
        <v>37.136006844636356</v>
      </c>
      <c r="AG30" s="25">
        <f>'Données capacités de production'!AD59</f>
        <v>37.626606160172706</v>
      </c>
      <c r="AH30" s="25">
        <f>'Données capacités de production'!AE59</f>
        <v>38.117205475709056</v>
      </c>
      <c r="AI30" s="25">
        <f>'Données capacités de production'!AF59</f>
        <v>38.607804791245414</v>
      </c>
      <c r="AJ30" s="25">
        <f>'Données capacités de production'!AG59</f>
        <v>39.098404106781771</v>
      </c>
      <c r="AK30" s="25">
        <f>'Données capacités de production'!AH59</f>
        <v>39.589003422318143</v>
      </c>
      <c r="AL30" s="25">
        <f>'Données capacités de production'!AI59</f>
        <v>40.079602737854508</v>
      </c>
      <c r="AM30" s="25">
        <f>'Données capacités de production'!AJ59</f>
        <v>40.570202053390872</v>
      </c>
      <c r="AN30" s="25">
        <f>'Données capacités de production'!AK59</f>
        <v>41.060801368927251</v>
      </c>
      <c r="AO30" s="25">
        <f>'Données capacités de production'!AL59</f>
        <v>41.551400684463623</v>
      </c>
      <c r="AP30" s="25">
        <f>'Données capacités de production'!AM59</f>
        <v>42.042000000000002</v>
      </c>
      <c r="AQ30" s="25"/>
    </row>
    <row r="31" spans="1:43" x14ac:dyDescent="0.25">
      <c r="A31" s="1" t="s">
        <v>221</v>
      </c>
      <c r="B31" s="64"/>
      <c r="C31" s="1"/>
      <c r="D31" s="1"/>
      <c r="E31" s="147">
        <f>E30/E28</f>
        <v>0.18637422731963718</v>
      </c>
      <c r="F31" s="147">
        <f t="shared" ref="F31" si="81">F30/F28</f>
        <v>0.18637422731963718</v>
      </c>
      <c r="G31" s="147">
        <f t="shared" ref="G31" si="82">G30/G28</f>
        <v>0.18637422731963718</v>
      </c>
      <c r="H31" s="147">
        <f t="shared" ref="H31" si="83">H30/H28</f>
        <v>0.18637422731963718</v>
      </c>
      <c r="I31" s="147">
        <f t="shared" ref="I31" si="84">I30/I28</f>
        <v>0.18637422731963718</v>
      </c>
      <c r="J31" s="147">
        <f t="shared" ref="J31" si="85">J30/J28</f>
        <v>0.18637422731963718</v>
      </c>
      <c r="K31" s="147">
        <f t="shared" ref="K31" si="86">K30/K28</f>
        <v>0.18637422731963718</v>
      </c>
      <c r="L31" s="147">
        <f t="shared" ref="L31" si="87">L30/L28</f>
        <v>0.18637422731963718</v>
      </c>
      <c r="M31" s="147">
        <f t="shared" ref="M31" si="88">M30/M28</f>
        <v>0.18637422731963718</v>
      </c>
      <c r="N31" s="147">
        <f t="shared" ref="N31" si="89">N30/N28</f>
        <v>0.18637422731963718</v>
      </c>
      <c r="O31" s="147">
        <f t="shared" ref="O31" si="90">O30/O28</f>
        <v>0.18637422731963718</v>
      </c>
      <c r="P31" s="147">
        <f t="shared" ref="P31" si="91">P30/P28</f>
        <v>0.18637422731963718</v>
      </c>
      <c r="Q31" s="147">
        <f t="shared" ref="Q31" si="92">Q30/Q28</f>
        <v>0.18637422731963718</v>
      </c>
      <c r="R31" s="147">
        <f t="shared" ref="R31" si="93">R30/R28</f>
        <v>0.18637422731963718</v>
      </c>
      <c r="S31" s="147">
        <f t="shared" ref="S31" si="94">S30/S28</f>
        <v>0.18637422731963718</v>
      </c>
      <c r="T31" s="147">
        <f t="shared" ref="T31" si="95">T30/T28</f>
        <v>0.18637422731963718</v>
      </c>
      <c r="U31" s="147">
        <f t="shared" ref="U31" si="96">U30/U28</f>
        <v>0.18637422731963718</v>
      </c>
      <c r="V31" s="147">
        <f t="shared" ref="V31" si="97">V30/V28</f>
        <v>0.18637422731963718</v>
      </c>
      <c r="W31" s="147">
        <f t="shared" ref="W31" si="98">W30/W28</f>
        <v>0.18637422731963715</v>
      </c>
      <c r="X31" s="147">
        <f t="shared" ref="X31" si="99">X30/X28</f>
        <v>0.18637422731963718</v>
      </c>
      <c r="Y31" s="147">
        <f t="shared" ref="Y31" si="100">Y30/Y28</f>
        <v>0.18637422731963718</v>
      </c>
      <c r="Z31" s="147">
        <f t="shared" ref="Z31" si="101">Z30/Z28</f>
        <v>0.18637422731963715</v>
      </c>
      <c r="AA31" s="147">
        <f t="shared" ref="AA31" si="102">AA30/AA28</f>
        <v>0.18637422731963718</v>
      </c>
      <c r="AB31" s="147">
        <f t="shared" ref="AB31" si="103">AB30/AB28</f>
        <v>0.18637422731963718</v>
      </c>
      <c r="AC31" s="147">
        <f t="shared" ref="AC31" si="104">AC30/AC28</f>
        <v>0.18637422731963721</v>
      </c>
      <c r="AD31" s="147">
        <f t="shared" ref="AD31" si="105">AD30/AD28</f>
        <v>0.18637422731963718</v>
      </c>
      <c r="AE31" s="147">
        <f t="shared" ref="AE31" si="106">AE30/AE28</f>
        <v>0.18637422731963721</v>
      </c>
      <c r="AF31" s="147">
        <f t="shared" ref="AF31" si="107">AF30/AF28</f>
        <v>0.18637422731963718</v>
      </c>
      <c r="AG31" s="147">
        <f t="shared" ref="AG31" si="108">AG30/AG28</f>
        <v>0.18637422731963718</v>
      </c>
      <c r="AH31" s="147">
        <f t="shared" ref="AH31" si="109">AH30/AH28</f>
        <v>0.18637422731963718</v>
      </c>
      <c r="AI31" s="147">
        <f t="shared" ref="AI31" si="110">AI30/AI28</f>
        <v>0.18637422731963718</v>
      </c>
      <c r="AJ31" s="147">
        <f t="shared" ref="AJ31" si="111">AJ30/AJ28</f>
        <v>0.18637422731963718</v>
      </c>
      <c r="AK31" s="147">
        <f t="shared" ref="AK31" si="112">AK30/AK28</f>
        <v>0.18637422731963718</v>
      </c>
      <c r="AL31" s="147">
        <f t="shared" ref="AL31" si="113">AL30/AL28</f>
        <v>0.18637422731963721</v>
      </c>
      <c r="AM31" s="147">
        <f t="shared" ref="AM31" si="114">AM30/AM28</f>
        <v>0.18637422731963721</v>
      </c>
      <c r="AN31" s="147">
        <f t="shared" ref="AN31" si="115">AN30/AN28</f>
        <v>0.18637422731963718</v>
      </c>
      <c r="AO31" s="147">
        <f t="shared" ref="AO31" si="116">AO30/AO28</f>
        <v>0.18637422731963718</v>
      </c>
      <c r="AP31" s="147">
        <f t="shared" ref="AP31" si="117">AP30/AP28</f>
        <v>0.18637422731963718</v>
      </c>
    </row>
    <row r="32" spans="1:43" x14ac:dyDescent="0.25">
      <c r="A32" s="17" t="s">
        <v>22</v>
      </c>
      <c r="B32" s="66"/>
      <c r="C32" s="18"/>
      <c r="D32" s="18"/>
      <c r="E32" s="31">
        <f t="shared" ref="E32:AO32" si="118">E33+E34</f>
        <v>225</v>
      </c>
      <c r="F32" s="31">
        <f t="shared" si="118"/>
        <v>250.7400897066567</v>
      </c>
      <c r="G32" s="31">
        <f t="shared" si="118"/>
        <v>276.30287761918026</v>
      </c>
      <c r="H32" s="31">
        <f t="shared" si="118"/>
        <v>301.12586373757068</v>
      </c>
      <c r="I32" s="31">
        <f t="shared" si="118"/>
        <v>325.20904806182796</v>
      </c>
      <c r="J32" s="31">
        <f t="shared" si="118"/>
        <v>348.55243059195209</v>
      </c>
      <c r="K32" s="31">
        <f t="shared" si="118"/>
        <v>371.15601132794313</v>
      </c>
      <c r="L32" s="31">
        <f t="shared" si="118"/>
        <v>393.01979026980121</v>
      </c>
      <c r="M32" s="31">
        <f t="shared" si="118"/>
        <v>414.14376741752602</v>
      </c>
      <c r="N32" s="31">
        <f t="shared" si="118"/>
        <v>434.52794277111775</v>
      </c>
      <c r="O32" s="31">
        <f t="shared" si="118"/>
        <v>454.17231633057645</v>
      </c>
      <c r="P32" s="31">
        <f t="shared" si="118"/>
        <v>473.07688809590206</v>
      </c>
      <c r="Q32" s="31">
        <f t="shared" si="118"/>
        <v>491.24165806709453</v>
      </c>
      <c r="R32" s="31">
        <f t="shared" si="118"/>
        <v>508.66662624415392</v>
      </c>
      <c r="S32" s="31">
        <f t="shared" si="118"/>
        <v>525.35179262708016</v>
      </c>
      <c r="T32" s="31">
        <f t="shared" si="118"/>
        <v>541.29715721587343</v>
      </c>
      <c r="U32" s="31">
        <f t="shared" si="118"/>
        <v>556.50272001053361</v>
      </c>
      <c r="V32" s="31">
        <f t="shared" si="118"/>
        <v>570.96848101106059</v>
      </c>
      <c r="W32" s="31">
        <f t="shared" si="118"/>
        <v>584.8054104865746</v>
      </c>
      <c r="X32" s="31">
        <f t="shared" si="118"/>
        <v>598.0135084370753</v>
      </c>
      <c r="Y32" s="31">
        <f t="shared" si="118"/>
        <v>599.90527486256292</v>
      </c>
      <c r="Z32" s="31">
        <f t="shared" si="118"/>
        <v>601.4410549568546</v>
      </c>
      <c r="AA32" s="31">
        <f t="shared" si="118"/>
        <v>602.64647379525309</v>
      </c>
      <c r="AB32" s="31">
        <f t="shared" si="118"/>
        <v>603.52153137775838</v>
      </c>
      <c r="AC32" s="31">
        <f t="shared" si="118"/>
        <v>604.06622770437036</v>
      </c>
      <c r="AD32" s="31">
        <f t="shared" si="118"/>
        <v>604.28056277508927</v>
      </c>
      <c r="AE32" s="31">
        <f t="shared" si="118"/>
        <v>604.16453658991509</v>
      </c>
      <c r="AF32" s="31">
        <f t="shared" si="118"/>
        <v>603.71814914884771</v>
      </c>
      <c r="AG32" s="31">
        <f t="shared" si="118"/>
        <v>602.94140045188703</v>
      </c>
      <c r="AH32" s="31">
        <f t="shared" si="118"/>
        <v>601.83429049903316</v>
      </c>
      <c r="AI32" s="31">
        <f t="shared" si="118"/>
        <v>600.39681929028609</v>
      </c>
      <c r="AJ32" s="31">
        <f t="shared" si="118"/>
        <v>598.62898682564594</v>
      </c>
      <c r="AK32" s="31">
        <f t="shared" si="118"/>
        <v>596.53079310511259</v>
      </c>
      <c r="AL32" s="31">
        <f t="shared" si="118"/>
        <v>594.10223812868594</v>
      </c>
      <c r="AM32" s="31">
        <f t="shared" si="118"/>
        <v>591.34332189636598</v>
      </c>
      <c r="AN32" s="31">
        <f t="shared" si="118"/>
        <v>588.25404440815305</v>
      </c>
      <c r="AO32" s="31">
        <f t="shared" si="118"/>
        <v>584.83440566404681</v>
      </c>
      <c r="AP32" s="31">
        <f>AP33+AP34</f>
        <v>581.08440566404749</v>
      </c>
    </row>
    <row r="33" spans="1:42" x14ac:dyDescent="0.25">
      <c r="A33" s="1" t="s">
        <v>26</v>
      </c>
      <c r="B33" s="1"/>
      <c r="C33" s="1"/>
      <c r="D33" s="1"/>
      <c r="E33" s="30">
        <f>'Données capacités de production'!B71</f>
        <v>160.75740931760157</v>
      </c>
      <c r="F33" s="30">
        <f>'Données capacités de production'!C71</f>
        <v>179.14812103691179</v>
      </c>
      <c r="G33" s="30">
        <f>'Données capacités de production'!D71</f>
        <v>197.41215463581216</v>
      </c>
      <c r="H33" s="30">
        <f>'Données capacités de production'!E71</f>
        <v>215.14761659100876</v>
      </c>
      <c r="I33" s="30">
        <f>'Données capacités de production'!F71</f>
        <v>232.35450690250153</v>
      </c>
      <c r="J33" s="30">
        <f>'Données capacités de production'!G71</f>
        <v>249.03282557029047</v>
      </c>
      <c r="K33" s="30">
        <f>'Données capacités de production'!H71</f>
        <v>265.18257259437564</v>
      </c>
      <c r="L33" s="30">
        <f>'Données capacités de production'!I71</f>
        <v>280.80374797475713</v>
      </c>
      <c r="M33" s="30">
        <f>'Données capacités de production'!J71</f>
        <v>295.89635171143476</v>
      </c>
      <c r="N33" s="30">
        <f>'Données capacités de production'!K71</f>
        <v>310.46038380440859</v>
      </c>
      <c r="O33" s="30">
        <f>'Données capacités de production'!L71</f>
        <v>324.49584425367868</v>
      </c>
      <c r="P33" s="30">
        <f>'Données capacités de production'!M71</f>
        <v>338.00273305924497</v>
      </c>
      <c r="Q33" s="30">
        <f>'Données capacités de production'!N71</f>
        <v>350.98105022110752</v>
      </c>
      <c r="R33" s="30">
        <f>'Données capacités de production'!O71</f>
        <v>363.43079573926627</v>
      </c>
      <c r="S33" s="30">
        <f>'Données capacités de production'!P71</f>
        <v>375.35196961372117</v>
      </c>
      <c r="T33" s="30">
        <f>'Données capacités de production'!Q71</f>
        <v>386.74457184447243</v>
      </c>
      <c r="U33" s="30">
        <f>'Données capacités de production'!R71</f>
        <v>397.6086024315199</v>
      </c>
      <c r="V33" s="30">
        <f>'Données capacités de production'!S71</f>
        <v>407.94406137486351</v>
      </c>
      <c r="W33" s="30">
        <f>'Données capacités de production'!T71</f>
        <v>417.83023442105906</v>
      </c>
      <c r="X33" s="30">
        <f>'Données capacités de production'!U71</f>
        <v>427.26712157010627</v>
      </c>
      <c r="Y33" s="30">
        <f>'Données capacités de production'!V71</f>
        <v>428.61874587941918</v>
      </c>
      <c r="Z33" s="30">
        <f>'Données capacités de production'!W71</f>
        <v>429.7160260093741</v>
      </c>
      <c r="AA33" s="30">
        <f>'Données capacités de production'!X71</f>
        <v>430.57727049650111</v>
      </c>
      <c r="AB33" s="30">
        <f>'Données capacités de production'!Y71</f>
        <v>431.2024793408001</v>
      </c>
      <c r="AC33" s="30">
        <f>'Données capacités de production'!Z71</f>
        <v>431.59165254227105</v>
      </c>
      <c r="AD33" s="30">
        <f>'Données capacités de production'!AA71</f>
        <v>431.74479010091409</v>
      </c>
      <c r="AE33" s="30">
        <f>'Données capacités de production'!AB71</f>
        <v>431.66189201672915</v>
      </c>
      <c r="AF33" s="30">
        <f>'Données capacités de production'!AC71</f>
        <v>431.34295828971625</v>
      </c>
      <c r="AG33" s="30">
        <f>'Données capacités de production'!AD71</f>
        <v>430.78798891987526</v>
      </c>
      <c r="AH33" s="30">
        <f>'Données capacités de production'!AE71</f>
        <v>429.9969839072063</v>
      </c>
      <c r="AI33" s="30">
        <f>'Données capacités de production'!AF71</f>
        <v>428.96994325170931</v>
      </c>
      <c r="AJ33" s="30">
        <f>'Données capacités de production'!AG71</f>
        <v>427.70686695338441</v>
      </c>
      <c r="AK33" s="30">
        <f>'Données capacités de production'!AH71</f>
        <v>426.20775501223147</v>
      </c>
      <c r="AL33" s="30">
        <f>'Données capacités de production'!AI71</f>
        <v>424.47260742825051</v>
      </c>
      <c r="AM33" s="30">
        <f>'Données capacités de production'!AJ71</f>
        <v>422.50142420144152</v>
      </c>
      <c r="AN33" s="30">
        <f>'Données capacités de production'!AK71</f>
        <v>420.29420533180462</v>
      </c>
      <c r="AO33" s="30">
        <f>'Données capacités de production'!AL71</f>
        <v>417.85095081933969</v>
      </c>
      <c r="AP33" s="30">
        <f>'Données capacités de production'!AM71</f>
        <v>415.17166066404678</v>
      </c>
    </row>
    <row r="34" spans="1:42" x14ac:dyDescent="0.25">
      <c r="A34" s="1" t="s">
        <v>25</v>
      </c>
      <c r="B34" s="1"/>
      <c r="C34" s="1"/>
      <c r="D34" s="1"/>
      <c r="E34" s="30">
        <f>'Données capacités de production'!B70</f>
        <v>64.242590682398415</v>
      </c>
      <c r="F34" s="30">
        <f>'Données capacités de production'!C70</f>
        <v>71.591968669744915</v>
      </c>
      <c r="G34" s="30">
        <f>'Données capacités de production'!D70</f>
        <v>78.890722983368093</v>
      </c>
      <c r="H34" s="30">
        <f>'Données capacités de production'!E70</f>
        <v>85.978247146561927</v>
      </c>
      <c r="I34" s="30">
        <f>'Données capacités de production'!F70</f>
        <v>92.85454115932643</v>
      </c>
      <c r="J34" s="30">
        <f>'Données capacités de production'!G70</f>
        <v>99.519605021661604</v>
      </c>
      <c r="K34" s="30">
        <f>'Données capacités de production'!H70</f>
        <v>105.97343873356748</v>
      </c>
      <c r="L34" s="30">
        <f>'Données capacités de production'!I70</f>
        <v>112.21604229504405</v>
      </c>
      <c r="M34" s="30">
        <f>'Données capacités de production'!J70</f>
        <v>118.24741570609126</v>
      </c>
      <c r="N34" s="30">
        <f>'Données capacités de production'!K70</f>
        <v>124.06755896670919</v>
      </c>
      <c r="O34" s="30">
        <f>'Données capacités de production'!L70</f>
        <v>129.67647207689777</v>
      </c>
      <c r="P34" s="30">
        <f>'Données capacités de production'!M70</f>
        <v>135.07415503665706</v>
      </c>
      <c r="Q34" s="30">
        <f>'Données capacités de production'!N70</f>
        <v>140.26060784598701</v>
      </c>
      <c r="R34" s="30">
        <f>'Données capacités de production'!O70</f>
        <v>145.23583050488764</v>
      </c>
      <c r="S34" s="30">
        <f>'Données capacités de production'!P70</f>
        <v>149.99982301335896</v>
      </c>
      <c r="T34" s="30">
        <f>'Données capacités de production'!Q70</f>
        <v>154.55258537140099</v>
      </c>
      <c r="U34" s="30">
        <f>'Données capacités de production'!R70</f>
        <v>158.89411757901371</v>
      </c>
      <c r="V34" s="30">
        <f>'Données capacités de production'!S70</f>
        <v>163.02441963619705</v>
      </c>
      <c r="W34" s="30">
        <f>'Données capacités de production'!T70</f>
        <v>166.97517606551554</v>
      </c>
      <c r="X34" s="30">
        <f>'Données capacités de production'!U70</f>
        <v>170.74638686696906</v>
      </c>
      <c r="Y34" s="30">
        <f>'Données capacités de production'!V70</f>
        <v>171.28652898314377</v>
      </c>
      <c r="Z34" s="30">
        <f>'Données capacités de production'!W70</f>
        <v>171.72502894748047</v>
      </c>
      <c r="AA34" s="30">
        <f>'Données capacités de production'!X70</f>
        <v>172.06920329875194</v>
      </c>
      <c r="AB34" s="30">
        <f>'Données capacités de production'!Y70</f>
        <v>172.31905203695825</v>
      </c>
      <c r="AC34" s="30">
        <f>'Données capacités de production'!Z70</f>
        <v>172.47457516209931</v>
      </c>
      <c r="AD34" s="30">
        <f>'Données capacités de production'!AA70</f>
        <v>172.53577267417521</v>
      </c>
      <c r="AE34" s="30">
        <f>'Données capacités de production'!AB70</f>
        <v>172.50264457318593</v>
      </c>
      <c r="AF34" s="30">
        <f>'Données capacités de production'!AC70</f>
        <v>172.37519085913146</v>
      </c>
      <c r="AG34" s="30">
        <f>'Données capacités de production'!AD70</f>
        <v>172.15341153201177</v>
      </c>
      <c r="AH34" s="30">
        <f>'Données capacités de production'!AE70</f>
        <v>171.83730659182689</v>
      </c>
      <c r="AI34" s="30">
        <f>'Données capacités de production'!AF70</f>
        <v>171.42687603857681</v>
      </c>
      <c r="AJ34" s="30">
        <f>'Données capacités de production'!AG70</f>
        <v>170.92211987226153</v>
      </c>
      <c r="AK34" s="30">
        <f>'Données capacités de production'!AH70</f>
        <v>170.32303809288109</v>
      </c>
      <c r="AL34" s="30">
        <f>'Données capacités de production'!AI70</f>
        <v>169.6296307004354</v>
      </c>
      <c r="AM34" s="30">
        <f>'Données capacités de production'!AJ70</f>
        <v>168.84189769492448</v>
      </c>
      <c r="AN34" s="30">
        <f>'Données capacités de production'!AK70</f>
        <v>167.95983907634843</v>
      </c>
      <c r="AO34" s="30">
        <f>'Données capacités de production'!AL70</f>
        <v>166.98345484470715</v>
      </c>
      <c r="AP34" s="30">
        <f>'Données capacités de production'!AM70</f>
        <v>165.91274500000071</v>
      </c>
    </row>
    <row r="35" spans="1:42" x14ac:dyDescent="0.25">
      <c r="A35" s="1" t="s">
        <v>221</v>
      </c>
      <c r="E35" s="147">
        <f>E34/E32</f>
        <v>0.28552262525510408</v>
      </c>
      <c r="F35" s="147">
        <f t="shared" ref="F35" si="119">F34/F32</f>
        <v>0.28552262525510408</v>
      </c>
      <c r="G35" s="147">
        <f t="shared" ref="G35" si="120">G34/G32</f>
        <v>0.28552262525510408</v>
      </c>
      <c r="H35" s="147">
        <f t="shared" ref="H35" si="121">H34/H32</f>
        <v>0.28552262525510408</v>
      </c>
      <c r="I35" s="147">
        <f t="shared" ref="I35" si="122">I34/I32</f>
        <v>0.28552262525510408</v>
      </c>
      <c r="J35" s="147">
        <f t="shared" ref="J35" si="123">J34/J32</f>
        <v>0.28552262525510408</v>
      </c>
      <c r="K35" s="147">
        <f t="shared" ref="K35" si="124">K34/K32</f>
        <v>0.28552262525510408</v>
      </c>
      <c r="L35" s="147">
        <f t="shared" ref="L35" si="125">L34/L32</f>
        <v>0.28552262525510408</v>
      </c>
      <c r="M35" s="147">
        <f t="shared" ref="M35" si="126">M34/M32</f>
        <v>0.28552262525510408</v>
      </c>
      <c r="N35" s="147">
        <f t="shared" ref="N35" si="127">N34/N32</f>
        <v>0.28552262525510413</v>
      </c>
      <c r="O35" s="147">
        <f t="shared" ref="O35" si="128">O34/O32</f>
        <v>0.28552262525510408</v>
      </c>
      <c r="P35" s="147">
        <f t="shared" ref="P35" si="129">P34/P32</f>
        <v>0.28552262525510408</v>
      </c>
      <c r="Q35" s="147">
        <f t="shared" ref="Q35" si="130">Q34/Q32</f>
        <v>0.28552262525510408</v>
      </c>
      <c r="R35" s="147">
        <f t="shared" ref="R35" si="131">R34/R32</f>
        <v>0.28552262525510408</v>
      </c>
      <c r="S35" s="147">
        <f t="shared" ref="S35" si="132">S34/S32</f>
        <v>0.28552262525510408</v>
      </c>
      <c r="T35" s="147">
        <f t="shared" ref="T35" si="133">T34/T32</f>
        <v>0.28552262525510408</v>
      </c>
      <c r="U35" s="147">
        <f t="shared" ref="U35" si="134">U34/U32</f>
        <v>0.28552262525510408</v>
      </c>
      <c r="V35" s="147">
        <f t="shared" ref="V35" si="135">V34/V32</f>
        <v>0.28552262525510408</v>
      </c>
      <c r="W35" s="147">
        <f t="shared" ref="W35" si="136">W34/W32</f>
        <v>0.28552262525510408</v>
      </c>
      <c r="X35" s="147">
        <f t="shared" ref="X35" si="137">X34/X32</f>
        <v>0.28552262525510408</v>
      </c>
      <c r="Y35" s="147">
        <f t="shared" ref="Y35" si="138">Y34/Y32</f>
        <v>0.28552262525510408</v>
      </c>
      <c r="Z35" s="147">
        <f t="shared" ref="Z35" si="139">Z34/Z32</f>
        <v>0.28552262525510408</v>
      </c>
      <c r="AA35" s="147">
        <f t="shared" ref="AA35" si="140">AA34/AA32</f>
        <v>0.28552262525510408</v>
      </c>
      <c r="AB35" s="147">
        <f t="shared" ref="AB35" si="141">AB34/AB32</f>
        <v>0.28552262525510408</v>
      </c>
      <c r="AC35" s="147">
        <f t="shared" ref="AC35" si="142">AC34/AC32</f>
        <v>0.28552262525510408</v>
      </c>
      <c r="AD35" s="147">
        <f t="shared" ref="AD35" si="143">AD34/AD32</f>
        <v>0.28552262525510408</v>
      </c>
      <c r="AE35" s="147">
        <f t="shared" ref="AE35" si="144">AE34/AE32</f>
        <v>0.28552262525510408</v>
      </c>
      <c r="AF35" s="147">
        <f t="shared" ref="AF35" si="145">AF34/AF32</f>
        <v>0.28552262525510408</v>
      </c>
      <c r="AG35" s="147">
        <f t="shared" ref="AG35" si="146">AG34/AG32</f>
        <v>0.28552262525510408</v>
      </c>
      <c r="AH35" s="147">
        <f t="shared" ref="AH35" si="147">AH34/AH32</f>
        <v>0.28552262525510408</v>
      </c>
      <c r="AI35" s="147">
        <f t="shared" ref="AI35" si="148">AI34/AI32</f>
        <v>0.28552262525510408</v>
      </c>
      <c r="AJ35" s="147">
        <f t="shared" ref="AJ35" si="149">AJ34/AJ32</f>
        <v>0.28552262525510408</v>
      </c>
      <c r="AK35" s="147">
        <f t="shared" ref="AK35" si="150">AK34/AK32</f>
        <v>0.28552262525510408</v>
      </c>
      <c r="AL35" s="147">
        <f t="shared" ref="AL35" si="151">AL34/AL32</f>
        <v>0.28552262525510408</v>
      </c>
      <c r="AM35" s="147">
        <f t="shared" ref="AM35" si="152">AM34/AM32</f>
        <v>0.28552262525510408</v>
      </c>
      <c r="AN35" s="147">
        <f t="shared" ref="AN35" si="153">AN34/AN32</f>
        <v>0.28552262525510408</v>
      </c>
      <c r="AO35" s="147">
        <f t="shared" ref="AO35" si="154">AO34/AO32</f>
        <v>0.28552262525510408</v>
      </c>
      <c r="AP35" s="147">
        <f t="shared" ref="AP35" si="155">AP34/AP32</f>
        <v>0.28552262525510408</v>
      </c>
    </row>
    <row r="37" spans="1:42" x14ac:dyDescent="0.25">
      <c r="A37" s="52" t="s">
        <v>129</v>
      </c>
      <c r="B37" s="52"/>
      <c r="C37" s="52"/>
      <c r="D37" s="52"/>
      <c r="E37" s="73">
        <f>E38</f>
        <v>84.241910432886939</v>
      </c>
      <c r="F37" s="73">
        <f t="shared" ref="F37:AP37" si="156">F38</f>
        <v>84.558474472893565</v>
      </c>
      <c r="G37" s="73">
        <f t="shared" si="156"/>
        <v>84.836936106121101</v>
      </c>
      <c r="H37" s="73">
        <f t="shared" si="156"/>
        <v>85.077295332569534</v>
      </c>
      <c r="I37" s="73">
        <f t="shared" si="156"/>
        <v>85.27955215223885</v>
      </c>
      <c r="J37" s="73">
        <f t="shared" si="156"/>
        <v>85.443706565129091</v>
      </c>
      <c r="K37" s="73">
        <f t="shared" si="156"/>
        <v>85.569758571240229</v>
      </c>
      <c r="L37" s="73">
        <f t="shared" si="156"/>
        <v>85.657708170572263</v>
      </c>
      <c r="M37" s="73">
        <f t="shared" si="156"/>
        <v>85.707555363125209</v>
      </c>
      <c r="N37" s="73">
        <f t="shared" si="156"/>
        <v>85.719300148899052</v>
      </c>
      <c r="O37" s="73">
        <f t="shared" si="156"/>
        <v>85.692942527893791</v>
      </c>
      <c r="P37" s="73">
        <f t="shared" si="156"/>
        <v>85.628482500109428</v>
      </c>
      <c r="Q37" s="73">
        <f t="shared" si="156"/>
        <v>85.525920065545975</v>
      </c>
      <c r="R37" s="73">
        <f t="shared" si="156"/>
        <v>85.385255224203419</v>
      </c>
      <c r="S37" s="73">
        <f t="shared" si="156"/>
        <v>85.20648797608176</v>
      </c>
      <c r="T37" s="73">
        <f t="shared" si="156"/>
        <v>84.989618321181013</v>
      </c>
      <c r="U37" s="73">
        <f t="shared" si="156"/>
        <v>84.734646259501162</v>
      </c>
      <c r="V37" s="73">
        <f t="shared" si="156"/>
        <v>84.441571791042222</v>
      </c>
      <c r="W37" s="73">
        <f t="shared" si="156"/>
        <v>84.148497322583268</v>
      </c>
      <c r="X37" s="73">
        <f t="shared" si="156"/>
        <v>83.855422854124328</v>
      </c>
      <c r="Y37" s="73">
        <f t="shared" si="156"/>
        <v>83.562348385665388</v>
      </c>
      <c r="Z37" s="73">
        <f t="shared" si="156"/>
        <v>83.269273917206448</v>
      </c>
      <c r="AA37" s="73">
        <f t="shared" si="156"/>
        <v>82.976199448747522</v>
      </c>
      <c r="AB37" s="73">
        <f t="shared" si="156"/>
        <v>82.683124980288596</v>
      </c>
      <c r="AC37" s="73">
        <f t="shared" si="156"/>
        <v>82.390050511829671</v>
      </c>
      <c r="AD37" s="73">
        <f t="shared" si="156"/>
        <v>82.096976043370759</v>
      </c>
      <c r="AE37" s="73">
        <f t="shared" si="156"/>
        <v>81.803901574911848</v>
      </c>
      <c r="AF37" s="73">
        <f t="shared" si="156"/>
        <v>81.51082710645295</v>
      </c>
      <c r="AG37" s="73">
        <f t="shared" si="156"/>
        <v>81.217752637994053</v>
      </c>
      <c r="AH37" s="73">
        <f t="shared" si="156"/>
        <v>80.924678169535156</v>
      </c>
      <c r="AI37" s="73">
        <f t="shared" si="156"/>
        <v>80.63160370107623</v>
      </c>
      <c r="AJ37" s="73">
        <f t="shared" si="156"/>
        <v>80.30399440524792</v>
      </c>
      <c r="AK37" s="73">
        <f t="shared" si="156"/>
        <v>80.183635657697607</v>
      </c>
      <c r="AL37" s="73">
        <f t="shared" si="156"/>
        <v>80.101379316926412</v>
      </c>
      <c r="AM37" s="73">
        <f t="shared" si="156"/>
        <v>80.057225382934334</v>
      </c>
      <c r="AN37" s="73">
        <f t="shared" si="156"/>
        <v>80.051173855721345</v>
      </c>
      <c r="AO37" s="73">
        <f t="shared" si="156"/>
        <v>80.083224735287473</v>
      </c>
      <c r="AP37" s="73">
        <f t="shared" si="156"/>
        <v>80.153378021632733</v>
      </c>
    </row>
    <row r="38" spans="1:42" x14ac:dyDescent="0.25">
      <c r="A38" s="20" t="s">
        <v>15</v>
      </c>
      <c r="B38" s="31"/>
      <c r="C38" s="31"/>
      <c r="D38" s="31"/>
      <c r="E38" s="31">
        <f t="shared" ref="E38:AO38" si="157">E39+E40</f>
        <v>84.241910432886939</v>
      </c>
      <c r="F38" s="31">
        <f t="shared" si="157"/>
        <v>84.558474472893565</v>
      </c>
      <c r="G38" s="31">
        <f t="shared" si="157"/>
        <v>84.836936106121101</v>
      </c>
      <c r="H38" s="31">
        <f t="shared" si="157"/>
        <v>85.077295332569534</v>
      </c>
      <c r="I38" s="31">
        <f t="shared" si="157"/>
        <v>85.27955215223885</v>
      </c>
      <c r="J38" s="31">
        <f t="shared" si="157"/>
        <v>85.443706565129091</v>
      </c>
      <c r="K38" s="31">
        <f t="shared" si="157"/>
        <v>85.569758571240229</v>
      </c>
      <c r="L38" s="31">
        <f t="shared" si="157"/>
        <v>85.657708170572263</v>
      </c>
      <c r="M38" s="31">
        <f t="shared" si="157"/>
        <v>85.707555363125209</v>
      </c>
      <c r="N38" s="31">
        <f t="shared" si="157"/>
        <v>85.719300148899052</v>
      </c>
      <c r="O38" s="31">
        <f t="shared" si="157"/>
        <v>85.692942527893791</v>
      </c>
      <c r="P38" s="31">
        <f t="shared" si="157"/>
        <v>85.628482500109428</v>
      </c>
      <c r="Q38" s="31">
        <f t="shared" si="157"/>
        <v>85.525920065545975</v>
      </c>
      <c r="R38" s="31">
        <f t="shared" si="157"/>
        <v>85.385255224203419</v>
      </c>
      <c r="S38" s="31">
        <f t="shared" si="157"/>
        <v>85.20648797608176</v>
      </c>
      <c r="T38" s="31">
        <f t="shared" si="157"/>
        <v>84.989618321181013</v>
      </c>
      <c r="U38" s="31">
        <f t="shared" si="157"/>
        <v>84.734646259501162</v>
      </c>
      <c r="V38" s="31">
        <f t="shared" si="157"/>
        <v>84.441571791042222</v>
      </c>
      <c r="W38" s="31">
        <f t="shared" si="157"/>
        <v>84.148497322583268</v>
      </c>
      <c r="X38" s="31">
        <f t="shared" si="157"/>
        <v>83.855422854124328</v>
      </c>
      <c r="Y38" s="31">
        <f t="shared" si="157"/>
        <v>83.562348385665388</v>
      </c>
      <c r="Z38" s="31">
        <f t="shared" si="157"/>
        <v>83.269273917206448</v>
      </c>
      <c r="AA38" s="31">
        <f t="shared" si="157"/>
        <v>82.976199448747522</v>
      </c>
      <c r="AB38" s="31">
        <f t="shared" si="157"/>
        <v>82.683124980288596</v>
      </c>
      <c r="AC38" s="31">
        <f t="shared" si="157"/>
        <v>82.390050511829671</v>
      </c>
      <c r="AD38" s="31">
        <f t="shared" si="157"/>
        <v>82.096976043370759</v>
      </c>
      <c r="AE38" s="31">
        <f t="shared" si="157"/>
        <v>81.803901574911848</v>
      </c>
      <c r="AF38" s="31">
        <f t="shared" si="157"/>
        <v>81.51082710645295</v>
      </c>
      <c r="AG38" s="31">
        <f t="shared" si="157"/>
        <v>81.217752637994053</v>
      </c>
      <c r="AH38" s="31">
        <f t="shared" si="157"/>
        <v>80.924678169535156</v>
      </c>
      <c r="AI38" s="31">
        <f t="shared" si="157"/>
        <v>80.63160370107623</v>
      </c>
      <c r="AJ38" s="31">
        <f t="shared" si="157"/>
        <v>80.30399440524792</v>
      </c>
      <c r="AK38" s="31">
        <f t="shared" si="157"/>
        <v>80.183635657697607</v>
      </c>
      <c r="AL38" s="31">
        <f t="shared" si="157"/>
        <v>80.101379316926412</v>
      </c>
      <c r="AM38" s="31">
        <f t="shared" si="157"/>
        <v>80.057225382934334</v>
      </c>
      <c r="AN38" s="31">
        <f t="shared" si="157"/>
        <v>80.051173855721345</v>
      </c>
      <c r="AO38" s="31">
        <f t="shared" si="157"/>
        <v>80.083224735287473</v>
      </c>
      <c r="AP38" s="31">
        <f>AP39+AP40</f>
        <v>80.153378021632733</v>
      </c>
    </row>
    <row r="39" spans="1:42" x14ac:dyDescent="0.25">
      <c r="A39" s="1" t="s">
        <v>26</v>
      </c>
      <c r="B39" s="64"/>
      <c r="C39" s="13"/>
      <c r="D39" s="13"/>
      <c r="E39" s="30">
        <f>'Données capacités de production'!B83</f>
        <v>51.450434011310506</v>
      </c>
      <c r="F39" s="30">
        <f>'Données capacités de production'!C83</f>
        <v>51.6437743233597</v>
      </c>
      <c r="G39" s="30">
        <f>'Données capacités de production'!D83</f>
        <v>51.813843731940707</v>
      </c>
      <c r="H39" s="30">
        <f>'Données capacités de production'!E83</f>
        <v>51.960642237053513</v>
      </c>
      <c r="I39" s="30">
        <f>'Données capacités de production'!F83</f>
        <v>52.084169838698109</v>
      </c>
      <c r="J39" s="30">
        <f>'Données capacités de production'!G83</f>
        <v>52.184426536874525</v>
      </c>
      <c r="K39" s="30">
        <f>'Données capacités de production'!H83</f>
        <v>52.261412331582747</v>
      </c>
      <c r="L39" s="30">
        <f>'Données capacités de production'!I83</f>
        <v>52.315127222822767</v>
      </c>
      <c r="M39" s="30">
        <f>'Données capacités de production'!J83</f>
        <v>52.345571210594599</v>
      </c>
      <c r="N39" s="30">
        <f>'Données capacités de production'!K83</f>
        <v>52.35274429489823</v>
      </c>
      <c r="O39" s="30">
        <f>'Données capacités de production'!L83</f>
        <v>52.336646475733666</v>
      </c>
      <c r="P39" s="30">
        <f>'Données capacités de production'!M83</f>
        <v>52.297277753100893</v>
      </c>
      <c r="Q39" s="30">
        <f>'Données capacités de production'!N83</f>
        <v>52.23463812699994</v>
      </c>
      <c r="R39" s="30">
        <f>'Données capacités de production'!O83</f>
        <v>52.148727597430785</v>
      </c>
      <c r="S39" s="30">
        <f>'Données capacités de production'!P83</f>
        <v>52.039546164393435</v>
      </c>
      <c r="T39" s="30">
        <f>'Données capacités de production'!Q83</f>
        <v>51.907093827887891</v>
      </c>
      <c r="U39" s="30">
        <f>'Données capacités de production'!R83</f>
        <v>51.751370587914145</v>
      </c>
      <c r="V39" s="30">
        <f>'Données capacités de production'!S83</f>
        <v>51.572376444472212</v>
      </c>
      <c r="W39" s="30">
        <f>'Données capacités de production'!T83</f>
        <v>51.393382301030272</v>
      </c>
      <c r="X39" s="30">
        <f>'Données capacités de production'!U83</f>
        <v>51.214388157588338</v>
      </c>
      <c r="Y39" s="30">
        <f>'Données capacités de production'!V83</f>
        <v>51.035394014146405</v>
      </c>
      <c r="Z39" s="30">
        <f>'Données capacités de production'!W83</f>
        <v>50.856399870704472</v>
      </c>
      <c r="AA39" s="30">
        <f>'Données capacités de production'!X83</f>
        <v>50.677405727262553</v>
      </c>
      <c r="AB39" s="30">
        <f>'Données capacités de production'!Y83</f>
        <v>50.498411583820626</v>
      </c>
      <c r="AC39" s="30">
        <f>'Données capacités de production'!Z83</f>
        <v>50.3194174403787</v>
      </c>
      <c r="AD39" s="30">
        <f>'Données capacités de production'!AA83</f>
        <v>50.140423296936788</v>
      </c>
      <c r="AE39" s="30">
        <f>'Données capacités de production'!AB83</f>
        <v>49.961429153494876</v>
      </c>
      <c r="AF39" s="30">
        <f>'Données capacités de production'!AC83</f>
        <v>49.782435010052964</v>
      </c>
      <c r="AG39" s="30">
        <f>'Données capacités de production'!AD83</f>
        <v>49.603440866611059</v>
      </c>
      <c r="AH39" s="30">
        <f>'Données capacités de production'!AE83</f>
        <v>49.424446723169154</v>
      </c>
      <c r="AI39" s="30">
        <f>'Données capacités de production'!AF83</f>
        <v>49.245452579727228</v>
      </c>
      <c r="AJ39" s="30">
        <f>'Données capacités de production'!AG83</f>
        <v>49.045366418695366</v>
      </c>
      <c r="AK39" s="30">
        <f>'Données capacités de production'!AH83</f>
        <v>48.971857760514418</v>
      </c>
      <c r="AL39" s="30">
        <f>'Données capacités de production'!AI83</f>
        <v>48.921620005801671</v>
      </c>
      <c r="AM39" s="30">
        <f>'Données capacités de production'!AJ83</f>
        <v>48.894653154557133</v>
      </c>
      <c r="AN39" s="30">
        <f>'Données capacités de production'!AK83</f>
        <v>48.890957206780797</v>
      </c>
      <c r="AO39" s="30">
        <f>'Données capacités de production'!AL83</f>
        <v>48.910532162472656</v>
      </c>
      <c r="AP39" s="30">
        <f>'Données capacités de production'!AM83</f>
        <v>48.95337802163273</v>
      </c>
    </row>
    <row r="40" spans="1:42" x14ac:dyDescent="0.25">
      <c r="A40" s="1" t="s">
        <v>25</v>
      </c>
      <c r="B40" s="64"/>
      <c r="C40" s="13"/>
      <c r="D40" s="13"/>
      <c r="E40" s="30">
        <f>'Données capacités de production'!B82</f>
        <v>32.791476421576434</v>
      </c>
      <c r="F40" s="30">
        <f>'Données capacités de production'!C82</f>
        <v>32.914700149533864</v>
      </c>
      <c r="G40" s="30">
        <f>'Données capacités de production'!D82</f>
        <v>33.023092374180393</v>
      </c>
      <c r="H40" s="30">
        <f>'Données capacités de production'!E82</f>
        <v>33.116653095516021</v>
      </c>
      <c r="I40" s="30">
        <f>'Données capacités de production'!F82</f>
        <v>33.19538231354074</v>
      </c>
      <c r="J40" s="30">
        <f>'Données capacités de production'!G82</f>
        <v>33.259280028254565</v>
      </c>
      <c r="K40" s="30">
        <f>'Données capacités de production'!H82</f>
        <v>33.308346239657482</v>
      </c>
      <c r="L40" s="30">
        <f>'Données capacités de production'!I82</f>
        <v>33.342580947749497</v>
      </c>
      <c r="M40" s="30">
        <f>'Données capacités de production'!J82</f>
        <v>33.36198415253061</v>
      </c>
      <c r="N40" s="30">
        <f>'Données capacités de production'!K82</f>
        <v>33.366555854000822</v>
      </c>
      <c r="O40" s="30">
        <f>'Données capacités de production'!L82</f>
        <v>33.356296052160125</v>
      </c>
      <c r="P40" s="30">
        <f>'Données capacités de production'!M82</f>
        <v>33.331204747008535</v>
      </c>
      <c r="Q40" s="30">
        <f>'Données capacités de production'!N82</f>
        <v>33.291281938546035</v>
      </c>
      <c r="R40" s="30">
        <f>'Données capacités de production'!O82</f>
        <v>33.236527626772634</v>
      </c>
      <c r="S40" s="30">
        <f>'Données capacités de production'!P82</f>
        <v>33.166941811688325</v>
      </c>
      <c r="T40" s="30">
        <f>'Données capacités de production'!Q82</f>
        <v>33.082524493293121</v>
      </c>
      <c r="U40" s="30">
        <f>'Données capacités de production'!R82</f>
        <v>32.983275671587016</v>
      </c>
      <c r="V40" s="30">
        <f>'Données capacités de production'!S82</f>
        <v>32.86919534657001</v>
      </c>
      <c r="W40" s="30">
        <f>'Données capacités de production'!T82</f>
        <v>32.755115021552996</v>
      </c>
      <c r="X40" s="30">
        <f>'Données capacités de production'!U82</f>
        <v>32.641034696535989</v>
      </c>
      <c r="Y40" s="30">
        <f>'Données capacités de production'!V82</f>
        <v>32.526954371518983</v>
      </c>
      <c r="Z40" s="30">
        <f>'Données capacités de production'!W82</f>
        <v>32.412874046501976</v>
      </c>
      <c r="AA40" s="30">
        <f>'Données capacités de production'!X82</f>
        <v>32.298793721484969</v>
      </c>
      <c r="AB40" s="30">
        <f>'Données capacités de production'!Y82</f>
        <v>32.18471339646797</v>
      </c>
      <c r="AC40" s="30">
        <f>'Données capacités de production'!Z82</f>
        <v>32.07063307145097</v>
      </c>
      <c r="AD40" s="30">
        <f>'Données capacités de production'!AA82</f>
        <v>31.956552746433971</v>
      </c>
      <c r="AE40" s="30">
        <f>'Données capacités de production'!AB82</f>
        <v>31.842472421416975</v>
      </c>
      <c r="AF40" s="30">
        <f>'Données capacités de production'!AC82</f>
        <v>31.728392096399983</v>
      </c>
      <c r="AG40" s="30">
        <f>'Données capacités de production'!AD82</f>
        <v>31.614311771382994</v>
      </c>
      <c r="AH40" s="30">
        <f>'Données capacités de production'!AE82</f>
        <v>31.500231446366001</v>
      </c>
      <c r="AI40" s="30">
        <f>'Données capacités de production'!AF82</f>
        <v>31.386151121348998</v>
      </c>
      <c r="AJ40" s="30">
        <f>'Données capacités de production'!AG82</f>
        <v>31.25862798655255</v>
      </c>
      <c r="AK40" s="30">
        <f>'Données capacités de production'!AH82</f>
        <v>31.21177789718319</v>
      </c>
      <c r="AL40" s="30">
        <f>'Données capacités de production'!AI82</f>
        <v>31.179759311124737</v>
      </c>
      <c r="AM40" s="30">
        <f>'Données capacités de production'!AJ82</f>
        <v>31.162572228377197</v>
      </c>
      <c r="AN40" s="30">
        <f>'Données capacités de production'!AK82</f>
        <v>31.160216648940551</v>
      </c>
      <c r="AO40" s="30">
        <f>'Données capacités de production'!AL82</f>
        <v>31.172692572814817</v>
      </c>
      <c r="AP40" s="30">
        <f>'Données capacités de production'!AM82</f>
        <v>31.2</v>
      </c>
    </row>
    <row r="41" spans="1:42" x14ac:dyDescent="0.25">
      <c r="A41" s="1" t="s">
        <v>221</v>
      </c>
      <c r="B41" s="64"/>
      <c r="C41" s="1"/>
      <c r="D41" s="1"/>
      <c r="E41" s="147">
        <f>E40/E38</f>
        <v>0.38925371294494138</v>
      </c>
      <c r="F41" s="147">
        <f t="shared" ref="F41" si="158">F40/F38</f>
        <v>0.38925371294494138</v>
      </c>
      <c r="G41" s="147">
        <f t="shared" ref="G41" si="159">G40/G38</f>
        <v>0.38925371294494138</v>
      </c>
      <c r="H41" s="147">
        <f t="shared" ref="H41" si="160">H40/H38</f>
        <v>0.38925371294494138</v>
      </c>
      <c r="I41" s="147">
        <f t="shared" ref="I41" si="161">I40/I38</f>
        <v>0.38925371294494138</v>
      </c>
      <c r="J41" s="147">
        <f t="shared" ref="J41" si="162">J40/J38</f>
        <v>0.38925371294494143</v>
      </c>
      <c r="K41" s="147">
        <f t="shared" ref="K41" si="163">K40/K38</f>
        <v>0.38925371294494138</v>
      </c>
      <c r="L41" s="147">
        <f t="shared" ref="L41" si="164">L40/L38</f>
        <v>0.38925371294494138</v>
      </c>
      <c r="M41" s="147">
        <f t="shared" ref="M41" si="165">M40/M38</f>
        <v>0.38925371294494138</v>
      </c>
      <c r="N41" s="147">
        <f t="shared" ref="N41" si="166">N40/N38</f>
        <v>0.38925371294494138</v>
      </c>
      <c r="O41" s="147">
        <f t="shared" ref="O41" si="167">O40/O38</f>
        <v>0.38925371294494132</v>
      </c>
      <c r="P41" s="147">
        <f t="shared" ref="P41" si="168">P40/P38</f>
        <v>0.38925371294494143</v>
      </c>
      <c r="Q41" s="147">
        <f t="shared" ref="Q41" si="169">Q40/Q38</f>
        <v>0.38925371294494138</v>
      </c>
      <c r="R41" s="147">
        <f t="shared" ref="R41" si="170">R40/R38</f>
        <v>0.38925371294494138</v>
      </c>
      <c r="S41" s="147">
        <f t="shared" ref="S41" si="171">S40/S38</f>
        <v>0.38925371294494132</v>
      </c>
      <c r="T41" s="147">
        <f t="shared" ref="T41" si="172">T40/T38</f>
        <v>0.38925371294494132</v>
      </c>
      <c r="U41" s="147">
        <f t="shared" ref="U41" si="173">U40/U38</f>
        <v>0.38925371294494138</v>
      </c>
      <c r="V41" s="147">
        <f t="shared" ref="V41" si="174">V40/V38</f>
        <v>0.38925371294494138</v>
      </c>
      <c r="W41" s="147">
        <f t="shared" ref="W41" si="175">W40/W38</f>
        <v>0.38925371294494138</v>
      </c>
      <c r="X41" s="147">
        <f t="shared" ref="X41" si="176">X40/X38</f>
        <v>0.38925371294494138</v>
      </c>
      <c r="Y41" s="147">
        <f t="shared" ref="Y41" si="177">Y40/Y38</f>
        <v>0.38925371294494143</v>
      </c>
      <c r="Z41" s="147">
        <f t="shared" ref="Z41" si="178">Z40/Z38</f>
        <v>0.38925371294494143</v>
      </c>
      <c r="AA41" s="147">
        <f t="shared" ref="AA41" si="179">AA40/AA38</f>
        <v>0.38925371294494138</v>
      </c>
      <c r="AB41" s="147">
        <f t="shared" ref="AB41" si="180">AB40/AB38</f>
        <v>0.38925371294494138</v>
      </c>
      <c r="AC41" s="147">
        <f t="shared" ref="AC41" si="181">AC40/AC38</f>
        <v>0.38925371294494143</v>
      </c>
      <c r="AD41" s="147">
        <f t="shared" ref="AD41" si="182">AD40/AD38</f>
        <v>0.38925371294494138</v>
      </c>
      <c r="AE41" s="147">
        <f t="shared" ref="AE41" si="183">AE40/AE38</f>
        <v>0.38925371294494138</v>
      </c>
      <c r="AF41" s="147">
        <f t="shared" ref="AF41" si="184">AF40/AF38</f>
        <v>0.38925371294494138</v>
      </c>
      <c r="AG41" s="147">
        <f t="shared" ref="AG41" si="185">AG40/AG38</f>
        <v>0.38925371294494138</v>
      </c>
      <c r="AH41" s="147">
        <f t="shared" ref="AH41" si="186">AH40/AH38</f>
        <v>0.38925371294494138</v>
      </c>
      <c r="AI41" s="147">
        <f t="shared" ref="AI41" si="187">AI40/AI38</f>
        <v>0.38925371294494138</v>
      </c>
      <c r="AJ41" s="147">
        <f t="shared" ref="AJ41" si="188">AJ40/AJ38</f>
        <v>0.38925371294494138</v>
      </c>
      <c r="AK41" s="147">
        <f t="shared" ref="AK41" si="189">AK40/AK38</f>
        <v>0.38925371294494138</v>
      </c>
      <c r="AL41" s="147">
        <f t="shared" ref="AL41" si="190">AL40/AL38</f>
        <v>0.38925371294494138</v>
      </c>
      <c r="AM41" s="147">
        <f t="shared" ref="AM41" si="191">AM40/AM38</f>
        <v>0.38925371294494138</v>
      </c>
      <c r="AN41" s="147">
        <f t="shared" ref="AN41" si="192">AN40/AN38</f>
        <v>0.38925371294494138</v>
      </c>
      <c r="AO41" s="147">
        <f t="shared" ref="AO41" si="193">AO40/AO38</f>
        <v>0.38925371294494138</v>
      </c>
      <c r="AP41" s="147">
        <f t="shared" ref="AP41" si="194">AP40/AP38</f>
        <v>0.38925371294494138</v>
      </c>
    </row>
    <row r="43" spans="1:42" x14ac:dyDescent="0.25">
      <c r="A43" s="52" t="s">
        <v>131</v>
      </c>
      <c r="B43" s="52"/>
      <c r="C43" s="52"/>
      <c r="D43" s="52"/>
      <c r="E43" s="73">
        <f>E44</f>
        <v>0.69747436000000018</v>
      </c>
      <c r="F43" s="73">
        <f t="shared" ref="F43:AP43" si="195">F44</f>
        <v>2.5328993772972535</v>
      </c>
      <c r="G43" s="73">
        <f t="shared" si="195"/>
        <v>4.3700680804945069</v>
      </c>
      <c r="H43" s="73">
        <f t="shared" si="195"/>
        <v>6.2072367836917568</v>
      </c>
      <c r="I43" s="73">
        <f t="shared" si="195"/>
        <v>8.0444054868890102</v>
      </c>
      <c r="J43" s="73">
        <f t="shared" si="195"/>
        <v>9.8815741900862619</v>
      </c>
      <c r="K43" s="73">
        <f t="shared" si="195"/>
        <v>11.718742893283515</v>
      </c>
      <c r="L43" s="73">
        <f t="shared" si="195"/>
        <v>13.555911596480769</v>
      </c>
      <c r="M43" s="73">
        <f t="shared" si="195"/>
        <v>15.393080299678026</v>
      </c>
      <c r="N43" s="73">
        <f t="shared" si="195"/>
        <v>17.230249002875279</v>
      </c>
      <c r="O43" s="73">
        <f t="shared" si="195"/>
        <v>19.067417706072543</v>
      </c>
      <c r="P43" s="73">
        <f t="shared" si="195"/>
        <v>20.904586409269804</v>
      </c>
      <c r="Q43" s="73">
        <f t="shared" si="195"/>
        <v>22.741755112467064</v>
      </c>
      <c r="R43" s="73">
        <f t="shared" si="195"/>
        <v>24.578923815664332</v>
      </c>
      <c r="S43" s="73">
        <f t="shared" si="195"/>
        <v>26.416092518861596</v>
      </c>
      <c r="T43" s="73">
        <f t="shared" si="195"/>
        <v>28.253261222058875</v>
      </c>
      <c r="U43" s="73">
        <f t="shared" si="195"/>
        <v>30.090429925256149</v>
      </c>
      <c r="V43" s="73">
        <f t="shared" si="195"/>
        <v>31.927598628453431</v>
      </c>
      <c r="W43" s="73">
        <f t="shared" si="195"/>
        <v>33.76476733165071</v>
      </c>
      <c r="X43" s="73">
        <f t="shared" si="195"/>
        <v>35.601936034848002</v>
      </c>
      <c r="Y43" s="73">
        <f t="shared" si="195"/>
        <v>37.405974705945283</v>
      </c>
      <c r="Z43" s="73">
        <f t="shared" si="195"/>
        <v>39.241399723242573</v>
      </c>
      <c r="AA43" s="73">
        <f t="shared" si="195"/>
        <v>41.07682474053987</v>
      </c>
      <c r="AB43" s="73">
        <f t="shared" si="195"/>
        <v>42.912249757837166</v>
      </c>
      <c r="AC43" s="73">
        <f t="shared" si="195"/>
        <v>44.74767477513447</v>
      </c>
      <c r="AD43" s="73">
        <f t="shared" si="195"/>
        <v>46.58309979243176</v>
      </c>
      <c r="AE43" s="73">
        <f t="shared" si="195"/>
        <v>48.418524809729071</v>
      </c>
      <c r="AF43" s="73">
        <f t="shared" si="195"/>
        <v>50.253949827026389</v>
      </c>
      <c r="AG43" s="73">
        <f t="shared" si="195"/>
        <v>52.089374844323714</v>
      </c>
      <c r="AH43" s="73">
        <f t="shared" si="195"/>
        <v>53.924799861621032</v>
      </c>
      <c r="AI43" s="73">
        <f t="shared" si="195"/>
        <v>55.760224878918365</v>
      </c>
      <c r="AJ43" s="73">
        <f t="shared" si="195"/>
        <v>57.595649896215704</v>
      </c>
      <c r="AK43" s="73">
        <f t="shared" si="195"/>
        <v>59.431074913513037</v>
      </c>
      <c r="AL43" s="73">
        <f t="shared" si="195"/>
        <v>61.266499930810376</v>
      </c>
      <c r="AM43" s="73">
        <f t="shared" si="195"/>
        <v>63.101924948107737</v>
      </c>
      <c r="AN43" s="73">
        <f t="shared" si="195"/>
        <v>64.937349965405105</v>
      </c>
      <c r="AO43" s="73">
        <f t="shared" si="195"/>
        <v>66.772774982702487</v>
      </c>
      <c r="AP43" s="73">
        <f t="shared" si="195"/>
        <v>68.608199999999854</v>
      </c>
    </row>
    <row r="44" spans="1:42" x14ac:dyDescent="0.25">
      <c r="A44" s="20" t="s">
        <v>18</v>
      </c>
      <c r="B44" s="31"/>
      <c r="C44" s="31"/>
      <c r="D44" s="31"/>
      <c r="E44" s="31">
        <f t="shared" ref="E44:AO44" si="196">E45+E46</f>
        <v>0.69747436000000018</v>
      </c>
      <c r="F44" s="31">
        <f t="shared" si="196"/>
        <v>2.5328993772972535</v>
      </c>
      <c r="G44" s="31">
        <f t="shared" si="196"/>
        <v>4.3700680804945069</v>
      </c>
      <c r="H44" s="31">
        <f t="shared" si="196"/>
        <v>6.2072367836917568</v>
      </c>
      <c r="I44" s="31">
        <f t="shared" si="196"/>
        <v>8.0444054868890102</v>
      </c>
      <c r="J44" s="31">
        <f t="shared" si="196"/>
        <v>9.8815741900862619</v>
      </c>
      <c r="K44" s="31">
        <f t="shared" si="196"/>
        <v>11.718742893283515</v>
      </c>
      <c r="L44" s="31">
        <f t="shared" si="196"/>
        <v>13.555911596480769</v>
      </c>
      <c r="M44" s="31">
        <f t="shared" si="196"/>
        <v>15.393080299678026</v>
      </c>
      <c r="N44" s="31">
        <f t="shared" si="196"/>
        <v>17.230249002875279</v>
      </c>
      <c r="O44" s="31">
        <f t="shared" si="196"/>
        <v>19.067417706072543</v>
      </c>
      <c r="P44" s="31">
        <f t="shared" si="196"/>
        <v>20.904586409269804</v>
      </c>
      <c r="Q44" s="31">
        <f t="shared" si="196"/>
        <v>22.741755112467064</v>
      </c>
      <c r="R44" s="31">
        <f t="shared" si="196"/>
        <v>24.578923815664332</v>
      </c>
      <c r="S44" s="31">
        <f t="shared" si="196"/>
        <v>26.416092518861596</v>
      </c>
      <c r="T44" s="31">
        <f t="shared" si="196"/>
        <v>28.253261222058875</v>
      </c>
      <c r="U44" s="31">
        <f t="shared" si="196"/>
        <v>30.090429925256149</v>
      </c>
      <c r="V44" s="31">
        <f t="shared" si="196"/>
        <v>31.927598628453431</v>
      </c>
      <c r="W44" s="31">
        <f t="shared" si="196"/>
        <v>33.76476733165071</v>
      </c>
      <c r="X44" s="31">
        <f t="shared" si="196"/>
        <v>35.601936034848002</v>
      </c>
      <c r="Y44" s="31">
        <f t="shared" si="196"/>
        <v>37.405974705945283</v>
      </c>
      <c r="Z44" s="31">
        <f t="shared" si="196"/>
        <v>39.241399723242573</v>
      </c>
      <c r="AA44" s="31">
        <f t="shared" si="196"/>
        <v>41.07682474053987</v>
      </c>
      <c r="AB44" s="31">
        <f t="shared" si="196"/>
        <v>42.912249757837166</v>
      </c>
      <c r="AC44" s="31">
        <f t="shared" si="196"/>
        <v>44.74767477513447</v>
      </c>
      <c r="AD44" s="31">
        <f t="shared" si="196"/>
        <v>46.58309979243176</v>
      </c>
      <c r="AE44" s="31">
        <f t="shared" si="196"/>
        <v>48.418524809729071</v>
      </c>
      <c r="AF44" s="31">
        <f t="shared" si="196"/>
        <v>50.253949827026389</v>
      </c>
      <c r="AG44" s="31">
        <f t="shared" si="196"/>
        <v>52.089374844323714</v>
      </c>
      <c r="AH44" s="31">
        <f t="shared" si="196"/>
        <v>53.924799861621032</v>
      </c>
      <c r="AI44" s="31">
        <f t="shared" si="196"/>
        <v>55.760224878918365</v>
      </c>
      <c r="AJ44" s="31">
        <f t="shared" si="196"/>
        <v>57.595649896215704</v>
      </c>
      <c r="AK44" s="31">
        <f t="shared" si="196"/>
        <v>59.431074913513037</v>
      </c>
      <c r="AL44" s="31">
        <f t="shared" si="196"/>
        <v>61.266499930810376</v>
      </c>
      <c r="AM44" s="31">
        <f t="shared" si="196"/>
        <v>63.101924948107737</v>
      </c>
      <c r="AN44" s="31">
        <f t="shared" si="196"/>
        <v>64.937349965405105</v>
      </c>
      <c r="AO44" s="31">
        <f t="shared" si="196"/>
        <v>66.772774982702487</v>
      </c>
      <c r="AP44" s="31">
        <f>AP45+AP46</f>
        <v>68.608199999999854</v>
      </c>
    </row>
    <row r="45" spans="1:42" x14ac:dyDescent="0.25">
      <c r="A45" s="1" t="s">
        <v>26</v>
      </c>
      <c r="B45" s="64"/>
      <c r="C45" s="13"/>
      <c r="D45" s="13"/>
      <c r="E45" s="30">
        <f>'Données capacités de production'!B95</f>
        <v>0.52729469071265511</v>
      </c>
      <c r="F45" s="30">
        <f>'Données capacités de production'!C95</f>
        <v>1.9148867260987654</v>
      </c>
      <c r="G45" s="30">
        <f>'Données capacités de production'!D95</f>
        <v>3.3037969982116575</v>
      </c>
      <c r="H45" s="30">
        <f>'Données capacités de production'!E95</f>
        <v>4.6927072703245472</v>
      </c>
      <c r="I45" s="30">
        <f>'Données capacités de production'!F95</f>
        <v>6.0816175424374386</v>
      </c>
      <c r="J45" s="30">
        <f>'Données capacités de production'!G95</f>
        <v>7.47052781455033</v>
      </c>
      <c r="K45" s="30">
        <f>'Données capacités de production'!H95</f>
        <v>8.8594380866632214</v>
      </c>
      <c r="L45" s="30">
        <f>'Données capacités de production'!I95</f>
        <v>10.248348358776113</v>
      </c>
      <c r="M45" s="30">
        <f>'Données capacités de production'!J95</f>
        <v>11.637258630889008</v>
      </c>
      <c r="N45" s="30">
        <f>'Données capacités de production'!K95</f>
        <v>13.026168903001899</v>
      </c>
      <c r="O45" s="30">
        <f>'Données capacités de production'!L95</f>
        <v>14.415079175114801</v>
      </c>
      <c r="P45" s="30">
        <f>'Données capacités de production'!M95</f>
        <v>15.803989447227698</v>
      </c>
      <c r="Q45" s="30">
        <f>'Données capacités de production'!N95</f>
        <v>17.192899719340595</v>
      </c>
      <c r="R45" s="30">
        <f>'Données capacités de production'!O95</f>
        <v>18.581809991453497</v>
      </c>
      <c r="S45" s="30">
        <f>'Données capacités de production'!P95</f>
        <v>19.970720263566399</v>
      </c>
      <c r="T45" s="30">
        <f>'Données capacités de production'!Q95</f>
        <v>21.359630535679308</v>
      </c>
      <c r="U45" s="30">
        <f>'Données capacités de production'!R95</f>
        <v>22.748540807792217</v>
      </c>
      <c r="V45" s="30">
        <f>'Données capacités de production'!S95</f>
        <v>24.13745107990513</v>
      </c>
      <c r="W45" s="30">
        <f>'Données capacités de production'!T95</f>
        <v>25.526361352018043</v>
      </c>
      <c r="X45" s="30">
        <f>'Données capacités de production'!U95</f>
        <v>26.915271624130963</v>
      </c>
      <c r="Y45" s="30">
        <f>'Données capacités de production'!V95</f>
        <v>28.279135398435024</v>
      </c>
      <c r="Z45" s="30">
        <f>'Données capacités de production'!W95</f>
        <v>29.666727433821162</v>
      </c>
      <c r="AA45" s="30">
        <f>'Données capacités de production'!X95</f>
        <v>31.054319469207307</v>
      </c>
      <c r="AB45" s="30">
        <f>'Données capacités de production'!Y95</f>
        <v>32.441911504593449</v>
      </c>
      <c r="AC45" s="30">
        <f>'Données capacités de production'!Z95</f>
        <v>33.829503539979598</v>
      </c>
      <c r="AD45" s="30">
        <f>'Données capacités de production'!AA95</f>
        <v>35.217095575365732</v>
      </c>
      <c r="AE45" s="30">
        <f>'Données capacités de production'!AB95</f>
        <v>36.604687610751888</v>
      </c>
      <c r="AF45" s="30">
        <f>'Données capacités de production'!AC95</f>
        <v>37.992279646138044</v>
      </c>
      <c r="AG45" s="30">
        <f>'Données capacités de production'!AD95</f>
        <v>39.379871681524214</v>
      </c>
      <c r="AH45" s="30">
        <f>'Données capacités de production'!AE95</f>
        <v>40.76746371691037</v>
      </c>
      <c r="AI45" s="30">
        <f>'Données capacités de production'!AF95</f>
        <v>42.155055752296541</v>
      </c>
      <c r="AJ45" s="30">
        <f>'Données capacités de production'!AG95</f>
        <v>43.542647787682718</v>
      </c>
      <c r="AK45" s="30">
        <f>'Données capacités de production'!AH95</f>
        <v>44.930239823068888</v>
      </c>
      <c r="AL45" s="30">
        <f>'Données capacités de production'!AI95</f>
        <v>46.317831858455065</v>
      </c>
      <c r="AM45" s="30">
        <f>'Données capacités de production'!AJ95</f>
        <v>47.705423893841257</v>
      </c>
      <c r="AN45" s="30">
        <f>'Données capacités de production'!AK95</f>
        <v>49.093015929227448</v>
      </c>
      <c r="AO45" s="30">
        <f>'Données capacités de production'!AL95</f>
        <v>50.480607964613654</v>
      </c>
      <c r="AP45" s="30">
        <f>'Données capacités de production'!AM95</f>
        <v>51.86819999999986</v>
      </c>
    </row>
    <row r="46" spans="1:42" x14ac:dyDescent="0.25">
      <c r="A46" s="1" t="s">
        <v>25</v>
      </c>
      <c r="B46" s="64"/>
      <c r="C46" s="13"/>
      <c r="D46" s="13"/>
      <c r="E46" s="30">
        <f>'Données capacités de production'!B94</f>
        <v>0.17017966928734504</v>
      </c>
      <c r="F46" s="30">
        <f>'Données capacités de production'!C94</f>
        <v>0.61801265119848803</v>
      </c>
      <c r="G46" s="30">
        <f>'Données capacités de production'!D94</f>
        <v>1.0662710822828494</v>
      </c>
      <c r="H46" s="30">
        <f>'Données capacités de production'!E94</f>
        <v>1.5145295133672101</v>
      </c>
      <c r="I46" s="30">
        <f>'Données capacités de production'!F94</f>
        <v>1.9627879444515715</v>
      </c>
      <c r="J46" s="30">
        <f>'Données capacités de production'!G94</f>
        <v>2.4110463755359324</v>
      </c>
      <c r="K46" s="30">
        <f>'Données capacités de production'!H94</f>
        <v>2.859304806620294</v>
      </c>
      <c r="L46" s="30">
        <f>'Données capacités de production'!I94</f>
        <v>3.3075632377046555</v>
      </c>
      <c r="M46" s="30">
        <f>'Données capacités de production'!J94</f>
        <v>3.7558216687890171</v>
      </c>
      <c r="N46" s="30">
        <f>'Données capacités de production'!K94</f>
        <v>4.2040800998733792</v>
      </c>
      <c r="O46" s="30">
        <f>'Données capacités de production'!L94</f>
        <v>4.652338530957743</v>
      </c>
      <c r="P46" s="30">
        <f>'Données capacités de production'!M94</f>
        <v>5.1005969620421059</v>
      </c>
      <c r="Q46" s="30">
        <f>'Données capacités de production'!N94</f>
        <v>5.5488553931264697</v>
      </c>
      <c r="R46" s="30">
        <f>'Données capacités de production'!O94</f>
        <v>5.9971138242108335</v>
      </c>
      <c r="S46" s="30">
        <f>'Données capacités de production'!P94</f>
        <v>6.4453722552951991</v>
      </c>
      <c r="T46" s="30">
        <f>'Données capacités de production'!Q94</f>
        <v>6.8936306863795647</v>
      </c>
      <c r="U46" s="30">
        <f>'Données capacités de production'!R94</f>
        <v>7.341889117463932</v>
      </c>
      <c r="V46" s="30">
        <f>'Données capacités de production'!S94</f>
        <v>7.7901475485483012</v>
      </c>
      <c r="W46" s="30">
        <f>'Données capacités de production'!T94</f>
        <v>8.2384059796326685</v>
      </c>
      <c r="X46" s="30">
        <f>'Données capacités de production'!U94</f>
        <v>8.6866644107170394</v>
      </c>
      <c r="Y46" s="30">
        <f>'Données capacités de production'!V94</f>
        <v>9.1268393075102594</v>
      </c>
      <c r="Z46" s="30">
        <f>'Données capacités de production'!W94</f>
        <v>9.5746722894214109</v>
      </c>
      <c r="AA46" s="30">
        <f>'Données capacités de production'!X94</f>
        <v>10.022505271332564</v>
      </c>
      <c r="AB46" s="30">
        <f>'Données capacités de production'!Y94</f>
        <v>10.470338253243717</v>
      </c>
      <c r="AC46" s="30">
        <f>'Données capacités de production'!Z94</f>
        <v>10.918171235154873</v>
      </c>
      <c r="AD46" s="30">
        <f>'Données capacités de production'!AA94</f>
        <v>11.366004217066026</v>
      </c>
      <c r="AE46" s="30">
        <f>'Données capacités de production'!AB94</f>
        <v>11.813837198977183</v>
      </c>
      <c r="AF46" s="30">
        <f>'Données capacités de production'!AC94</f>
        <v>12.261670180888341</v>
      </c>
      <c r="AG46" s="30">
        <f>'Données capacités de production'!AD94</f>
        <v>12.709503162799502</v>
      </c>
      <c r="AH46" s="30">
        <f>'Données capacités de production'!AE94</f>
        <v>13.15733614471066</v>
      </c>
      <c r="AI46" s="30">
        <f>'Données capacités de production'!AF94</f>
        <v>13.605169126621822</v>
      </c>
      <c r="AJ46" s="30">
        <f>'Données capacités de production'!AG94</f>
        <v>14.053002108532986</v>
      </c>
      <c r="AK46" s="30">
        <f>'Données capacités de production'!AH94</f>
        <v>14.500835090444149</v>
      </c>
      <c r="AL46" s="30">
        <f>'Données capacités de production'!AI94</f>
        <v>14.948668072355312</v>
      </c>
      <c r="AM46" s="30">
        <f>'Données capacités de production'!AJ94</f>
        <v>15.396501054266482</v>
      </c>
      <c r="AN46" s="30">
        <f>'Données capacités de production'!AK94</f>
        <v>15.844334036177653</v>
      </c>
      <c r="AO46" s="30">
        <f>'Données capacités de production'!AL94</f>
        <v>16.292167018088829</v>
      </c>
      <c r="AP46" s="30">
        <f>'Données capacités de production'!AM94</f>
        <v>16.739999999999998</v>
      </c>
    </row>
    <row r="47" spans="1:42" x14ac:dyDescent="0.25">
      <c r="A47" s="1" t="s">
        <v>221</v>
      </c>
      <c r="E47" s="147">
        <f>E46/E44</f>
        <v>0.24399415813270181</v>
      </c>
      <c r="F47" s="147">
        <f t="shared" ref="F47" si="197">F46/F44</f>
        <v>0.24399415813270181</v>
      </c>
      <c r="G47" s="147">
        <f t="shared" ref="G47" si="198">G46/G44</f>
        <v>0.24399415813270181</v>
      </c>
      <c r="H47" s="147">
        <f t="shared" ref="H47" si="199">H46/H44</f>
        <v>0.24399415813270184</v>
      </c>
      <c r="I47" s="147">
        <f t="shared" ref="I47" si="200">I46/I44</f>
        <v>0.24399415813270184</v>
      </c>
      <c r="J47" s="147">
        <f t="shared" ref="J47" si="201">J46/J44</f>
        <v>0.24399415813270184</v>
      </c>
      <c r="K47" s="147">
        <f t="shared" ref="K47" si="202">K46/K44</f>
        <v>0.24399415813270184</v>
      </c>
      <c r="L47" s="147">
        <f t="shared" ref="L47" si="203">L46/L44</f>
        <v>0.24399415813270187</v>
      </c>
      <c r="M47" s="147">
        <f t="shared" ref="M47" si="204">M46/M44</f>
        <v>0.24399415813270181</v>
      </c>
      <c r="N47" s="147">
        <f t="shared" ref="N47" si="205">N46/N44</f>
        <v>0.24399415813270184</v>
      </c>
      <c r="O47" s="147">
        <f t="shared" ref="O47" si="206">O46/O44</f>
        <v>0.24399415813270184</v>
      </c>
      <c r="P47" s="147">
        <f t="shared" ref="P47" si="207">P46/P44</f>
        <v>0.24399415813270181</v>
      </c>
      <c r="Q47" s="147">
        <f t="shared" ref="Q47" si="208">Q46/Q44</f>
        <v>0.24399415813270184</v>
      </c>
      <c r="R47" s="147">
        <f t="shared" ref="R47" si="209">R46/R44</f>
        <v>0.24399415813270181</v>
      </c>
      <c r="S47" s="147">
        <f t="shared" ref="S47" si="210">S46/S44</f>
        <v>0.24399415813270187</v>
      </c>
      <c r="T47" s="147">
        <f t="shared" ref="T47" si="211">T46/T44</f>
        <v>0.24399415813270181</v>
      </c>
      <c r="U47" s="147">
        <f t="shared" ref="U47" si="212">U46/U44</f>
        <v>0.24399415813270181</v>
      </c>
      <c r="V47" s="147">
        <f t="shared" ref="V47" si="213">V46/V44</f>
        <v>0.24399415813270184</v>
      </c>
      <c r="W47" s="147">
        <f t="shared" ref="W47" si="214">W46/W44</f>
        <v>0.24399415813270184</v>
      </c>
      <c r="X47" s="147">
        <f t="shared" ref="X47" si="215">X46/X44</f>
        <v>0.24399415813270184</v>
      </c>
      <c r="Y47" s="147">
        <f t="shared" ref="Y47" si="216">Y46/Y44</f>
        <v>0.24399415813270187</v>
      </c>
      <c r="Z47" s="147">
        <f t="shared" ref="Z47" si="217">Z46/Z44</f>
        <v>0.24399415813270184</v>
      </c>
      <c r="AA47" s="147">
        <f t="shared" ref="AA47" si="218">AA46/AA44</f>
        <v>0.24399415813270184</v>
      </c>
      <c r="AB47" s="147">
        <f t="shared" ref="AB47" si="219">AB46/AB44</f>
        <v>0.24399415813270184</v>
      </c>
      <c r="AC47" s="147">
        <f t="shared" ref="AC47" si="220">AC46/AC44</f>
        <v>0.24399415813270184</v>
      </c>
      <c r="AD47" s="147">
        <f t="shared" ref="AD47" si="221">AD46/AD44</f>
        <v>0.24399415813270187</v>
      </c>
      <c r="AE47" s="147">
        <f t="shared" ref="AE47" si="222">AE46/AE44</f>
        <v>0.24399415813270184</v>
      </c>
      <c r="AF47" s="147">
        <f t="shared" ref="AF47" si="223">AF46/AF44</f>
        <v>0.24399415813270184</v>
      </c>
      <c r="AG47" s="147">
        <f t="shared" ref="AG47" si="224">AG46/AG44</f>
        <v>0.24399415813270184</v>
      </c>
      <c r="AH47" s="147">
        <f t="shared" ref="AH47" si="225">AH46/AH44</f>
        <v>0.24399415813270184</v>
      </c>
      <c r="AI47" s="147">
        <f t="shared" ref="AI47" si="226">AI46/AI44</f>
        <v>0.24399415813270184</v>
      </c>
      <c r="AJ47" s="147">
        <f t="shared" ref="AJ47" si="227">AJ46/AJ44</f>
        <v>0.24399415813270184</v>
      </c>
      <c r="AK47" s="147">
        <f t="shared" ref="AK47" si="228">AK46/AK44</f>
        <v>0.24399415813270184</v>
      </c>
      <c r="AL47" s="147">
        <f t="shared" ref="AL47" si="229">AL46/AL44</f>
        <v>0.24399415813270184</v>
      </c>
      <c r="AM47" s="147">
        <f t="shared" ref="AM47" si="230">AM46/AM44</f>
        <v>0.24399415813270184</v>
      </c>
      <c r="AN47" s="147">
        <f t="shared" ref="AN47" si="231">AN46/AN44</f>
        <v>0.24399415813270184</v>
      </c>
      <c r="AO47" s="147">
        <f t="shared" ref="AO47" si="232">AO46/AO44</f>
        <v>0.24399415813270187</v>
      </c>
      <c r="AP47" s="147">
        <f t="shared" ref="AP47" si="233">AP46/AP44</f>
        <v>0.24399415813270184</v>
      </c>
    </row>
    <row r="49" spans="1:42" x14ac:dyDescent="0.25">
      <c r="A49" s="52" t="s">
        <v>188</v>
      </c>
      <c r="B49" s="52"/>
      <c r="C49" s="52"/>
      <c r="D49" s="52"/>
      <c r="E49" s="73">
        <f>E50+E51</f>
        <v>5167.2261685953299</v>
      </c>
      <c r="F49" s="73">
        <f t="shared" ref="F49:AP49" si="234">F50+F51</f>
        <v>5151.5404501930279</v>
      </c>
      <c r="G49" s="73">
        <f t="shared" si="234"/>
        <v>5134.9567939112085</v>
      </c>
      <c r="H49" s="73">
        <f t="shared" si="234"/>
        <v>5117.4752020051701</v>
      </c>
      <c r="I49" s="73">
        <f t="shared" si="234"/>
        <v>5099.0956773119615</v>
      </c>
      <c r="J49" s="73">
        <f t="shared" si="234"/>
        <v>5079.8182231349465</v>
      </c>
      <c r="K49" s="73">
        <f t="shared" si="234"/>
        <v>5059.6428431165332</v>
      </c>
      <c r="L49" s="73">
        <f t="shared" si="234"/>
        <v>5038.5695411037414</v>
      </c>
      <c r="M49" s="73">
        <f t="shared" si="234"/>
        <v>5016.5983210113982</v>
      </c>
      <c r="N49" s="73">
        <f t="shared" si="234"/>
        <v>4993.7291866876758</v>
      </c>
      <c r="O49" s="73">
        <f t="shared" si="234"/>
        <v>4969.9621417864118</v>
      </c>
      <c r="P49" s="73">
        <f t="shared" si="234"/>
        <v>4945.2971896503004</v>
      </c>
      <c r="Q49" s="73">
        <f t="shared" si="234"/>
        <v>4919.7343332085356</v>
      </c>
      <c r="R49" s="73">
        <f t="shared" si="234"/>
        <v>4893.2735748918749</v>
      </c>
      <c r="S49" s="73">
        <f t="shared" si="234"/>
        <v>4865.9149165673907</v>
      </c>
      <c r="T49" s="73">
        <f t="shared" si="234"/>
        <v>4837.6583594944686</v>
      </c>
      <c r="U49" s="73">
        <f t="shared" si="234"/>
        <v>4808.5039043028028</v>
      </c>
      <c r="V49" s="73">
        <f t="shared" si="234"/>
        <v>4778.451550992394</v>
      </c>
      <c r="W49" s="73">
        <f t="shared" si="234"/>
        <v>4748.3982121037316</v>
      </c>
      <c r="X49" s="73">
        <f t="shared" si="234"/>
        <v>4718.3439358744481</v>
      </c>
      <c r="Y49" s="73">
        <f t="shared" si="234"/>
        <v>4688.288792300079</v>
      </c>
      <c r="Z49" s="73">
        <f t="shared" si="234"/>
        <v>4658.2328708886844</v>
      </c>
      <c r="AA49" s="73">
        <f t="shared" si="234"/>
        <v>4628.1762779929395</v>
      </c>
      <c r="AB49" s="73">
        <f t="shared" si="234"/>
        <v>4598.1191337952741</v>
      </c>
      <c r="AC49" s="73">
        <f t="shared" si="234"/>
        <v>4568.0615690283612</v>
      </c>
      <c r="AD49" s="73">
        <f t="shared" si="234"/>
        <v>4538.0037215176817</v>
      </c>
      <c r="AE49" s="73">
        <f t="shared" si="234"/>
        <v>4507.9457326351203</v>
      </c>
      <c r="AF49" s="73">
        <f t="shared" si="234"/>
        <v>4477.887743752558</v>
      </c>
      <c r="AG49" s="73">
        <f t="shared" si="234"/>
        <v>4447.8298927822625</v>
      </c>
      <c r="AH49" s="73">
        <f t="shared" si="234"/>
        <v>4417.7723108865921</v>
      </c>
      <c r="AI49" s="73">
        <f t="shared" si="234"/>
        <v>4387.7151194334137</v>
      </c>
      <c r="AJ49" s="73">
        <f t="shared" si="234"/>
        <v>4359.9904021436478</v>
      </c>
      <c r="AK49" s="73">
        <f t="shared" si="234"/>
        <v>4338.0754673739712</v>
      </c>
      <c r="AL49" s="73">
        <f t="shared" si="234"/>
        <v>4317.0590564642525</v>
      </c>
      <c r="AM49" s="73">
        <f t="shared" si="234"/>
        <v>4296.9412187945918</v>
      </c>
      <c r="AN49" s="73">
        <f t="shared" si="234"/>
        <v>4277.7219865268235</v>
      </c>
      <c r="AO49" s="73">
        <f t="shared" si="234"/>
        <v>4259.4013742706957</v>
      </c>
      <c r="AP49" s="73">
        <f t="shared" si="234"/>
        <v>4241.9793791832126</v>
      </c>
    </row>
    <row r="50" spans="1:42" x14ac:dyDescent="0.25">
      <c r="A50" s="1" t="s">
        <v>26</v>
      </c>
      <c r="B50" s="64"/>
      <c r="C50" s="13"/>
      <c r="D50" s="13"/>
      <c r="E50" s="30">
        <f>'Données capacités de production'!B108</f>
        <v>4074.9685717306083</v>
      </c>
      <c r="F50" s="30">
        <f>'Données capacités de production'!C108</f>
        <v>4062.5985288045076</v>
      </c>
      <c r="G50" s="30">
        <f>'Données capacités de production'!D108</f>
        <v>4049.5203557290743</v>
      </c>
      <c r="H50" s="30">
        <f>'Données capacités de production'!E108</f>
        <v>4035.7340542828783</v>
      </c>
      <c r="I50" s="30">
        <f>'Données capacités de production'!F108</f>
        <v>4021.2396267032682</v>
      </c>
      <c r="J50" s="30">
        <f>'Données capacités de production'!G108</f>
        <v>4006.0370755953363</v>
      </c>
      <c r="K50" s="30">
        <f>'Données capacités de production'!H108</f>
        <v>3990.1264038315521</v>
      </c>
      <c r="L50" s="30">
        <f>'Données capacités de production'!I108</f>
        <v>3973.5076144457457</v>
      </c>
      <c r="M50" s="30">
        <f>'Données capacités de production'!J108</f>
        <v>3956.1807105252205</v>
      </c>
      <c r="N50" s="30">
        <f>'Données capacités de production'!K108</f>
        <v>3938.1456951047157</v>
      </c>
      <c r="O50" s="30">
        <f>'Données capacités de production'!L108</f>
        <v>3919.4025710657133</v>
      </c>
      <c r="P50" s="30">
        <f>'Données capacités de production'!M108</f>
        <v>3899.9513410443233</v>
      </c>
      <c r="Q50" s="30">
        <f>'Données capacités de production'!N108</f>
        <v>3879.7920073505611</v>
      </c>
      <c r="R50" s="30">
        <f>'Données capacités de production'!O108</f>
        <v>3858.9245719013666</v>
      </c>
      <c r="S50" s="30">
        <f>'Données capacités de production'!P108</f>
        <v>3837.3490361691465</v>
      </c>
      <c r="T50" s="30">
        <f>'Données capacités de production'!Q108</f>
        <v>3815.0654011470765</v>
      </c>
      <c r="U50" s="30">
        <f>'Données capacités de production'!R108</f>
        <v>3792.0736673317433</v>
      </c>
      <c r="V50" s="30">
        <f>'Données capacités de production'!S108</f>
        <v>3768.3738347231488</v>
      </c>
      <c r="W50" s="30">
        <f>'Données capacités de production'!T108</f>
        <v>3744.6732248696107</v>
      </c>
      <c r="X50" s="30">
        <f>'Données capacités de production'!U108</f>
        <v>3720.9718758122049</v>
      </c>
      <c r="Y50" s="30">
        <f>'Données capacités de production'!V108</f>
        <v>3697.2698427506834</v>
      </c>
      <c r="Z50" s="30">
        <f>'Données capacités de production'!W108</f>
        <v>3673.5671962727311</v>
      </c>
      <c r="AA50" s="30">
        <f>'Données capacités de production'!X108</f>
        <v>3649.8640202500033</v>
      </c>
      <c r="AB50" s="30">
        <f>'Données capacités de production'!Y108</f>
        <v>3626.16040946055</v>
      </c>
      <c r="AC50" s="30">
        <f>'Données capacités de production'!Z108</f>
        <v>3602.4564670025361</v>
      </c>
      <c r="AD50" s="30">
        <f>'Données capacités de production'!AA108</f>
        <v>3578.7523015676434</v>
      </c>
      <c r="AE50" s="30">
        <f>'Données capacités de production'!AB108</f>
        <v>3555.0480246443126</v>
      </c>
      <c r="AF50" s="30">
        <f>'Données capacités de production'!AC108</f>
        <v>3531.3437477209809</v>
      </c>
      <c r="AG50" s="30">
        <f>'Données capacités de production'!AD108</f>
        <v>3507.6395795577723</v>
      </c>
      <c r="AH50" s="30">
        <f>'Données capacités de production'!AE108</f>
        <v>3483.9356235917085</v>
      </c>
      <c r="AI50" s="30">
        <f>'Données capacités de production'!AF108</f>
        <v>3460.231975535698</v>
      </c>
      <c r="AJ50" s="30">
        <f>'Données capacités de production'!AG108</f>
        <v>3438.3677590431917</v>
      </c>
      <c r="AK50" s="30">
        <f>'Données capacités de production'!AH108</f>
        <v>3421.0852427522054</v>
      </c>
      <c r="AL50" s="30">
        <f>'Données capacités de production'!AI108</f>
        <v>3404.5113187253883</v>
      </c>
      <c r="AM50" s="30">
        <f>'Données capacités de production'!AJ108</f>
        <v>3388.6460259047858</v>
      </c>
      <c r="AN50" s="30">
        <f>'Données capacités de production'!AK108</f>
        <v>3373.4893896538051</v>
      </c>
      <c r="AO50" s="30">
        <f>'Données capacités de production'!AL108</f>
        <v>3359.0414214939601</v>
      </c>
      <c r="AP50" s="30">
        <f>'Données capacités de production'!AM108</f>
        <v>3345.3021191832127</v>
      </c>
    </row>
    <row r="51" spans="1:42" x14ac:dyDescent="0.25">
      <c r="A51" s="1" t="s">
        <v>25</v>
      </c>
      <c r="B51" s="64"/>
      <c r="C51" s="13"/>
      <c r="D51" s="13"/>
      <c r="E51" s="30">
        <f>'Données capacités de production'!B107</f>
        <v>1092.2575968647216</v>
      </c>
      <c r="F51" s="30">
        <f>'Données capacités de production'!C107</f>
        <v>1088.9419213885205</v>
      </c>
      <c r="G51" s="30">
        <f>'Données capacités de production'!D107</f>
        <v>1085.4364381821342</v>
      </c>
      <c r="H51" s="30">
        <f>'Données capacités de production'!E107</f>
        <v>1081.7411477222918</v>
      </c>
      <c r="I51" s="30">
        <f>'Données capacités de production'!F107</f>
        <v>1077.8560506086933</v>
      </c>
      <c r="J51" s="30">
        <f>'Données capacités de production'!G107</f>
        <v>1073.7811475396102</v>
      </c>
      <c r="K51" s="30">
        <f>'Données capacités de production'!H107</f>
        <v>1069.5164392849808</v>
      </c>
      <c r="L51" s="30">
        <f>'Données capacités de production'!I107</f>
        <v>1065.0619266579956</v>
      </c>
      <c r="M51" s="30">
        <f>'Données capacités de production'!J107</f>
        <v>1060.4176104861776</v>
      </c>
      <c r="N51" s="30">
        <f>'Données capacités de production'!K107</f>
        <v>1055.5834915829603</v>
      </c>
      <c r="O51" s="30">
        <f>'Données capacités de production'!L107</f>
        <v>1050.5595707206987</v>
      </c>
      <c r="P51" s="30">
        <f>'Données capacités de production'!M107</f>
        <v>1045.3458486059774</v>
      </c>
      <c r="Q51" s="30">
        <f>'Données capacités de production'!N107</f>
        <v>1039.9423258579745</v>
      </c>
      <c r="R51" s="30">
        <f>'Données capacités de production'!O107</f>
        <v>1034.3490029905083</v>
      </c>
      <c r="S51" s="30">
        <f>'Données capacités de production'!P107</f>
        <v>1028.565880398244</v>
      </c>
      <c r="T51" s="30">
        <f>'Données capacités de production'!Q107</f>
        <v>1022.5929583473923</v>
      </c>
      <c r="U51" s="30">
        <f>'Données capacités de production'!R107</f>
        <v>1016.4302369710593</v>
      </c>
      <c r="V51" s="30">
        <f>'Données capacités de production'!S107</f>
        <v>1010.0777162692453</v>
      </c>
      <c r="W51" s="30">
        <f>'Données capacités de production'!T107</f>
        <v>1003.7249872341207</v>
      </c>
      <c r="X51" s="30">
        <f>'Données capacités de production'!U107</f>
        <v>997.37206006224324</v>
      </c>
      <c r="Y51" s="30">
        <f>'Données capacités de production'!V107</f>
        <v>991.01894954939553</v>
      </c>
      <c r="Z51" s="30">
        <f>'Données capacités de production'!W107</f>
        <v>984.66567461595309</v>
      </c>
      <c r="AA51" s="30">
        <f>'Données capacités de production'!X107</f>
        <v>978.31225774293625</v>
      </c>
      <c r="AB51" s="30">
        <f>'Données capacités de production'!Y107</f>
        <v>971.95872433472414</v>
      </c>
      <c r="AC51" s="30">
        <f>'Données capacités de production'!Z107</f>
        <v>965.60510202582509</v>
      </c>
      <c r="AD51" s="30">
        <f>'Données capacités de production'!AA107</f>
        <v>959.25141995003821</v>
      </c>
      <c r="AE51" s="30">
        <f>'Données capacités de production'!AB107</f>
        <v>952.8977079908077</v>
      </c>
      <c r="AF51" s="30">
        <f>'Données capacités de production'!AC107</f>
        <v>946.54399603157697</v>
      </c>
      <c r="AG51" s="30">
        <f>'Données capacités de production'!AD107</f>
        <v>940.1903132244903</v>
      </c>
      <c r="AH51" s="30">
        <f>'Données capacités de production'!AE107</f>
        <v>933.83668729488352</v>
      </c>
      <c r="AI51" s="30">
        <f>'Données capacités de production'!AF107</f>
        <v>927.48314389771576</v>
      </c>
      <c r="AJ51" s="30">
        <f>'Données capacités de production'!AG107</f>
        <v>921.62264310045623</v>
      </c>
      <c r="AK51" s="30">
        <f>'Données capacités de production'!AH107</f>
        <v>916.99022462176572</v>
      </c>
      <c r="AL51" s="30">
        <f>'Données capacités de production'!AI107</f>
        <v>912.54773773886404</v>
      </c>
      <c r="AM51" s="30">
        <f>'Données capacités de production'!AJ107</f>
        <v>908.295192889806</v>
      </c>
      <c r="AN51" s="30">
        <f>'Données capacités de production'!AK107</f>
        <v>904.23259687301811</v>
      </c>
      <c r="AO51" s="30">
        <f>'Données capacités de production'!AL107</f>
        <v>900.35995277673533</v>
      </c>
      <c r="AP51" s="30">
        <f>'Données capacités de production'!AM107</f>
        <v>896.67726000000005</v>
      </c>
    </row>
    <row r="52" spans="1:42" x14ac:dyDescent="0.25">
      <c r="A52" s="1" t="s">
        <v>221</v>
      </c>
      <c r="E52" s="147">
        <f>E51/E49</f>
        <v>0.21138180548455521</v>
      </c>
      <c r="F52" s="147">
        <f t="shared" ref="F52" si="235">F51/F49</f>
        <v>0.21138180548455521</v>
      </c>
      <c r="G52" s="147">
        <f t="shared" ref="G52" si="236">G51/G49</f>
        <v>0.21138180548455518</v>
      </c>
      <c r="H52" s="147">
        <f t="shared" ref="H52" si="237">H51/H49</f>
        <v>0.21138180548455521</v>
      </c>
      <c r="I52" s="147">
        <f t="shared" ref="I52" si="238">I51/I49</f>
        <v>0.21138180548455521</v>
      </c>
      <c r="J52" s="147">
        <f t="shared" ref="J52" si="239">J51/J49</f>
        <v>0.21138180548455521</v>
      </c>
      <c r="K52" s="147">
        <f t="shared" ref="K52" si="240">K51/K49</f>
        <v>0.21138180548455521</v>
      </c>
      <c r="L52" s="147">
        <f t="shared" ref="L52" si="241">L51/L49</f>
        <v>0.21138180548455521</v>
      </c>
      <c r="M52" s="147">
        <f t="shared" ref="M52" si="242">M51/M49</f>
        <v>0.21138180548455521</v>
      </c>
      <c r="N52" s="147">
        <f t="shared" ref="N52" si="243">N51/N49</f>
        <v>0.21138180548455518</v>
      </c>
      <c r="O52" s="147">
        <f t="shared" ref="O52" si="244">O51/O49</f>
        <v>0.21138180548455521</v>
      </c>
      <c r="P52" s="147">
        <f t="shared" ref="P52" si="245">P51/P49</f>
        <v>0.21138180548455521</v>
      </c>
      <c r="Q52" s="147">
        <f t="shared" ref="Q52" si="246">Q51/Q49</f>
        <v>0.21138180548455521</v>
      </c>
      <c r="R52" s="147">
        <f t="shared" ref="R52" si="247">R51/R49</f>
        <v>0.21138180548455521</v>
      </c>
      <c r="S52" s="147">
        <f t="shared" ref="S52" si="248">S51/S49</f>
        <v>0.21138180548455524</v>
      </c>
      <c r="T52" s="147">
        <f t="shared" ref="T52" si="249">T51/T49</f>
        <v>0.21138180548455521</v>
      </c>
      <c r="U52" s="147">
        <f t="shared" ref="U52" si="250">U51/U49</f>
        <v>0.21138180548455521</v>
      </c>
      <c r="V52" s="147">
        <f t="shared" ref="V52" si="251">V51/V49</f>
        <v>0.21138180548455521</v>
      </c>
      <c r="W52" s="147">
        <f t="shared" ref="W52" si="252">W51/W49</f>
        <v>0.21138180548455521</v>
      </c>
      <c r="X52" s="147">
        <f t="shared" ref="X52" si="253">X51/X49</f>
        <v>0.21138180548455521</v>
      </c>
      <c r="Y52" s="147">
        <f t="shared" ref="Y52" si="254">Y51/Y49</f>
        <v>0.21138180548455521</v>
      </c>
      <c r="Z52" s="147">
        <f t="shared" ref="Z52" si="255">Z51/Z49</f>
        <v>0.21138180548455521</v>
      </c>
      <c r="AA52" s="147">
        <f t="shared" ref="AA52" si="256">AA51/AA49</f>
        <v>0.21138180548455521</v>
      </c>
      <c r="AB52" s="147">
        <f t="shared" ref="AB52" si="257">AB51/AB49</f>
        <v>0.21138180548455521</v>
      </c>
      <c r="AC52" s="147">
        <f t="shared" ref="AC52" si="258">AC51/AC49</f>
        <v>0.21138180548455521</v>
      </c>
      <c r="AD52" s="147">
        <f t="shared" ref="AD52" si="259">AD51/AD49</f>
        <v>0.21138180548455521</v>
      </c>
      <c r="AE52" s="147">
        <f t="shared" ref="AE52" si="260">AE51/AE49</f>
        <v>0.21138180548455521</v>
      </c>
      <c r="AF52" s="147">
        <f t="shared" ref="AF52" si="261">AF51/AF49</f>
        <v>0.21138180548455521</v>
      </c>
      <c r="AG52" s="147">
        <f t="shared" ref="AG52" si="262">AG51/AG49</f>
        <v>0.21138180548455521</v>
      </c>
      <c r="AH52" s="147">
        <f t="shared" ref="AH52" si="263">AH51/AH49</f>
        <v>0.21138180548455521</v>
      </c>
      <c r="AI52" s="147">
        <f t="shared" ref="AI52" si="264">AI51/AI49</f>
        <v>0.21138180548455521</v>
      </c>
      <c r="AJ52" s="147">
        <f t="shared" ref="AJ52" si="265">AJ51/AJ49</f>
        <v>0.21138180548455521</v>
      </c>
      <c r="AK52" s="147">
        <f t="shared" ref="AK52" si="266">AK51/AK49</f>
        <v>0.21138180548455521</v>
      </c>
      <c r="AL52" s="147">
        <f t="shared" ref="AL52" si="267">AL51/AL49</f>
        <v>0.21138180548455521</v>
      </c>
      <c r="AM52" s="147">
        <f t="shared" ref="AM52" si="268">AM51/AM49</f>
        <v>0.21138180548455521</v>
      </c>
      <c r="AN52" s="147">
        <f t="shared" ref="AN52" si="269">AN51/AN49</f>
        <v>0.21138180548455521</v>
      </c>
      <c r="AO52" s="147">
        <f t="shared" ref="AO52" si="270">AO51/AO49</f>
        <v>0.21138180548455521</v>
      </c>
      <c r="AP52" s="147">
        <f t="shared" ref="AP52" si="271">AP51/AP49</f>
        <v>0.21138180548455521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R51"/>
  <sheetViews>
    <sheetView topLeftCell="Z19" workbookViewId="0">
      <selection activeCell="AP37" sqref="AP37"/>
    </sheetView>
  </sheetViews>
  <sheetFormatPr baseColWidth="10" defaultColWidth="9.140625" defaultRowHeight="15" x14ac:dyDescent="0.25"/>
  <cols>
    <col min="1" max="1" width="45.140625" bestFit="1" customWidth="1"/>
    <col min="2" max="41" width="8.7109375" customWidth="1"/>
    <col min="42" max="42" width="7.85546875" bestFit="1" customWidth="1"/>
    <col min="44" max="44" width="27.28515625" bestFit="1" customWidth="1"/>
  </cols>
  <sheetData>
    <row r="1" spans="1:44" x14ac:dyDescent="0.25">
      <c r="A1" s="3" t="s">
        <v>78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  <c r="P1" s="3">
        <v>2024</v>
      </c>
      <c r="Q1" s="3">
        <v>2025</v>
      </c>
      <c r="R1" s="3">
        <v>2026</v>
      </c>
      <c r="S1" s="3">
        <v>2027</v>
      </c>
      <c r="T1" s="3">
        <v>2028</v>
      </c>
      <c r="U1" s="3">
        <v>2029</v>
      </c>
      <c r="V1" s="3">
        <v>2030</v>
      </c>
      <c r="W1" s="3">
        <v>2031</v>
      </c>
      <c r="X1" s="3">
        <v>2032</v>
      </c>
      <c r="Y1" s="3">
        <v>2033</v>
      </c>
      <c r="Z1" s="3">
        <v>2034</v>
      </c>
      <c r="AA1" s="3">
        <v>2035</v>
      </c>
      <c r="AB1" s="3">
        <v>2036</v>
      </c>
      <c r="AC1" s="3">
        <v>2037</v>
      </c>
      <c r="AD1" s="3">
        <v>2038</v>
      </c>
      <c r="AE1" s="3">
        <v>2039</v>
      </c>
      <c r="AF1" s="3">
        <v>2040</v>
      </c>
      <c r="AG1" s="3">
        <v>2041</v>
      </c>
      <c r="AH1" s="3">
        <v>2042</v>
      </c>
      <c r="AI1" s="3">
        <v>2043</v>
      </c>
      <c r="AJ1" s="3">
        <v>2044</v>
      </c>
      <c r="AK1" s="3">
        <v>2045</v>
      </c>
      <c r="AL1" s="3">
        <v>2046</v>
      </c>
      <c r="AM1" s="3">
        <v>2047</v>
      </c>
      <c r="AN1" s="3">
        <v>2048</v>
      </c>
      <c r="AO1" s="3">
        <v>2049</v>
      </c>
      <c r="AP1" s="3">
        <v>2050</v>
      </c>
      <c r="AR1" t="s">
        <v>116</v>
      </c>
    </row>
    <row r="2" spans="1:44" x14ac:dyDescent="0.25">
      <c r="A2" s="36" t="s">
        <v>79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>
        <v>0.4</v>
      </c>
      <c r="Q2" s="37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7">
        <v>0.8</v>
      </c>
      <c r="AI2" s="36"/>
      <c r="AJ2" s="36"/>
      <c r="AK2" s="36"/>
      <c r="AL2" s="36"/>
      <c r="AM2" s="36"/>
      <c r="AN2" s="37">
        <v>0.95</v>
      </c>
      <c r="AO2" s="36"/>
      <c r="AP2" s="37">
        <v>1</v>
      </c>
    </row>
    <row r="3" spans="1:44" s="26" customForma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19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9"/>
      <c r="AI3" s="118"/>
      <c r="AJ3" s="118"/>
      <c r="AK3" s="118"/>
      <c r="AL3" s="118"/>
      <c r="AM3" s="118"/>
      <c r="AN3" s="119"/>
      <c r="AO3" s="118"/>
      <c r="AP3" s="119"/>
    </row>
    <row r="4" spans="1:44" s="26" customFormat="1" x14ac:dyDescent="0.25">
      <c r="A4" s="118" t="s">
        <v>201</v>
      </c>
      <c r="B4" s="118"/>
      <c r="C4" s="118"/>
      <c r="D4" s="118"/>
      <c r="E4" s="120">
        <f>E9</f>
        <v>12760</v>
      </c>
      <c r="F4" s="120">
        <f t="shared" ref="F4:AP4" si="0">F9</f>
        <v>12740.354795417366</v>
      </c>
      <c r="G4" s="120">
        <f t="shared" si="0"/>
        <v>12720.709590834735</v>
      </c>
      <c r="H4" s="120">
        <f t="shared" si="0"/>
        <v>12701.064386252101</v>
      </c>
      <c r="I4" s="120">
        <f t="shared" si="0"/>
        <v>12681.419181669469</v>
      </c>
      <c r="J4" s="120">
        <f t="shared" si="0"/>
        <v>12661.773977086836</v>
      </c>
      <c r="K4" s="120">
        <f t="shared" si="0"/>
        <v>12642.128772504202</v>
      </c>
      <c r="L4" s="120">
        <f t="shared" si="0"/>
        <v>12622.483567921568</v>
      </c>
      <c r="M4" s="120">
        <f t="shared" si="0"/>
        <v>12602.838363338937</v>
      </c>
      <c r="N4" s="120">
        <f t="shared" si="0"/>
        <v>12583.193158756303</v>
      </c>
      <c r="O4" s="120">
        <f t="shared" si="0"/>
        <v>12563.547954173671</v>
      </c>
      <c r="P4" s="120">
        <f t="shared" si="0"/>
        <v>12543.902749591038</v>
      </c>
      <c r="Q4" s="120">
        <f t="shared" si="0"/>
        <v>12567.425779703544</v>
      </c>
      <c r="R4" s="120">
        <f t="shared" si="0"/>
        <v>12590.948809816053</v>
      </c>
      <c r="S4" s="120">
        <f t="shared" si="0"/>
        <v>12614.471839928559</v>
      </c>
      <c r="T4" s="120">
        <f t="shared" si="0"/>
        <v>12637.994870041066</v>
      </c>
      <c r="U4" s="120">
        <f t="shared" si="0"/>
        <v>12661.517900153573</v>
      </c>
      <c r="V4" s="120">
        <f t="shared" si="0"/>
        <v>12685.040930266081</v>
      </c>
      <c r="W4" s="120">
        <f t="shared" si="0"/>
        <v>12708.563960378588</v>
      </c>
      <c r="X4" s="120">
        <f t="shared" si="0"/>
        <v>12732.086990491096</v>
      </c>
      <c r="Y4" s="120">
        <f t="shared" si="0"/>
        <v>12755.610020603603</v>
      </c>
      <c r="Z4" s="120">
        <f t="shared" si="0"/>
        <v>12779.133050716109</v>
      </c>
      <c r="AA4" s="120">
        <f t="shared" si="0"/>
        <v>12802.656080828618</v>
      </c>
      <c r="AB4" s="120">
        <f t="shared" si="0"/>
        <v>12826.179110941124</v>
      </c>
      <c r="AC4" s="120">
        <f t="shared" si="0"/>
        <v>12849.702141053631</v>
      </c>
      <c r="AD4" s="120">
        <f t="shared" si="0"/>
        <v>12873.225171166139</v>
      </c>
      <c r="AE4" s="120">
        <f t="shared" si="0"/>
        <v>12896.748201278646</v>
      </c>
      <c r="AF4" s="120">
        <f t="shared" si="0"/>
        <v>12920.271231391152</v>
      </c>
      <c r="AG4" s="120">
        <f t="shared" si="0"/>
        <v>12943.794261503661</v>
      </c>
      <c r="AH4" s="120">
        <f t="shared" si="0"/>
        <v>12967.317291616167</v>
      </c>
      <c r="AI4" s="120">
        <f t="shared" si="0"/>
        <v>13015.704037534131</v>
      </c>
      <c r="AJ4" s="120">
        <f t="shared" si="0"/>
        <v>13064.090783452093</v>
      </c>
      <c r="AK4" s="120">
        <f t="shared" si="0"/>
        <v>13112.477529370057</v>
      </c>
      <c r="AL4" s="120">
        <f t="shared" si="0"/>
        <v>13160.864275288019</v>
      </c>
      <c r="AM4" s="120">
        <f t="shared" si="0"/>
        <v>13209.251021205982</v>
      </c>
      <c r="AN4" s="120">
        <f t="shared" si="0"/>
        <v>13257.637767123946</v>
      </c>
      <c r="AO4" s="120">
        <f t="shared" si="0"/>
        <v>13308.211522494781</v>
      </c>
      <c r="AP4" s="120">
        <f t="shared" si="0"/>
        <v>13358.78527786562</v>
      </c>
    </row>
    <row r="5" spans="1:44" s="26" customFormat="1" x14ac:dyDescent="0.25">
      <c r="A5" s="118" t="s">
        <v>202</v>
      </c>
      <c r="B5" s="118"/>
      <c r="C5" s="118"/>
      <c r="D5" s="118"/>
      <c r="E5" s="120">
        <f>E20</f>
        <v>1.3001748251748251</v>
      </c>
      <c r="F5" s="120">
        <f>F20</f>
        <v>1.7335664335664336</v>
      </c>
      <c r="G5" s="120">
        <f t="shared" ref="G5:AP5" si="1">G20</f>
        <v>5.5241008991008993</v>
      </c>
      <c r="H5" s="120">
        <f t="shared" si="1"/>
        <v>22.743206793206792</v>
      </c>
      <c r="I5" s="120">
        <f t="shared" si="1"/>
        <v>53.390884115884113</v>
      </c>
      <c r="J5" s="120">
        <f t="shared" si="1"/>
        <v>107.53856143856143</v>
      </c>
      <c r="K5" s="120">
        <f t="shared" si="1"/>
        <v>161.68623876123874</v>
      </c>
      <c r="L5" s="120">
        <f t="shared" si="1"/>
        <v>212.47677322677322</v>
      </c>
      <c r="M5" s="120">
        <f t="shared" si="1"/>
        <v>239.7673076923077</v>
      </c>
      <c r="N5" s="120">
        <f t="shared" si="1"/>
        <v>240.20069930069931</v>
      </c>
      <c r="O5" s="120">
        <f t="shared" si="1"/>
        <v>240.6340909090909</v>
      </c>
      <c r="P5" s="120">
        <f t="shared" si="1"/>
        <v>241.06748251748252</v>
      </c>
      <c r="Q5" s="120">
        <f t="shared" si="1"/>
        <v>241.50087412587413</v>
      </c>
      <c r="R5" s="120">
        <f t="shared" si="1"/>
        <v>241.93426573426572</v>
      </c>
      <c r="S5" s="120">
        <f t="shared" si="1"/>
        <v>242.36765734265734</v>
      </c>
      <c r="T5" s="120">
        <f t="shared" si="1"/>
        <v>242.80104895104895</v>
      </c>
      <c r="U5" s="120">
        <f t="shared" si="1"/>
        <v>243.23444055944057</v>
      </c>
      <c r="V5" s="120">
        <f t="shared" si="1"/>
        <v>243.66783216783216</v>
      </c>
      <c r="W5" s="120">
        <f t="shared" si="1"/>
        <v>244.90944055944055</v>
      </c>
      <c r="X5" s="120">
        <f t="shared" si="1"/>
        <v>246.15104895104895</v>
      </c>
      <c r="Y5" s="120">
        <f t="shared" si="1"/>
        <v>247.39265734265734</v>
      </c>
      <c r="Z5" s="120">
        <f t="shared" si="1"/>
        <v>248.63426573426574</v>
      </c>
      <c r="AA5" s="120">
        <f t="shared" si="1"/>
        <v>306.51873126873124</v>
      </c>
      <c r="AB5" s="120">
        <f t="shared" si="1"/>
        <v>350.97462537462536</v>
      </c>
      <c r="AC5" s="120">
        <f t="shared" si="1"/>
        <v>382.00194805194803</v>
      </c>
      <c r="AD5" s="120">
        <f t="shared" si="1"/>
        <v>389.52927072927076</v>
      </c>
      <c r="AE5" s="120">
        <f t="shared" si="1"/>
        <v>397.05659340659344</v>
      </c>
      <c r="AF5" s="120">
        <f t="shared" si="1"/>
        <v>407.941058941059</v>
      </c>
      <c r="AG5" s="120">
        <f t="shared" si="1"/>
        <v>442.3255244755245</v>
      </c>
      <c r="AH5" s="120">
        <f t="shared" si="1"/>
        <v>443.56713286713284</v>
      </c>
      <c r="AI5" s="120">
        <f t="shared" si="1"/>
        <v>444.80874125874124</v>
      </c>
      <c r="AJ5" s="120">
        <f t="shared" si="1"/>
        <v>446.05034965034963</v>
      </c>
      <c r="AK5" s="120">
        <f t="shared" si="1"/>
        <v>447.29195804195803</v>
      </c>
      <c r="AL5" s="120">
        <f t="shared" si="1"/>
        <v>448.53356643356642</v>
      </c>
      <c r="AM5" s="120">
        <f t="shared" si="1"/>
        <v>449.77517482517482</v>
      </c>
      <c r="AN5" s="120">
        <f t="shared" si="1"/>
        <v>451.01678321678321</v>
      </c>
      <c r="AO5" s="120">
        <f t="shared" si="1"/>
        <v>452.25839160839161</v>
      </c>
      <c r="AP5" s="120">
        <f t="shared" si="1"/>
        <v>453.5</v>
      </c>
    </row>
    <row r="6" spans="1:44" s="26" customFormat="1" x14ac:dyDescent="0.25">
      <c r="A6" s="118" t="s">
        <v>203</v>
      </c>
      <c r="B6" s="118"/>
      <c r="C6" s="118"/>
      <c r="D6" s="118"/>
      <c r="E6" s="120">
        <f>E30</f>
        <v>841.95855728141487</v>
      </c>
      <c r="F6" s="120">
        <f t="shared" ref="F6:AP6" si="2">F30</f>
        <v>858.9785082006216</v>
      </c>
      <c r="G6" s="120">
        <f t="shared" si="2"/>
        <v>875.88736180652074</v>
      </c>
      <c r="H6" s="120">
        <f t="shared" si="2"/>
        <v>892.68511809911229</v>
      </c>
      <c r="I6" s="120">
        <f t="shared" si="2"/>
        <v>909.37177707839646</v>
      </c>
      <c r="J6" s="120">
        <f t="shared" si="2"/>
        <v>925.94733874437316</v>
      </c>
      <c r="K6" s="120">
        <f t="shared" si="2"/>
        <v>942.41180309704214</v>
      </c>
      <c r="L6" s="120">
        <f t="shared" si="2"/>
        <v>958.76517013640375</v>
      </c>
      <c r="M6" s="120">
        <f t="shared" si="2"/>
        <v>975.007439862458</v>
      </c>
      <c r="N6" s="120">
        <f t="shared" si="2"/>
        <v>991.13861227520465</v>
      </c>
      <c r="O6" s="120">
        <f t="shared" si="2"/>
        <v>1007.1586873746437</v>
      </c>
      <c r="P6" s="120">
        <f t="shared" si="2"/>
        <v>1023.0676651607756</v>
      </c>
      <c r="Q6" s="120">
        <f t="shared" si="2"/>
        <v>1027.3512190097258</v>
      </c>
      <c r="R6" s="120">
        <f t="shared" si="2"/>
        <v>1031.4519508354392</v>
      </c>
      <c r="S6" s="120">
        <f t="shared" si="2"/>
        <v>1035.369860637916</v>
      </c>
      <c r="T6" s="120">
        <f t="shared" si="2"/>
        <v>1039.1049484171558</v>
      </c>
      <c r="U6" s="120">
        <f t="shared" si="2"/>
        <v>1042.6572141731592</v>
      </c>
      <c r="V6" s="120">
        <f t="shared" si="2"/>
        <v>1046.0266579059257</v>
      </c>
      <c r="W6" s="120">
        <f t="shared" si="2"/>
        <v>1067.2431395933327</v>
      </c>
      <c r="X6" s="120">
        <f t="shared" si="2"/>
        <v>1088.3745609288758</v>
      </c>
      <c r="Y6" s="120">
        <f t="shared" si="2"/>
        <v>1109.4209219125553</v>
      </c>
      <c r="Z6" s="120">
        <f t="shared" si="2"/>
        <v>1129.1289709905525</v>
      </c>
      <c r="AA6" s="120">
        <f t="shared" si="2"/>
        <v>1148.7894804492023</v>
      </c>
      <c r="AB6" s="120">
        <f t="shared" si="2"/>
        <v>1168.402450288505</v>
      </c>
      <c r="AC6" s="120">
        <f t="shared" si="2"/>
        <v>1187.9678805084604</v>
      </c>
      <c r="AD6" s="120">
        <f t="shared" si="2"/>
        <v>1207.4857711090685</v>
      </c>
      <c r="AE6" s="120">
        <f t="shared" si="2"/>
        <v>1226.9561220903292</v>
      </c>
      <c r="AF6" s="120">
        <f t="shared" si="2"/>
        <v>1246.3789334522426</v>
      </c>
      <c r="AG6" s="120">
        <f t="shared" si="2"/>
        <v>1265.7542051948087</v>
      </c>
      <c r="AH6" s="120">
        <f t="shared" si="2"/>
        <v>1669.4924029046715</v>
      </c>
      <c r="AI6" s="120">
        <f t="shared" si="2"/>
        <v>2083.0423801325692</v>
      </c>
      <c r="AJ6" s="120">
        <f t="shared" si="2"/>
        <v>2496.5110238390894</v>
      </c>
      <c r="AK6" s="120">
        <f t="shared" si="2"/>
        <v>2909.3569938305436</v>
      </c>
      <c r="AL6" s="120">
        <f t="shared" si="2"/>
        <v>3322.1482282523334</v>
      </c>
      <c r="AM6" s="120">
        <f t="shared" si="2"/>
        <v>3734.8855437776765</v>
      </c>
      <c r="AN6" s="120">
        <f t="shared" si="2"/>
        <v>4147.5694894385597</v>
      </c>
      <c r="AO6" s="120">
        <f t="shared" si="2"/>
        <v>4570.5373401013003</v>
      </c>
      <c r="AP6" s="120">
        <f t="shared" si="2"/>
        <v>4993.4104068049246</v>
      </c>
    </row>
    <row r="7" spans="1:44" s="26" customFormat="1" x14ac:dyDescent="0.25">
      <c r="A7" s="145" t="s">
        <v>211</v>
      </c>
      <c r="B7" s="118"/>
      <c r="C7" s="118"/>
      <c r="D7" s="118"/>
      <c r="E7" s="146">
        <f>E35</f>
        <v>0</v>
      </c>
      <c r="F7" s="146">
        <f t="shared" ref="F7:AP7" si="3">F35</f>
        <v>0</v>
      </c>
      <c r="G7" s="146">
        <f t="shared" si="3"/>
        <v>0</v>
      </c>
      <c r="H7" s="146">
        <f t="shared" si="3"/>
        <v>0</v>
      </c>
      <c r="I7" s="146">
        <f t="shared" si="3"/>
        <v>0</v>
      </c>
      <c r="J7" s="146">
        <f t="shared" si="3"/>
        <v>0</v>
      </c>
      <c r="K7" s="146">
        <f t="shared" si="3"/>
        <v>0</v>
      </c>
      <c r="L7" s="146">
        <f t="shared" si="3"/>
        <v>0</v>
      </c>
      <c r="M7" s="146">
        <f t="shared" si="3"/>
        <v>0</v>
      </c>
      <c r="N7" s="146">
        <f t="shared" si="3"/>
        <v>0</v>
      </c>
      <c r="O7" s="146">
        <f t="shared" si="3"/>
        <v>0</v>
      </c>
      <c r="P7" s="146">
        <f t="shared" si="3"/>
        <v>0</v>
      </c>
      <c r="Q7" s="146">
        <f t="shared" si="3"/>
        <v>0</v>
      </c>
      <c r="R7" s="146">
        <f t="shared" si="3"/>
        <v>0</v>
      </c>
      <c r="S7" s="146">
        <f t="shared" si="3"/>
        <v>0</v>
      </c>
      <c r="T7" s="146">
        <f t="shared" si="3"/>
        <v>0</v>
      </c>
      <c r="U7" s="146">
        <f t="shared" si="3"/>
        <v>0</v>
      </c>
      <c r="V7" s="146">
        <f t="shared" si="3"/>
        <v>0</v>
      </c>
      <c r="W7" s="146">
        <f t="shared" si="3"/>
        <v>0</v>
      </c>
      <c r="X7" s="146">
        <f t="shared" si="3"/>
        <v>0</v>
      </c>
      <c r="Y7" s="146">
        <f t="shared" si="3"/>
        <v>0</v>
      </c>
      <c r="Z7" s="146">
        <f t="shared" si="3"/>
        <v>0</v>
      </c>
      <c r="AA7" s="146">
        <f t="shared" si="3"/>
        <v>0</v>
      </c>
      <c r="AB7" s="146">
        <f t="shared" si="3"/>
        <v>0</v>
      </c>
      <c r="AC7" s="146">
        <f t="shared" si="3"/>
        <v>0</v>
      </c>
      <c r="AD7" s="146">
        <f t="shared" si="3"/>
        <v>0</v>
      </c>
      <c r="AE7" s="146">
        <f t="shared" si="3"/>
        <v>0</v>
      </c>
      <c r="AF7" s="146">
        <f t="shared" si="3"/>
        <v>0</v>
      </c>
      <c r="AG7" s="146">
        <f t="shared" si="3"/>
        <v>0</v>
      </c>
      <c r="AH7" s="146">
        <f t="shared" si="3"/>
        <v>384.41046558664391</v>
      </c>
      <c r="AI7" s="146">
        <f t="shared" si="3"/>
        <v>768.82634950031388</v>
      </c>
      <c r="AJ7" s="146">
        <f t="shared" si="3"/>
        <v>1153.2491621980089</v>
      </c>
      <c r="AK7" s="146">
        <f t="shared" si="3"/>
        <v>1537.6802076072559</v>
      </c>
      <c r="AL7" s="146">
        <f t="shared" si="3"/>
        <v>1922.1205562712589</v>
      </c>
      <c r="AM7" s="146">
        <f t="shared" si="3"/>
        <v>2306.5710248632354</v>
      </c>
      <c r="AN7" s="146">
        <f t="shared" si="3"/>
        <v>2691.0321624151729</v>
      </c>
      <c r="AO7" s="146">
        <f t="shared" si="3"/>
        <v>3075.5042434334837</v>
      </c>
      <c r="AP7" s="146">
        <f t="shared" si="3"/>
        <v>3459.9872679012424</v>
      </c>
    </row>
    <row r="8" spans="1:44" s="26" customFormat="1" x14ac:dyDescent="0.25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  <c r="Q8" s="119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/>
      <c r="AI8" s="118"/>
      <c r="AJ8" s="118"/>
      <c r="AK8" s="118"/>
      <c r="AL8" s="118"/>
      <c r="AM8" s="118"/>
      <c r="AN8" s="119"/>
      <c r="AO8" s="118"/>
      <c r="AP8" s="119"/>
    </row>
    <row r="9" spans="1:44" x14ac:dyDescent="0.25">
      <c r="A9" s="50" t="s">
        <v>115</v>
      </c>
      <c r="B9" s="51"/>
      <c r="C9" s="51"/>
      <c r="D9" s="51"/>
      <c r="E9" s="51">
        <f>E10+E15</f>
        <v>12760</v>
      </c>
      <c r="F9" s="51">
        <f t="shared" ref="F9:AO9" si="4">F10+F15</f>
        <v>12740.354795417366</v>
      </c>
      <c r="G9" s="51">
        <f t="shared" si="4"/>
        <v>12720.709590834735</v>
      </c>
      <c r="H9" s="51">
        <f t="shared" si="4"/>
        <v>12701.064386252101</v>
      </c>
      <c r="I9" s="51">
        <f t="shared" si="4"/>
        <v>12681.419181669469</v>
      </c>
      <c r="J9" s="51">
        <f t="shared" si="4"/>
        <v>12661.773977086836</v>
      </c>
      <c r="K9" s="51">
        <f t="shared" si="4"/>
        <v>12642.128772504202</v>
      </c>
      <c r="L9" s="51">
        <f t="shared" si="4"/>
        <v>12622.483567921568</v>
      </c>
      <c r="M9" s="51">
        <f t="shared" si="4"/>
        <v>12602.838363338937</v>
      </c>
      <c r="N9" s="51">
        <f t="shared" si="4"/>
        <v>12583.193158756303</v>
      </c>
      <c r="O9" s="51">
        <f t="shared" si="4"/>
        <v>12563.547954173671</v>
      </c>
      <c r="P9" s="51">
        <f t="shared" si="4"/>
        <v>12543.902749591038</v>
      </c>
      <c r="Q9" s="51">
        <f t="shared" si="4"/>
        <v>12567.425779703544</v>
      </c>
      <c r="R9" s="51">
        <f t="shared" si="4"/>
        <v>12590.948809816053</v>
      </c>
      <c r="S9" s="51">
        <f t="shared" si="4"/>
        <v>12614.471839928559</v>
      </c>
      <c r="T9" s="51">
        <f t="shared" si="4"/>
        <v>12637.994870041066</v>
      </c>
      <c r="U9" s="51">
        <f t="shared" si="4"/>
        <v>12661.517900153573</v>
      </c>
      <c r="V9" s="51">
        <f t="shared" si="4"/>
        <v>12685.040930266081</v>
      </c>
      <c r="W9" s="51">
        <f t="shared" si="4"/>
        <v>12708.563960378588</v>
      </c>
      <c r="X9" s="51">
        <f t="shared" si="4"/>
        <v>12732.086990491096</v>
      </c>
      <c r="Y9" s="51">
        <f t="shared" si="4"/>
        <v>12755.610020603603</v>
      </c>
      <c r="Z9" s="51">
        <f t="shared" si="4"/>
        <v>12779.133050716109</v>
      </c>
      <c r="AA9" s="51">
        <f t="shared" si="4"/>
        <v>12802.656080828618</v>
      </c>
      <c r="AB9" s="51">
        <f t="shared" si="4"/>
        <v>12826.179110941124</v>
      </c>
      <c r="AC9" s="51">
        <f t="shared" si="4"/>
        <v>12849.702141053631</v>
      </c>
      <c r="AD9" s="51">
        <f t="shared" si="4"/>
        <v>12873.225171166139</v>
      </c>
      <c r="AE9" s="51">
        <f t="shared" si="4"/>
        <v>12896.748201278646</v>
      </c>
      <c r="AF9" s="51">
        <f t="shared" si="4"/>
        <v>12920.271231391152</v>
      </c>
      <c r="AG9" s="51">
        <f t="shared" si="4"/>
        <v>12943.794261503661</v>
      </c>
      <c r="AH9" s="51">
        <f t="shared" si="4"/>
        <v>12967.317291616167</v>
      </c>
      <c r="AI9" s="51">
        <f t="shared" si="4"/>
        <v>13015.704037534131</v>
      </c>
      <c r="AJ9" s="51">
        <f t="shared" si="4"/>
        <v>13064.090783452093</v>
      </c>
      <c r="AK9" s="51">
        <f t="shared" si="4"/>
        <v>13112.477529370057</v>
      </c>
      <c r="AL9" s="51">
        <f t="shared" si="4"/>
        <v>13160.864275288019</v>
      </c>
      <c r="AM9" s="51">
        <f t="shared" si="4"/>
        <v>13209.251021205982</v>
      </c>
      <c r="AN9" s="51">
        <f t="shared" si="4"/>
        <v>13257.637767123946</v>
      </c>
      <c r="AO9" s="51">
        <f t="shared" si="4"/>
        <v>13308.211522494781</v>
      </c>
      <c r="AP9" s="51">
        <f>AP10+AP15</f>
        <v>13358.78527786562</v>
      </c>
    </row>
    <row r="10" spans="1:44" x14ac:dyDescent="0.25">
      <c r="A10" s="20" t="s">
        <v>32</v>
      </c>
      <c r="B10" s="21"/>
      <c r="C10" s="21"/>
      <c r="D10" s="21"/>
      <c r="E10" s="32">
        <v>11117.5</v>
      </c>
      <c r="F10" s="32">
        <v>11117.5</v>
      </c>
      <c r="G10" s="32">
        <v>11117.5</v>
      </c>
      <c r="H10" s="32">
        <v>11117.5</v>
      </c>
      <c r="I10" s="32">
        <v>11117.5</v>
      </c>
      <c r="J10" s="32">
        <v>11117.5</v>
      </c>
      <c r="K10" s="32">
        <v>11117.5</v>
      </c>
      <c r="L10" s="32">
        <v>11117.5</v>
      </c>
      <c r="M10" s="32">
        <v>11117.5</v>
      </c>
      <c r="N10" s="32">
        <v>11117.5</v>
      </c>
      <c r="O10" s="32">
        <v>11117.5</v>
      </c>
      <c r="P10" s="32">
        <v>11117.5</v>
      </c>
      <c r="Q10" s="32">
        <v>11117.5</v>
      </c>
      <c r="R10" s="32">
        <v>11117.5</v>
      </c>
      <c r="S10" s="32">
        <v>11117.5</v>
      </c>
      <c r="T10" s="32">
        <v>11117.5</v>
      </c>
      <c r="U10" s="32">
        <v>11117.5</v>
      </c>
      <c r="V10" s="32">
        <v>11117.5</v>
      </c>
      <c r="W10" s="32">
        <v>11117.5</v>
      </c>
      <c r="X10" s="32">
        <v>11117.5</v>
      </c>
      <c r="Y10" s="32">
        <v>11117.5</v>
      </c>
      <c r="Z10" s="32">
        <v>11117.5</v>
      </c>
      <c r="AA10" s="32">
        <v>11117.5</v>
      </c>
      <c r="AB10" s="32">
        <v>11117.5</v>
      </c>
      <c r="AC10" s="32">
        <v>11117.5</v>
      </c>
      <c r="AD10" s="32">
        <v>11117.5</v>
      </c>
      <c r="AE10" s="32">
        <v>11117.5</v>
      </c>
      <c r="AF10" s="32">
        <v>11117.5</v>
      </c>
      <c r="AG10" s="32">
        <v>11117.5</v>
      </c>
      <c r="AH10" s="32">
        <v>11117.5</v>
      </c>
      <c r="AI10" s="32">
        <v>11117.5</v>
      </c>
      <c r="AJ10" s="32">
        <v>11117.5</v>
      </c>
      <c r="AK10" s="32">
        <v>11117.5</v>
      </c>
      <c r="AL10" s="32">
        <v>11117.5</v>
      </c>
      <c r="AM10" s="32">
        <v>11117.5</v>
      </c>
      <c r="AN10" s="32">
        <v>11117.5</v>
      </c>
      <c r="AO10" s="32">
        <v>11117.5</v>
      </c>
      <c r="AP10" s="32">
        <v>11117.5</v>
      </c>
    </row>
    <row r="11" spans="1:44" x14ac:dyDescent="0.25">
      <c r="A11" s="1" t="s">
        <v>26</v>
      </c>
      <c r="B11" s="1"/>
      <c r="C11" s="1"/>
      <c r="D11" s="1"/>
      <c r="E11" s="33">
        <f>'Structure de coûts RTE'!C23+'Structure de coûts RTE'!B23/2</f>
        <v>2550</v>
      </c>
      <c r="F11" s="25">
        <f>E11</f>
        <v>2550</v>
      </c>
      <c r="G11" s="25">
        <f t="shared" ref="G11:AP11" si="5">F11</f>
        <v>2550</v>
      </c>
      <c r="H11" s="25">
        <f t="shared" si="5"/>
        <v>2550</v>
      </c>
      <c r="I11" s="25">
        <f t="shared" si="5"/>
        <v>2550</v>
      </c>
      <c r="J11" s="25">
        <f t="shared" si="5"/>
        <v>2550</v>
      </c>
      <c r="K11" s="25">
        <f t="shared" si="5"/>
        <v>2550</v>
      </c>
      <c r="L11" s="25">
        <f t="shared" si="5"/>
        <v>2550</v>
      </c>
      <c r="M11" s="25">
        <f t="shared" si="5"/>
        <v>2550</v>
      </c>
      <c r="N11" s="25">
        <f t="shared" si="5"/>
        <v>2550</v>
      </c>
      <c r="O11" s="25">
        <f t="shared" si="5"/>
        <v>2550</v>
      </c>
      <c r="P11" s="38">
        <f t="shared" si="5"/>
        <v>2550</v>
      </c>
      <c r="Q11" s="25">
        <f t="shared" si="5"/>
        <v>2550</v>
      </c>
      <c r="R11" s="25">
        <f t="shared" si="5"/>
        <v>2550</v>
      </c>
      <c r="S11" s="25">
        <f t="shared" si="5"/>
        <v>2550</v>
      </c>
      <c r="T11" s="25">
        <f t="shared" si="5"/>
        <v>2550</v>
      </c>
      <c r="U11" s="25">
        <f t="shared" si="5"/>
        <v>2550</v>
      </c>
      <c r="V11" s="25">
        <f t="shared" si="5"/>
        <v>2550</v>
      </c>
      <c r="W11" s="25">
        <f t="shared" si="5"/>
        <v>2550</v>
      </c>
      <c r="X11" s="25">
        <f t="shared" si="5"/>
        <v>2550</v>
      </c>
      <c r="Y11" s="25">
        <f t="shared" si="5"/>
        <v>2550</v>
      </c>
      <c r="Z11" s="25">
        <f t="shared" si="5"/>
        <v>2550</v>
      </c>
      <c r="AA11" s="25">
        <f t="shared" si="5"/>
        <v>2550</v>
      </c>
      <c r="AB11" s="25">
        <f t="shared" si="5"/>
        <v>2550</v>
      </c>
      <c r="AC11" s="25">
        <f t="shared" si="5"/>
        <v>2550</v>
      </c>
      <c r="AD11" s="25">
        <f t="shared" si="5"/>
        <v>2550</v>
      </c>
      <c r="AE11" s="25">
        <f t="shared" si="5"/>
        <v>2550</v>
      </c>
      <c r="AF11" s="25">
        <f t="shared" si="5"/>
        <v>2550</v>
      </c>
      <c r="AG11" s="25">
        <f t="shared" si="5"/>
        <v>2550</v>
      </c>
      <c r="AH11" s="38">
        <f t="shared" si="5"/>
        <v>2550</v>
      </c>
      <c r="AI11" s="25">
        <f t="shared" si="5"/>
        <v>2550</v>
      </c>
      <c r="AJ11" s="25">
        <f t="shared" si="5"/>
        <v>2550</v>
      </c>
      <c r="AK11" s="25">
        <f t="shared" si="5"/>
        <v>2550</v>
      </c>
      <c r="AL11" s="25">
        <f t="shared" si="5"/>
        <v>2550</v>
      </c>
      <c r="AM11" s="25">
        <f t="shared" si="5"/>
        <v>2550</v>
      </c>
      <c r="AN11" s="38">
        <f t="shared" si="5"/>
        <v>2550</v>
      </c>
      <c r="AO11" s="25">
        <f t="shared" si="5"/>
        <v>2550</v>
      </c>
      <c r="AP11" s="25">
        <f t="shared" si="5"/>
        <v>2550</v>
      </c>
    </row>
    <row r="12" spans="1:44" x14ac:dyDescent="0.25">
      <c r="A12" s="1" t="s">
        <v>54</v>
      </c>
      <c r="B12" s="1"/>
      <c r="C12" s="1"/>
      <c r="D12" s="1"/>
      <c r="E12" s="33">
        <f>(E10-E11)*'Structure de coûts RTE'!$B$16</f>
        <v>3766.5518372703414</v>
      </c>
      <c r="F12" s="25">
        <f>E12</f>
        <v>3766.5518372703414</v>
      </c>
      <c r="G12" s="25">
        <f t="shared" ref="G12:AP12" si="6">F12</f>
        <v>3766.5518372703414</v>
      </c>
      <c r="H12" s="25">
        <f t="shared" si="6"/>
        <v>3766.5518372703414</v>
      </c>
      <c r="I12" s="25">
        <f t="shared" si="6"/>
        <v>3766.5518372703414</v>
      </c>
      <c r="J12" s="25">
        <f t="shared" si="6"/>
        <v>3766.5518372703414</v>
      </c>
      <c r="K12" s="25">
        <f t="shared" si="6"/>
        <v>3766.5518372703414</v>
      </c>
      <c r="L12" s="25">
        <f t="shared" si="6"/>
        <v>3766.5518372703414</v>
      </c>
      <c r="M12" s="25">
        <f t="shared" si="6"/>
        <v>3766.5518372703414</v>
      </c>
      <c r="N12" s="25">
        <f t="shared" si="6"/>
        <v>3766.5518372703414</v>
      </c>
      <c r="O12" s="25">
        <f t="shared" si="6"/>
        <v>3766.5518372703414</v>
      </c>
      <c r="P12" s="38">
        <f t="shared" si="6"/>
        <v>3766.5518372703414</v>
      </c>
      <c r="Q12" s="25">
        <f t="shared" si="6"/>
        <v>3766.5518372703414</v>
      </c>
      <c r="R12" s="25">
        <f t="shared" si="6"/>
        <v>3766.5518372703414</v>
      </c>
      <c r="S12" s="25">
        <f t="shared" si="6"/>
        <v>3766.5518372703414</v>
      </c>
      <c r="T12" s="25">
        <f t="shared" si="6"/>
        <v>3766.5518372703414</v>
      </c>
      <c r="U12" s="25">
        <f t="shared" si="6"/>
        <v>3766.5518372703414</v>
      </c>
      <c r="V12" s="25">
        <f t="shared" si="6"/>
        <v>3766.5518372703414</v>
      </c>
      <c r="W12" s="25">
        <f t="shared" si="6"/>
        <v>3766.5518372703414</v>
      </c>
      <c r="X12" s="25">
        <f t="shared" si="6"/>
        <v>3766.5518372703414</v>
      </c>
      <c r="Y12" s="25">
        <f t="shared" si="6"/>
        <v>3766.5518372703414</v>
      </c>
      <c r="Z12" s="25">
        <f t="shared" si="6"/>
        <v>3766.5518372703414</v>
      </c>
      <c r="AA12" s="25">
        <f t="shared" si="6"/>
        <v>3766.5518372703414</v>
      </c>
      <c r="AB12" s="25">
        <f t="shared" si="6"/>
        <v>3766.5518372703414</v>
      </c>
      <c r="AC12" s="25">
        <f t="shared" si="6"/>
        <v>3766.5518372703414</v>
      </c>
      <c r="AD12" s="25">
        <f t="shared" si="6"/>
        <v>3766.5518372703414</v>
      </c>
      <c r="AE12" s="25">
        <f t="shared" si="6"/>
        <v>3766.5518372703414</v>
      </c>
      <c r="AF12" s="25">
        <f t="shared" si="6"/>
        <v>3766.5518372703414</v>
      </c>
      <c r="AG12" s="25">
        <f t="shared" si="6"/>
        <v>3766.5518372703414</v>
      </c>
      <c r="AH12" s="38">
        <f t="shared" si="6"/>
        <v>3766.5518372703414</v>
      </c>
      <c r="AI12" s="25">
        <f t="shared" si="6"/>
        <v>3766.5518372703414</v>
      </c>
      <c r="AJ12" s="25">
        <f t="shared" si="6"/>
        <v>3766.5518372703414</v>
      </c>
      <c r="AK12" s="25">
        <f t="shared" si="6"/>
        <v>3766.5518372703414</v>
      </c>
      <c r="AL12" s="25">
        <f t="shared" si="6"/>
        <v>3766.5518372703414</v>
      </c>
      <c r="AM12" s="25">
        <f t="shared" si="6"/>
        <v>3766.5518372703414</v>
      </c>
      <c r="AN12" s="38">
        <f t="shared" si="6"/>
        <v>3766.5518372703414</v>
      </c>
      <c r="AO12" s="25">
        <f t="shared" si="6"/>
        <v>3766.5518372703414</v>
      </c>
      <c r="AP12" s="25">
        <f t="shared" si="6"/>
        <v>3766.5518372703414</v>
      </c>
    </row>
    <row r="13" spans="1:44" x14ac:dyDescent="0.25">
      <c r="A13" s="1" t="s">
        <v>55</v>
      </c>
      <c r="B13" s="1"/>
      <c r="C13" s="1"/>
      <c r="D13" s="1"/>
      <c r="E13" s="33">
        <f>(E10-E11)*(1-'Structure de coûts RTE'!$B$16)</f>
        <v>4800.9481627296591</v>
      </c>
      <c r="F13" s="25">
        <f>(F10-F11)*(1-'Structure de coûts RTE'!$B$16)</f>
        <v>4800.9481627296591</v>
      </c>
      <c r="G13" s="25">
        <f>(G10-G11)*(1-'Structure de coûts RTE'!$B$16)</f>
        <v>4800.9481627296591</v>
      </c>
      <c r="H13" s="25">
        <f>(H10-H11)*(1-'Structure de coûts RTE'!$B$16)</f>
        <v>4800.9481627296591</v>
      </c>
      <c r="I13" s="25">
        <f>(I10-I11)*(1-'Structure de coûts RTE'!$B$16)</f>
        <v>4800.9481627296591</v>
      </c>
      <c r="J13" s="25">
        <f>(J10-J11)*(1-'Structure de coûts RTE'!$B$16)</f>
        <v>4800.9481627296591</v>
      </c>
      <c r="K13" s="25">
        <f>(K10-K11)*(1-'Structure de coûts RTE'!$B$16)</f>
        <v>4800.9481627296591</v>
      </c>
      <c r="L13" s="25">
        <f>(L10-L11)*(1-'Structure de coûts RTE'!$B$16)</f>
        <v>4800.9481627296591</v>
      </c>
      <c r="M13" s="25">
        <f>(M10-M11)*(1-'Structure de coûts RTE'!$B$16)</f>
        <v>4800.9481627296591</v>
      </c>
      <c r="N13" s="25">
        <f>(N10-N11)*(1-'Structure de coûts RTE'!$B$16)</f>
        <v>4800.9481627296591</v>
      </c>
      <c r="O13" s="25">
        <f>(O10-O11)*(1-'Structure de coûts RTE'!$B$16)</f>
        <v>4800.9481627296591</v>
      </c>
      <c r="P13" s="38">
        <f>(P10-P11)*(1-'Structure de coûts RTE'!$B$16)</f>
        <v>4800.9481627296591</v>
      </c>
      <c r="Q13" s="25">
        <f>(Q10-Q11)*(1-'Structure de coûts RTE'!$B$16)</f>
        <v>4800.9481627296591</v>
      </c>
      <c r="R13" s="25">
        <f>(R10-R11)*(1-'Structure de coûts RTE'!$B$16)</f>
        <v>4800.9481627296591</v>
      </c>
      <c r="S13" s="25">
        <f>(S10-S11)*(1-'Structure de coûts RTE'!$B$16)</f>
        <v>4800.9481627296591</v>
      </c>
      <c r="T13" s="25">
        <f>(T10-T11)*(1-'Structure de coûts RTE'!$B$16)</f>
        <v>4800.9481627296591</v>
      </c>
      <c r="U13" s="25">
        <f>(U10-U11)*(1-'Structure de coûts RTE'!$B$16)</f>
        <v>4800.9481627296591</v>
      </c>
      <c r="V13" s="25">
        <f>(V10-V11)*(1-'Structure de coûts RTE'!$B$16)</f>
        <v>4800.9481627296591</v>
      </c>
      <c r="W13" s="25">
        <f>(W10-W11)*(1-'Structure de coûts RTE'!$B$16)</f>
        <v>4800.9481627296591</v>
      </c>
      <c r="X13" s="25">
        <f>(X10-X11)*(1-'Structure de coûts RTE'!$B$16)</f>
        <v>4800.9481627296591</v>
      </c>
      <c r="Y13" s="25">
        <f>(Y10-Y11)*(1-'Structure de coûts RTE'!$B$16)</f>
        <v>4800.9481627296591</v>
      </c>
      <c r="Z13" s="25">
        <f>(Z10-Z11)*(1-'Structure de coûts RTE'!$B$16)</f>
        <v>4800.9481627296591</v>
      </c>
      <c r="AA13" s="25">
        <f>(AA10-AA11)*(1-'Structure de coûts RTE'!$B$16)</f>
        <v>4800.9481627296591</v>
      </c>
      <c r="AB13" s="25">
        <f>(AB10-AB11)*(1-'Structure de coûts RTE'!$B$16)</f>
        <v>4800.9481627296591</v>
      </c>
      <c r="AC13" s="25">
        <f>(AC10-AC11)*(1-'Structure de coûts RTE'!$B$16)</f>
        <v>4800.9481627296591</v>
      </c>
      <c r="AD13" s="25">
        <f>(AD10-AD11)*(1-'Structure de coûts RTE'!$B$16)</f>
        <v>4800.9481627296591</v>
      </c>
      <c r="AE13" s="25">
        <f>(AE10-AE11)*(1-'Structure de coûts RTE'!$B$16)</f>
        <v>4800.9481627296591</v>
      </c>
      <c r="AF13" s="25">
        <f>(AF10-AF11)*(1-'Structure de coûts RTE'!$B$16)</f>
        <v>4800.9481627296591</v>
      </c>
      <c r="AG13" s="25">
        <f>(AG10-AG11)*(1-'Structure de coûts RTE'!$B$16)</f>
        <v>4800.9481627296591</v>
      </c>
      <c r="AH13" s="38">
        <f>(AH10-AH11)*(1-'Structure de coûts RTE'!$B$16)</f>
        <v>4800.9481627296591</v>
      </c>
      <c r="AI13" s="25">
        <f>(AI10-AI11)*(1-'Structure de coûts RTE'!$B$16)</f>
        <v>4800.9481627296591</v>
      </c>
      <c r="AJ13" s="25">
        <f>(AJ10-AJ11)*(1-'Structure de coûts RTE'!$B$16)</f>
        <v>4800.9481627296591</v>
      </c>
      <c r="AK13" s="25">
        <f>(AK10-AK11)*(1-'Structure de coûts RTE'!$B$16)</f>
        <v>4800.9481627296591</v>
      </c>
      <c r="AL13" s="25">
        <f>(AL10-AL11)*(1-'Structure de coûts RTE'!$B$16)</f>
        <v>4800.9481627296591</v>
      </c>
      <c r="AM13" s="25">
        <f>(AM10-AM11)*(1-'Structure de coûts RTE'!$B$16)</f>
        <v>4800.9481627296591</v>
      </c>
      <c r="AN13" s="38">
        <f>(AN10-AN11)*(1-'Structure de coûts RTE'!$B$16)</f>
        <v>4800.9481627296591</v>
      </c>
      <c r="AO13" s="25">
        <f>(AO10-AO11)*(1-'Structure de coûts RTE'!$B$16)</f>
        <v>4800.9481627296591</v>
      </c>
      <c r="AP13" s="25">
        <f>(AP10-AP11)*(1-'Structure de coûts RTE'!$B$16)</f>
        <v>4800.9481627296591</v>
      </c>
    </row>
    <row r="14" spans="1:44" ht="6" customHeight="1" x14ac:dyDescent="0.25">
      <c r="A14" s="1"/>
      <c r="B14" s="1"/>
      <c r="C14" s="1"/>
      <c r="D14" s="1"/>
      <c r="E14" s="4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38"/>
      <c r="AI14" s="25"/>
      <c r="AJ14" s="25"/>
      <c r="AK14" s="25"/>
      <c r="AL14" s="25"/>
      <c r="AM14" s="25"/>
      <c r="AN14" s="38"/>
      <c r="AO14" s="25"/>
      <c r="AP14" s="25"/>
    </row>
    <row r="15" spans="1:44" x14ac:dyDescent="0.25">
      <c r="A15" s="17" t="s">
        <v>5</v>
      </c>
      <c r="B15" s="18"/>
      <c r="C15" s="18"/>
      <c r="D15" s="18"/>
      <c r="E15" s="27">
        <f>SUM(E16:E18)</f>
        <v>1642.5</v>
      </c>
      <c r="F15" s="19">
        <f t="shared" ref="F15:AO15" si="7">SUM(F16:F18)</f>
        <v>1622.8547954173671</v>
      </c>
      <c r="G15" s="19">
        <f t="shared" si="7"/>
        <v>1603.2095908347342</v>
      </c>
      <c r="H15" s="19">
        <f t="shared" si="7"/>
        <v>1583.564386252101</v>
      </c>
      <c r="I15" s="19">
        <f t="shared" si="7"/>
        <v>1563.9191816694683</v>
      </c>
      <c r="J15" s="19">
        <f t="shared" si="7"/>
        <v>1544.2739770868352</v>
      </c>
      <c r="K15" s="19">
        <f t="shared" si="7"/>
        <v>1524.6287725042021</v>
      </c>
      <c r="L15" s="19">
        <f t="shared" si="7"/>
        <v>1504.9835679215694</v>
      </c>
      <c r="M15" s="19">
        <f t="shared" si="7"/>
        <v>1485.3383633389362</v>
      </c>
      <c r="N15" s="19">
        <f t="shared" si="7"/>
        <v>1465.6931587563033</v>
      </c>
      <c r="O15" s="19">
        <f t="shared" si="7"/>
        <v>1446.0479541736704</v>
      </c>
      <c r="P15" s="27">
        <v>1426.4027495910375</v>
      </c>
      <c r="Q15" s="19">
        <f t="shared" si="7"/>
        <v>1449.9257797035448</v>
      </c>
      <c r="R15" s="19">
        <f t="shared" si="7"/>
        <v>1473.4488098160521</v>
      </c>
      <c r="S15" s="19">
        <f t="shared" si="7"/>
        <v>1496.9718399285591</v>
      </c>
      <c r="T15" s="19">
        <f t="shared" si="7"/>
        <v>1520.4948700410664</v>
      </c>
      <c r="U15" s="19">
        <f t="shared" si="7"/>
        <v>1544.0179001535735</v>
      </c>
      <c r="V15" s="19">
        <f t="shared" si="7"/>
        <v>1567.540930266081</v>
      </c>
      <c r="W15" s="19">
        <f t="shared" si="7"/>
        <v>1591.063960378588</v>
      </c>
      <c r="X15" s="19">
        <f t="shared" si="7"/>
        <v>1614.5869904910953</v>
      </c>
      <c r="Y15" s="19">
        <f t="shared" si="7"/>
        <v>1638.1100206036026</v>
      </c>
      <c r="Z15" s="19">
        <f t="shared" si="7"/>
        <v>1661.6330507161099</v>
      </c>
      <c r="AA15" s="19">
        <f t="shared" si="7"/>
        <v>1685.1560808286172</v>
      </c>
      <c r="AB15" s="19">
        <f t="shared" si="7"/>
        <v>1708.6791109411242</v>
      </c>
      <c r="AC15" s="19">
        <f t="shared" si="7"/>
        <v>1732.2021410536313</v>
      </c>
      <c r="AD15" s="19">
        <f t="shared" si="7"/>
        <v>1755.7251711661388</v>
      </c>
      <c r="AE15" s="19">
        <f t="shared" si="7"/>
        <v>1779.2482012786459</v>
      </c>
      <c r="AF15" s="19">
        <f t="shared" si="7"/>
        <v>1802.7712313911532</v>
      </c>
      <c r="AG15" s="19">
        <f t="shared" si="7"/>
        <v>1826.2942615036604</v>
      </c>
      <c r="AH15" s="27">
        <v>1849.8172916161673</v>
      </c>
      <c r="AI15" s="19">
        <f t="shared" si="7"/>
        <v>1898.2040375341303</v>
      </c>
      <c r="AJ15" s="19">
        <f t="shared" si="7"/>
        <v>1946.5907834520935</v>
      </c>
      <c r="AK15" s="19">
        <f t="shared" si="7"/>
        <v>1994.9775293700563</v>
      </c>
      <c r="AL15" s="19">
        <f t="shared" si="7"/>
        <v>2043.3642752880196</v>
      </c>
      <c r="AM15" s="19">
        <f t="shared" si="7"/>
        <v>2091.7510212059824</v>
      </c>
      <c r="AN15" s="27">
        <v>2140.1377671239452</v>
      </c>
      <c r="AO15" s="19">
        <f t="shared" si="7"/>
        <v>2190.711522494782</v>
      </c>
      <c r="AP15" s="27">
        <v>2241.2852778656193</v>
      </c>
    </row>
    <row r="16" spans="1:44" x14ac:dyDescent="0.25">
      <c r="A16" s="1" t="s">
        <v>26</v>
      </c>
      <c r="B16" s="1"/>
      <c r="C16" s="1"/>
      <c r="D16" s="1"/>
      <c r="E16" s="33">
        <f>'Structure de coûts RTE'!B23/2</f>
        <v>750</v>
      </c>
      <c r="F16" s="64">
        <f>E16+($P16-$E16)/(2024-2013)</f>
        <v>741.02958694856943</v>
      </c>
      <c r="G16" s="64">
        <f t="shared" ref="G16:O16" si="8">F16+($P16-$E16)/(2024-2013)</f>
        <v>732.05917389713886</v>
      </c>
      <c r="H16" s="64">
        <f t="shared" si="8"/>
        <v>723.08876084570829</v>
      </c>
      <c r="I16" s="64">
        <f t="shared" si="8"/>
        <v>714.11834779427772</v>
      </c>
      <c r="J16" s="64">
        <f t="shared" si="8"/>
        <v>705.14793474284716</v>
      </c>
      <c r="K16" s="64">
        <f t="shared" si="8"/>
        <v>696.17752169141659</v>
      </c>
      <c r="L16" s="64">
        <f t="shared" si="8"/>
        <v>687.20710863998602</v>
      </c>
      <c r="M16" s="64">
        <f t="shared" si="8"/>
        <v>678.23669558855545</v>
      </c>
      <c r="N16" s="64">
        <f t="shared" si="8"/>
        <v>669.26628253712488</v>
      </c>
      <c r="O16" s="64">
        <f t="shared" si="8"/>
        <v>660.29586948569431</v>
      </c>
      <c r="P16" s="38">
        <f>$E16/$E$15*P$15</f>
        <v>651.32545643426363</v>
      </c>
      <c r="Q16" s="64">
        <f>P16+($AH16-$P16)/(2042-2024)</f>
        <v>662.06656607467789</v>
      </c>
      <c r="R16" s="64">
        <f t="shared" ref="R16:AG18" si="9">Q16+($AH16-$P16)/(2042-2024)</f>
        <v>672.80767571509216</v>
      </c>
      <c r="S16" s="64">
        <f t="shared" si="9"/>
        <v>683.54878535550642</v>
      </c>
      <c r="T16" s="64">
        <f t="shared" si="9"/>
        <v>694.28989499592069</v>
      </c>
      <c r="U16" s="64">
        <f t="shared" si="9"/>
        <v>705.03100463633496</v>
      </c>
      <c r="V16" s="64">
        <f t="shared" si="9"/>
        <v>715.77211427674922</v>
      </c>
      <c r="W16" s="64">
        <f t="shared" si="9"/>
        <v>726.51322391716349</v>
      </c>
      <c r="X16" s="64">
        <f t="shared" si="9"/>
        <v>737.25433355757775</v>
      </c>
      <c r="Y16" s="64">
        <f t="shared" si="9"/>
        <v>747.99544319799202</v>
      </c>
      <c r="Z16" s="64">
        <f t="shared" si="9"/>
        <v>758.73655283840628</v>
      </c>
      <c r="AA16" s="64">
        <f t="shared" si="9"/>
        <v>769.47766247882055</v>
      </c>
      <c r="AB16" s="64">
        <f t="shared" si="9"/>
        <v>780.21877211923481</v>
      </c>
      <c r="AC16" s="64">
        <f t="shared" si="9"/>
        <v>790.95988175964908</v>
      </c>
      <c r="AD16" s="64">
        <f t="shared" si="9"/>
        <v>801.70099140006334</v>
      </c>
      <c r="AE16" s="64">
        <f t="shared" si="9"/>
        <v>812.44210104047761</v>
      </c>
      <c r="AF16" s="64">
        <f t="shared" si="9"/>
        <v>823.18321068089188</v>
      </c>
      <c r="AG16" s="64">
        <f t="shared" si="9"/>
        <v>833.92432032130614</v>
      </c>
      <c r="AH16" s="40">
        <f>$E16/$E$15*AH$15</f>
        <v>844.66542996172018</v>
      </c>
      <c r="AI16" s="64">
        <f>AH16+($AN16-$AH16)/(2048-2042)</f>
        <v>866.75983449047044</v>
      </c>
      <c r="AJ16" s="64">
        <f t="shared" ref="AJ16:AM16" si="10">AI16+($AN16-$AH16)/(2048-2042)</f>
        <v>888.8542390192207</v>
      </c>
      <c r="AK16" s="64">
        <f t="shared" si="10"/>
        <v>910.94864354797096</v>
      </c>
      <c r="AL16" s="64">
        <f t="shared" si="10"/>
        <v>933.04304807672122</v>
      </c>
      <c r="AM16" s="64">
        <f t="shared" si="10"/>
        <v>955.13745260547148</v>
      </c>
      <c r="AN16" s="40">
        <f>$E16/$E$15*AN$15</f>
        <v>977.23185713422151</v>
      </c>
      <c r="AO16" s="1">
        <f t="shared" ref="AO16:AO18" si="11">(AN16+AP16)/2</f>
        <v>1000.3248961163389</v>
      </c>
      <c r="AP16" s="13">
        <f>$E16/$E$15*AP$15</f>
        <v>1023.4179350984563</v>
      </c>
    </row>
    <row r="17" spans="1:42" x14ac:dyDescent="0.25">
      <c r="A17" s="1" t="s">
        <v>54</v>
      </c>
      <c r="B17" s="1"/>
      <c r="C17" s="1"/>
      <c r="D17" s="1"/>
      <c r="E17" s="33">
        <f>'Structure de coûts RTE'!$B$24/2*'Structure de coûts RTE'!$B$16</f>
        <v>392.37204724409452</v>
      </c>
      <c r="F17" s="64">
        <f t="shared" ref="F17:O18" si="12">E17+($P17-$E17)/(2024-2013)</f>
        <v>387.67906146594123</v>
      </c>
      <c r="G17" s="64">
        <f t="shared" si="12"/>
        <v>382.98607568778795</v>
      </c>
      <c r="H17" s="64">
        <f t="shared" si="12"/>
        <v>378.29308990963466</v>
      </c>
      <c r="I17" s="64">
        <f t="shared" si="12"/>
        <v>373.60010413148137</v>
      </c>
      <c r="J17" s="64">
        <f t="shared" si="12"/>
        <v>368.90711835332809</v>
      </c>
      <c r="K17" s="64">
        <f t="shared" si="12"/>
        <v>364.2141325751748</v>
      </c>
      <c r="L17" s="64">
        <f t="shared" si="12"/>
        <v>359.52114679702152</v>
      </c>
      <c r="M17" s="64">
        <f t="shared" si="12"/>
        <v>354.82816101886823</v>
      </c>
      <c r="N17" s="64">
        <f t="shared" si="12"/>
        <v>350.13517524071494</v>
      </c>
      <c r="O17" s="64">
        <f t="shared" si="12"/>
        <v>345.44218946256166</v>
      </c>
      <c r="P17" s="38">
        <f>$E17/$E$15*P$15</f>
        <v>340.74920368440843</v>
      </c>
      <c r="Q17" s="64">
        <f t="shared" ref="Q17:AF18" si="13">P17+($AH17-$P17)/(2042-2024)</f>
        <v>346.36855192345195</v>
      </c>
      <c r="R17" s="64">
        <f t="shared" si="13"/>
        <v>351.98790016249546</v>
      </c>
      <c r="S17" s="64">
        <f t="shared" si="13"/>
        <v>357.60724840153898</v>
      </c>
      <c r="T17" s="64">
        <f t="shared" si="13"/>
        <v>363.2265966405825</v>
      </c>
      <c r="U17" s="64">
        <f t="shared" si="13"/>
        <v>368.84594487962602</v>
      </c>
      <c r="V17" s="64">
        <f t="shared" si="13"/>
        <v>374.46529311866954</v>
      </c>
      <c r="W17" s="64">
        <f t="shared" si="13"/>
        <v>380.08464135771305</v>
      </c>
      <c r="X17" s="64">
        <f t="shared" si="13"/>
        <v>385.70398959675657</v>
      </c>
      <c r="Y17" s="64">
        <f t="shared" si="13"/>
        <v>391.32333783580009</v>
      </c>
      <c r="Z17" s="64">
        <f t="shared" si="13"/>
        <v>396.94268607484361</v>
      </c>
      <c r="AA17" s="64">
        <f t="shared" si="13"/>
        <v>402.56203431388712</v>
      </c>
      <c r="AB17" s="64">
        <f t="shared" si="13"/>
        <v>408.18138255293064</v>
      </c>
      <c r="AC17" s="64">
        <f t="shared" si="13"/>
        <v>413.80073079197416</v>
      </c>
      <c r="AD17" s="64">
        <f t="shared" si="13"/>
        <v>419.42007903101768</v>
      </c>
      <c r="AE17" s="64">
        <f t="shared" si="13"/>
        <v>425.0394272700612</v>
      </c>
      <c r="AF17" s="64">
        <f t="shared" si="13"/>
        <v>430.65877550910471</v>
      </c>
      <c r="AG17" s="64">
        <f t="shared" si="9"/>
        <v>436.27812374814823</v>
      </c>
      <c r="AH17" s="40">
        <f>$E17/$E$15*AH$15</f>
        <v>441.8974719871913</v>
      </c>
      <c r="AI17" s="64">
        <f t="shared" ref="AI17:AM18" si="14">AH17+($AN17-$AH17)/(2048-2042)</f>
        <v>453.45644097063786</v>
      </c>
      <c r="AJ17" s="64">
        <f t="shared" si="14"/>
        <v>465.01540995408442</v>
      </c>
      <c r="AK17" s="64">
        <f t="shared" si="14"/>
        <v>476.57437893753098</v>
      </c>
      <c r="AL17" s="64">
        <f t="shared" si="14"/>
        <v>488.13334792097754</v>
      </c>
      <c r="AM17" s="64">
        <f t="shared" si="14"/>
        <v>499.6923169044241</v>
      </c>
      <c r="AN17" s="40">
        <f>$E17/$E$15*AN$15</f>
        <v>511.25128588787067</v>
      </c>
      <c r="AO17" s="1">
        <f t="shared" si="11"/>
        <v>523.33270319787209</v>
      </c>
      <c r="AP17" s="13">
        <f>$E17/$E$15*AP$15</f>
        <v>535.41412050787358</v>
      </c>
    </row>
    <row r="18" spans="1:42" x14ac:dyDescent="0.25">
      <c r="A18" s="1" t="s">
        <v>55</v>
      </c>
      <c r="B18" s="1"/>
      <c r="C18" s="1"/>
      <c r="D18" s="1"/>
      <c r="E18" s="33">
        <f>'Structure de coûts RTE'!$B$24/2*(1-'Structure de coûts RTE'!$B$16)</f>
        <v>500.12795275590554</v>
      </c>
      <c r="F18" s="64">
        <f>E18+($P18-$E18)/(2024-2013)</f>
        <v>494.14614700285642</v>
      </c>
      <c r="G18" s="64">
        <f t="shared" si="12"/>
        <v>488.16434124980731</v>
      </c>
      <c r="H18" s="64">
        <f t="shared" si="12"/>
        <v>482.18253549675819</v>
      </c>
      <c r="I18" s="64">
        <f t="shared" si="12"/>
        <v>476.20072974370908</v>
      </c>
      <c r="J18" s="64">
        <f t="shared" si="12"/>
        <v>470.21892399065996</v>
      </c>
      <c r="K18" s="64">
        <f t="shared" si="12"/>
        <v>464.23711823761084</v>
      </c>
      <c r="L18" s="64">
        <f t="shared" si="12"/>
        <v>458.25531248456173</v>
      </c>
      <c r="M18" s="64">
        <f t="shared" si="12"/>
        <v>452.27350673151261</v>
      </c>
      <c r="N18" s="64">
        <f t="shared" si="12"/>
        <v>446.2917009784635</v>
      </c>
      <c r="O18" s="64">
        <f t="shared" si="12"/>
        <v>440.30989522541438</v>
      </c>
      <c r="P18" s="38">
        <f>$E18/$E$15*P$15</f>
        <v>434.32808947236543</v>
      </c>
      <c r="Q18" s="64">
        <f t="shared" si="13"/>
        <v>441.49066170541488</v>
      </c>
      <c r="R18" s="64">
        <f t="shared" si="9"/>
        <v>448.65323393846433</v>
      </c>
      <c r="S18" s="64">
        <f t="shared" si="9"/>
        <v>455.81580617151377</v>
      </c>
      <c r="T18" s="64">
        <f t="shared" si="9"/>
        <v>462.97837840456322</v>
      </c>
      <c r="U18" s="64">
        <f t="shared" si="9"/>
        <v>470.14095063761266</v>
      </c>
      <c r="V18" s="64">
        <f t="shared" si="9"/>
        <v>477.30352287066211</v>
      </c>
      <c r="W18" s="64">
        <f t="shared" si="9"/>
        <v>484.46609510371155</v>
      </c>
      <c r="X18" s="64">
        <f t="shared" si="9"/>
        <v>491.628667336761</v>
      </c>
      <c r="Y18" s="64">
        <f t="shared" si="9"/>
        <v>498.79123956981044</v>
      </c>
      <c r="Z18" s="64">
        <f t="shared" si="9"/>
        <v>505.95381180285989</v>
      </c>
      <c r="AA18" s="64">
        <f t="shared" si="9"/>
        <v>513.11638403590939</v>
      </c>
      <c r="AB18" s="64">
        <f t="shared" si="9"/>
        <v>520.27895626895884</v>
      </c>
      <c r="AC18" s="64">
        <f t="shared" si="9"/>
        <v>527.44152850200828</v>
      </c>
      <c r="AD18" s="64">
        <f t="shared" si="9"/>
        <v>534.60410073505773</v>
      </c>
      <c r="AE18" s="64">
        <f t="shared" si="9"/>
        <v>541.76667296810717</v>
      </c>
      <c r="AF18" s="64">
        <f t="shared" si="9"/>
        <v>548.92924520115662</v>
      </c>
      <c r="AG18" s="64">
        <f t="shared" si="9"/>
        <v>556.09181743420606</v>
      </c>
      <c r="AH18" s="40">
        <f>$E18/$E$15*AH$15</f>
        <v>563.25438966725585</v>
      </c>
      <c r="AI18" s="64">
        <f t="shared" si="14"/>
        <v>577.98776207302205</v>
      </c>
      <c r="AJ18" s="64">
        <f t="shared" si="14"/>
        <v>592.72113447878826</v>
      </c>
      <c r="AK18" s="64">
        <f t="shared" si="14"/>
        <v>607.45450688455446</v>
      </c>
      <c r="AL18" s="64">
        <f t="shared" si="14"/>
        <v>622.18787929032067</v>
      </c>
      <c r="AM18" s="64">
        <f t="shared" si="14"/>
        <v>636.92125169608687</v>
      </c>
      <c r="AN18" s="40">
        <f>$E18/$E$15*AN$15</f>
        <v>651.65462410185307</v>
      </c>
      <c r="AO18" s="1">
        <f t="shared" si="11"/>
        <v>667.05392318057125</v>
      </c>
      <c r="AP18" s="13">
        <f>$E18/$E$15*AP$15</f>
        <v>682.45322225928953</v>
      </c>
    </row>
    <row r="19" spans="1:42" x14ac:dyDescent="0.25">
      <c r="A19" s="1"/>
      <c r="B19" s="1"/>
      <c r="C19" s="1"/>
      <c r="D19" s="1"/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4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40"/>
      <c r="AI19" s="1"/>
      <c r="AJ19" s="1"/>
      <c r="AK19" s="1"/>
      <c r="AL19" s="1"/>
      <c r="AM19" s="1"/>
      <c r="AN19" s="40"/>
      <c r="AO19" s="1"/>
      <c r="AP19" s="13"/>
    </row>
    <row r="20" spans="1:42" x14ac:dyDescent="0.25">
      <c r="A20" s="50" t="s">
        <v>114</v>
      </c>
      <c r="B20" s="51">
        <f t="shared" ref="B20:AO20" si="15">B21+B26</f>
        <v>0</v>
      </c>
      <c r="C20" s="51">
        <f t="shared" si="15"/>
        <v>0.4333916083916084</v>
      </c>
      <c r="D20" s="51">
        <f t="shared" si="15"/>
        <v>0.86678321678321679</v>
      </c>
      <c r="E20" s="51">
        <f t="shared" si="15"/>
        <v>1.3001748251748251</v>
      </c>
      <c r="F20" s="51">
        <f t="shared" si="15"/>
        <v>1.7335664335664336</v>
      </c>
      <c r="G20" s="51">
        <f t="shared" si="15"/>
        <v>5.5241008991008993</v>
      </c>
      <c r="H20" s="51">
        <f t="shared" si="15"/>
        <v>22.743206793206792</v>
      </c>
      <c r="I20" s="51">
        <f t="shared" si="15"/>
        <v>53.390884115884113</v>
      </c>
      <c r="J20" s="51">
        <f t="shared" si="15"/>
        <v>107.53856143856143</v>
      </c>
      <c r="K20" s="51">
        <f t="shared" si="15"/>
        <v>161.68623876123874</v>
      </c>
      <c r="L20" s="51">
        <f t="shared" si="15"/>
        <v>212.47677322677322</v>
      </c>
      <c r="M20" s="51">
        <f t="shared" si="15"/>
        <v>239.7673076923077</v>
      </c>
      <c r="N20" s="51">
        <f t="shared" si="15"/>
        <v>240.20069930069931</v>
      </c>
      <c r="O20" s="51">
        <f t="shared" si="15"/>
        <v>240.6340909090909</v>
      </c>
      <c r="P20" s="51">
        <f t="shared" si="15"/>
        <v>241.06748251748252</v>
      </c>
      <c r="Q20" s="51">
        <f t="shared" si="15"/>
        <v>241.50087412587413</v>
      </c>
      <c r="R20" s="51">
        <f t="shared" si="15"/>
        <v>241.93426573426572</v>
      </c>
      <c r="S20" s="51">
        <f t="shared" si="15"/>
        <v>242.36765734265734</v>
      </c>
      <c r="T20" s="51">
        <f t="shared" si="15"/>
        <v>242.80104895104895</v>
      </c>
      <c r="U20" s="51">
        <f t="shared" si="15"/>
        <v>243.23444055944057</v>
      </c>
      <c r="V20" s="51">
        <f t="shared" si="15"/>
        <v>243.66783216783216</v>
      </c>
      <c r="W20" s="51">
        <f t="shared" si="15"/>
        <v>244.90944055944055</v>
      </c>
      <c r="X20" s="51">
        <f t="shared" si="15"/>
        <v>246.15104895104895</v>
      </c>
      <c r="Y20" s="51">
        <f t="shared" si="15"/>
        <v>247.39265734265734</v>
      </c>
      <c r="Z20" s="51">
        <f t="shared" si="15"/>
        <v>248.63426573426574</v>
      </c>
      <c r="AA20" s="51">
        <f t="shared" si="15"/>
        <v>306.51873126873124</v>
      </c>
      <c r="AB20" s="51">
        <f t="shared" si="15"/>
        <v>350.97462537462536</v>
      </c>
      <c r="AC20" s="51">
        <f t="shared" si="15"/>
        <v>382.00194805194803</v>
      </c>
      <c r="AD20" s="51">
        <f t="shared" si="15"/>
        <v>389.52927072927076</v>
      </c>
      <c r="AE20" s="51">
        <f t="shared" si="15"/>
        <v>397.05659340659344</v>
      </c>
      <c r="AF20" s="51">
        <f t="shared" si="15"/>
        <v>407.941058941059</v>
      </c>
      <c r="AG20" s="51">
        <f t="shared" si="15"/>
        <v>442.3255244755245</v>
      </c>
      <c r="AH20" s="51">
        <f t="shared" si="15"/>
        <v>443.56713286713284</v>
      </c>
      <c r="AI20" s="51">
        <f t="shared" si="15"/>
        <v>444.80874125874124</v>
      </c>
      <c r="AJ20" s="51">
        <f t="shared" si="15"/>
        <v>446.05034965034963</v>
      </c>
      <c r="AK20" s="51">
        <f t="shared" si="15"/>
        <v>447.29195804195803</v>
      </c>
      <c r="AL20" s="51">
        <f t="shared" si="15"/>
        <v>448.53356643356642</v>
      </c>
      <c r="AM20" s="51">
        <f t="shared" si="15"/>
        <v>449.77517482517482</v>
      </c>
      <c r="AN20" s="51">
        <f t="shared" si="15"/>
        <v>451.01678321678321</v>
      </c>
      <c r="AO20" s="51">
        <f t="shared" si="15"/>
        <v>452.25839160839161</v>
      </c>
      <c r="AP20" s="51">
        <f>AP21+AP26</f>
        <v>453.5</v>
      </c>
    </row>
    <row r="21" spans="1:42" x14ac:dyDescent="0.25">
      <c r="A21" s="20" t="s">
        <v>0</v>
      </c>
      <c r="B21" s="22"/>
      <c r="C21" s="22"/>
      <c r="D21" s="22"/>
      <c r="E21" s="22">
        <f>E22+E24</f>
        <v>0</v>
      </c>
      <c r="F21" s="22">
        <f t="shared" ref="F21:AP21" si="16">F22+F24</f>
        <v>0</v>
      </c>
      <c r="G21" s="22">
        <f t="shared" si="16"/>
        <v>3.3571428571428568</v>
      </c>
      <c r="H21" s="22">
        <f t="shared" si="16"/>
        <v>20.142857142857142</v>
      </c>
      <c r="I21" s="22">
        <f t="shared" si="16"/>
        <v>50.357142857142854</v>
      </c>
      <c r="J21" s="22">
        <f t="shared" si="16"/>
        <v>104.07142857142857</v>
      </c>
      <c r="K21" s="22">
        <f t="shared" si="16"/>
        <v>157.78571428571428</v>
      </c>
      <c r="L21" s="22">
        <f t="shared" si="16"/>
        <v>208.14285714285714</v>
      </c>
      <c r="M21" s="22">
        <f t="shared" si="16"/>
        <v>235</v>
      </c>
      <c r="N21" s="22">
        <f t="shared" si="16"/>
        <v>235</v>
      </c>
      <c r="O21" s="22">
        <f t="shared" si="16"/>
        <v>235</v>
      </c>
      <c r="P21" s="22">
        <f t="shared" si="16"/>
        <v>235</v>
      </c>
      <c r="Q21" s="22">
        <f t="shared" si="16"/>
        <v>235</v>
      </c>
      <c r="R21" s="22">
        <f t="shared" si="16"/>
        <v>235</v>
      </c>
      <c r="S21" s="22">
        <f t="shared" si="16"/>
        <v>235</v>
      </c>
      <c r="T21" s="22">
        <f t="shared" si="16"/>
        <v>235</v>
      </c>
      <c r="U21" s="22">
        <f t="shared" si="16"/>
        <v>235</v>
      </c>
      <c r="V21" s="22">
        <f t="shared" si="16"/>
        <v>235</v>
      </c>
      <c r="W21" s="22">
        <f t="shared" si="16"/>
        <v>235</v>
      </c>
      <c r="X21" s="22">
        <f t="shared" si="16"/>
        <v>235</v>
      </c>
      <c r="Y21" s="22">
        <f t="shared" si="16"/>
        <v>235</v>
      </c>
      <c r="Z21" s="22">
        <f t="shared" si="16"/>
        <v>235</v>
      </c>
      <c r="AA21" s="22">
        <f t="shared" si="16"/>
        <v>291.64285714285711</v>
      </c>
      <c r="AB21" s="22">
        <f t="shared" si="16"/>
        <v>334.85714285714283</v>
      </c>
      <c r="AC21" s="22">
        <f t="shared" si="16"/>
        <v>364.64285714285711</v>
      </c>
      <c r="AD21" s="22">
        <f t="shared" si="16"/>
        <v>370.92857142857144</v>
      </c>
      <c r="AE21" s="22">
        <f t="shared" si="16"/>
        <v>377.21428571428572</v>
      </c>
      <c r="AF21" s="22">
        <f t="shared" si="16"/>
        <v>386.85714285714289</v>
      </c>
      <c r="AG21" s="22">
        <f t="shared" si="16"/>
        <v>420</v>
      </c>
      <c r="AH21" s="22">
        <f t="shared" si="16"/>
        <v>420</v>
      </c>
      <c r="AI21" s="22">
        <f t="shared" si="16"/>
        <v>420</v>
      </c>
      <c r="AJ21" s="22">
        <f t="shared" si="16"/>
        <v>420</v>
      </c>
      <c r="AK21" s="22">
        <f t="shared" si="16"/>
        <v>420</v>
      </c>
      <c r="AL21" s="22">
        <f t="shared" si="16"/>
        <v>420</v>
      </c>
      <c r="AM21" s="22">
        <f t="shared" si="16"/>
        <v>420</v>
      </c>
      <c r="AN21" s="22">
        <f t="shared" si="16"/>
        <v>420</v>
      </c>
      <c r="AO21" s="22">
        <f t="shared" si="16"/>
        <v>420</v>
      </c>
      <c r="AP21" s="22">
        <f t="shared" si="16"/>
        <v>420</v>
      </c>
    </row>
    <row r="22" spans="1:42" x14ac:dyDescent="0.25">
      <c r="A22" s="1" t="s">
        <v>26</v>
      </c>
      <c r="B22" s="1"/>
      <c r="C22" s="1"/>
      <c r="D22" s="1"/>
      <c r="E22" s="34">
        <v>0</v>
      </c>
      <c r="F22" s="34">
        <v>0</v>
      </c>
      <c r="G22" s="34">
        <f>'Données Linky'!B22</f>
        <v>3.3571428571428568</v>
      </c>
      <c r="H22" s="34">
        <f>'Données Linky'!C22</f>
        <v>20.142857142857142</v>
      </c>
      <c r="I22" s="34">
        <f>'Données Linky'!D22</f>
        <v>50.357142857142854</v>
      </c>
      <c r="J22" s="34">
        <f>'Données Linky'!E22</f>
        <v>104.07142857142857</v>
      </c>
      <c r="K22" s="34">
        <f>'Données Linky'!F22</f>
        <v>157.78571428571428</v>
      </c>
      <c r="L22" s="34">
        <f>'Données Linky'!G22</f>
        <v>208.14285714285714</v>
      </c>
      <c r="M22" s="34">
        <f>'Données Linky'!H22</f>
        <v>235</v>
      </c>
      <c r="N22" s="34">
        <f>'Données Linky'!I22</f>
        <v>235</v>
      </c>
      <c r="O22" s="34">
        <f>'Données Linky'!J22</f>
        <v>235</v>
      </c>
      <c r="P22" s="34">
        <f>'Données Linky'!K22</f>
        <v>235</v>
      </c>
      <c r="Q22" s="34">
        <f>'Données Linky'!L22</f>
        <v>235</v>
      </c>
      <c r="R22" s="34">
        <f>'Données Linky'!M22</f>
        <v>235</v>
      </c>
      <c r="S22" s="34">
        <f>'Données Linky'!N22</f>
        <v>235</v>
      </c>
      <c r="T22" s="34">
        <f>'Données Linky'!O22</f>
        <v>235</v>
      </c>
      <c r="U22" s="34">
        <f>'Données Linky'!P22</f>
        <v>235</v>
      </c>
      <c r="V22" s="34">
        <f>'Données Linky'!Q22</f>
        <v>235</v>
      </c>
      <c r="W22" s="34">
        <f>'Données Linky'!R22</f>
        <v>235</v>
      </c>
      <c r="X22" s="34">
        <f>'Données Linky'!S22</f>
        <v>235</v>
      </c>
      <c r="Y22" s="34">
        <f>'Données Linky'!T22</f>
        <v>235</v>
      </c>
      <c r="Z22" s="34">
        <f>'Données Linky'!U22</f>
        <v>235</v>
      </c>
      <c r="AA22" s="34">
        <f>'Données Linky'!V22</f>
        <v>291.64285714285711</v>
      </c>
      <c r="AB22" s="34">
        <f>'Données Linky'!W22</f>
        <v>334.85714285714283</v>
      </c>
      <c r="AC22" s="34">
        <f>'Données Linky'!X22</f>
        <v>364.64285714285711</v>
      </c>
      <c r="AD22" s="34">
        <f>'Données Linky'!Y22</f>
        <v>370.92857142857144</v>
      </c>
      <c r="AE22" s="34">
        <f>'Données Linky'!Z22</f>
        <v>377.21428571428572</v>
      </c>
      <c r="AF22" s="34">
        <f>'Données Linky'!AA22</f>
        <v>386.85714285714289</v>
      </c>
      <c r="AG22" s="34">
        <v>420</v>
      </c>
      <c r="AH22" s="34">
        <v>420</v>
      </c>
      <c r="AI22" s="34">
        <v>420</v>
      </c>
      <c r="AJ22" s="34">
        <v>420</v>
      </c>
      <c r="AK22" s="34">
        <v>420</v>
      </c>
      <c r="AL22" s="34">
        <v>420</v>
      </c>
      <c r="AM22" s="34">
        <v>420</v>
      </c>
      <c r="AN22" s="34">
        <v>420</v>
      </c>
      <c r="AO22" s="34">
        <v>420</v>
      </c>
      <c r="AP22" s="34">
        <v>420</v>
      </c>
    </row>
    <row r="23" spans="1:42" x14ac:dyDescent="0.25">
      <c r="A23" s="1" t="s">
        <v>117</v>
      </c>
      <c r="B23" s="1"/>
      <c r="C23" s="1"/>
      <c r="D23" s="1"/>
      <c r="E23" s="34">
        <v>0</v>
      </c>
      <c r="F23" s="34">
        <v>0</v>
      </c>
      <c r="G23" s="34">
        <f>'Données Linky'!B12/1000000</f>
        <v>67.142857142857139</v>
      </c>
      <c r="H23" s="34">
        <f>'Données Linky'!C12/1000000</f>
        <v>335.71428571428567</v>
      </c>
      <c r="I23" s="34">
        <f>'Données Linky'!D12/1000000</f>
        <v>604.28571428571411</v>
      </c>
      <c r="J23" s="34">
        <f>'Données Linky'!E12/1000000</f>
        <v>1074.2857142857142</v>
      </c>
      <c r="K23" s="34">
        <f>'Données Linky'!F12/1000000</f>
        <v>1074.2857142857142</v>
      </c>
      <c r="L23" s="34">
        <f>'Données Linky'!G12/1000000</f>
        <v>1007.1428571428571</v>
      </c>
      <c r="M23" s="34">
        <f>'Données Linky'!H12/1000000</f>
        <v>537.14285714285711</v>
      </c>
      <c r="N23" s="34">
        <f>'Données Linky'!I12/1000000</f>
        <v>0</v>
      </c>
      <c r="O23" s="34">
        <f>'Données Linky'!J12/1000000</f>
        <v>0</v>
      </c>
      <c r="P23" s="34">
        <f>'Données Linky'!K12/1000000</f>
        <v>0</v>
      </c>
      <c r="Q23" s="34">
        <f>'Données Linky'!L12/1000000</f>
        <v>0</v>
      </c>
      <c r="R23" s="34">
        <f>'Données Linky'!M12/1000000</f>
        <v>0</v>
      </c>
      <c r="S23" s="34">
        <f>'Données Linky'!N12/1000000</f>
        <v>0</v>
      </c>
      <c r="T23" s="34">
        <f>'Données Linky'!O12/1000000</f>
        <v>0</v>
      </c>
      <c r="U23" s="34">
        <f>'Données Linky'!P12/1000000</f>
        <v>0</v>
      </c>
      <c r="V23" s="34">
        <f>'Données Linky'!Q12/1000000</f>
        <v>0</v>
      </c>
      <c r="W23" s="34">
        <f>'Données Linky'!R12/1000000</f>
        <v>0</v>
      </c>
      <c r="X23" s="34">
        <f>'Données Linky'!S12/1000000</f>
        <v>0</v>
      </c>
      <c r="Y23" s="34">
        <f>'Données Linky'!T12/1000000</f>
        <v>0</v>
      </c>
      <c r="Z23" s="34">
        <f>'Données Linky'!U12/1000000</f>
        <v>0</v>
      </c>
      <c r="AA23" s="34">
        <f>'Données Linky'!V12/1000000</f>
        <v>0</v>
      </c>
      <c r="AB23" s="34">
        <f>G23/134*150</f>
        <v>75.159914712153508</v>
      </c>
      <c r="AC23" s="34">
        <f t="shared" ref="AC23:AH23" si="17">H23/134*150</f>
        <v>375.7995735607675</v>
      </c>
      <c r="AD23" s="34">
        <f t="shared" si="17"/>
        <v>676.43923240938148</v>
      </c>
      <c r="AE23" s="34">
        <f t="shared" si="17"/>
        <v>1202.5586353944561</v>
      </c>
      <c r="AF23" s="34">
        <f t="shared" si="17"/>
        <v>1202.5586353944561</v>
      </c>
      <c r="AG23" s="34">
        <f t="shared" si="17"/>
        <v>1127.3987206823028</v>
      </c>
      <c r="AH23" s="34">
        <f t="shared" si="17"/>
        <v>601.27931769722807</v>
      </c>
      <c r="AI23" s="34">
        <f>N23/134*150</f>
        <v>0</v>
      </c>
      <c r="AJ23" s="34">
        <f t="shared" ref="AJ23:AP23" si="18">O23/134*150</f>
        <v>0</v>
      </c>
      <c r="AK23" s="34">
        <f t="shared" si="18"/>
        <v>0</v>
      </c>
      <c r="AL23" s="34">
        <f t="shared" si="18"/>
        <v>0</v>
      </c>
      <c r="AM23" s="34">
        <f t="shared" si="18"/>
        <v>0</v>
      </c>
      <c r="AN23" s="34">
        <f t="shared" si="18"/>
        <v>0</v>
      </c>
      <c r="AO23" s="34">
        <f t="shared" si="18"/>
        <v>0</v>
      </c>
      <c r="AP23" s="34">
        <f t="shared" si="18"/>
        <v>0</v>
      </c>
    </row>
    <row r="24" spans="1:42" x14ac:dyDescent="0.25">
      <c r="A24" s="1" t="s">
        <v>25</v>
      </c>
      <c r="B24" s="13"/>
      <c r="C24" s="13"/>
      <c r="D24" s="13"/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41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41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41">
        <v>0</v>
      </c>
      <c r="AO24" s="30">
        <v>0</v>
      </c>
      <c r="AP24" s="34">
        <v>0</v>
      </c>
    </row>
    <row r="25" spans="1:42" ht="6.75" customHeight="1" x14ac:dyDescent="0.25">
      <c r="A25" s="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4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42"/>
      <c r="AI25" s="13"/>
      <c r="AJ25" s="13"/>
      <c r="AK25" s="13"/>
      <c r="AL25" s="13"/>
      <c r="AM25" s="13"/>
      <c r="AN25" s="42"/>
      <c r="AO25" s="13"/>
      <c r="AP25" s="16"/>
    </row>
    <row r="26" spans="1:42" s="28" customFormat="1" x14ac:dyDescent="0.25">
      <c r="A26" s="17" t="s">
        <v>1</v>
      </c>
      <c r="B26" s="19">
        <f>SUM(B27:B28)</f>
        <v>0</v>
      </c>
      <c r="C26" s="19">
        <f t="shared" ref="C26:AP26" si="19">SUM(C27:C28)</f>
        <v>0.4333916083916084</v>
      </c>
      <c r="D26" s="19">
        <f t="shared" si="19"/>
        <v>0.86678321678321679</v>
      </c>
      <c r="E26" s="19">
        <f t="shared" si="19"/>
        <v>1.3001748251748251</v>
      </c>
      <c r="F26" s="19">
        <f t="shared" si="19"/>
        <v>1.7335664335664336</v>
      </c>
      <c r="G26" s="19">
        <f t="shared" si="19"/>
        <v>2.1669580419580421</v>
      </c>
      <c r="H26" s="19">
        <f t="shared" si="19"/>
        <v>2.6003496503496506</v>
      </c>
      <c r="I26" s="19">
        <f t="shared" si="19"/>
        <v>3.0337412587412591</v>
      </c>
      <c r="J26" s="19">
        <f t="shared" si="19"/>
        <v>3.4671328671328676</v>
      </c>
      <c r="K26" s="19">
        <f t="shared" si="19"/>
        <v>3.9005244755244761</v>
      </c>
      <c r="L26" s="19">
        <f t="shared" si="19"/>
        <v>4.3339160839160842</v>
      </c>
      <c r="M26" s="19">
        <f t="shared" si="19"/>
        <v>4.7673076923076927</v>
      </c>
      <c r="N26" s="19">
        <f t="shared" si="19"/>
        <v>5.2006993006993012</v>
      </c>
      <c r="O26" s="19">
        <f t="shared" si="19"/>
        <v>5.6340909090909097</v>
      </c>
      <c r="P26" s="39">
        <f t="shared" si="19"/>
        <v>6.0674825174825182</v>
      </c>
      <c r="Q26" s="19">
        <f t="shared" si="19"/>
        <v>6.5008741258741267</v>
      </c>
      <c r="R26" s="19">
        <f t="shared" si="19"/>
        <v>6.9342657342657352</v>
      </c>
      <c r="S26" s="19">
        <f t="shared" si="19"/>
        <v>7.3676573426573437</v>
      </c>
      <c r="T26" s="19">
        <f t="shared" si="19"/>
        <v>7.8010489510489522</v>
      </c>
      <c r="U26" s="19">
        <f t="shared" si="19"/>
        <v>8.2344405594405607</v>
      </c>
      <c r="V26" s="19">
        <f t="shared" si="19"/>
        <v>8.6678321678321684</v>
      </c>
      <c r="W26" s="19">
        <f t="shared" si="19"/>
        <v>9.9094405594405597</v>
      </c>
      <c r="X26" s="19">
        <f t="shared" si="19"/>
        <v>11.151048951048951</v>
      </c>
      <c r="Y26" s="19">
        <f t="shared" si="19"/>
        <v>12.392657342657342</v>
      </c>
      <c r="Z26" s="19">
        <f t="shared" si="19"/>
        <v>13.634265734265734</v>
      </c>
      <c r="AA26" s="19">
        <f t="shared" si="19"/>
        <v>14.875874125874125</v>
      </c>
      <c r="AB26" s="19">
        <f t="shared" si="19"/>
        <v>16.117482517482518</v>
      </c>
      <c r="AC26" s="19">
        <f t="shared" si="19"/>
        <v>17.359090909090909</v>
      </c>
      <c r="AD26" s="19">
        <f t="shared" si="19"/>
        <v>18.600699300699301</v>
      </c>
      <c r="AE26" s="19">
        <f t="shared" si="19"/>
        <v>19.842307692307692</v>
      </c>
      <c r="AF26" s="19">
        <f t="shared" si="19"/>
        <v>21.083916083916083</v>
      </c>
      <c r="AG26" s="19">
        <f t="shared" si="19"/>
        <v>22.325524475524475</v>
      </c>
      <c r="AH26" s="39">
        <f t="shared" si="19"/>
        <v>23.567132867132866</v>
      </c>
      <c r="AI26" s="19">
        <f t="shared" si="19"/>
        <v>24.808741258741257</v>
      </c>
      <c r="AJ26" s="19">
        <f t="shared" si="19"/>
        <v>26.050349650349649</v>
      </c>
      <c r="AK26" s="19">
        <f t="shared" si="19"/>
        <v>27.29195804195804</v>
      </c>
      <c r="AL26" s="19">
        <f t="shared" si="19"/>
        <v>28.533566433566431</v>
      </c>
      <c r="AM26" s="19">
        <f t="shared" si="19"/>
        <v>29.775174825174823</v>
      </c>
      <c r="AN26" s="39">
        <f t="shared" si="19"/>
        <v>31.016783216783214</v>
      </c>
      <c r="AO26" s="19">
        <f t="shared" si="19"/>
        <v>32.258391608391605</v>
      </c>
      <c r="AP26" s="19">
        <f t="shared" si="19"/>
        <v>33.5</v>
      </c>
    </row>
    <row r="27" spans="1:42" x14ac:dyDescent="0.25">
      <c r="A27" s="1" t="s">
        <v>26</v>
      </c>
      <c r="B27" s="34">
        <v>0</v>
      </c>
      <c r="C27" s="35">
        <f>B27+($V$27-$B$27)/(2030-2010)</f>
        <v>0.4333916083916084</v>
      </c>
      <c r="D27" s="35">
        <f t="shared" ref="D27:U27" si="20">C27+($V$27-$B$27)/(2030-2010)</f>
        <v>0.86678321678321679</v>
      </c>
      <c r="E27" s="35">
        <f t="shared" si="20"/>
        <v>1.3001748251748251</v>
      </c>
      <c r="F27" s="35">
        <f t="shared" si="20"/>
        <v>1.7335664335664336</v>
      </c>
      <c r="G27" s="35">
        <f t="shared" si="20"/>
        <v>2.1669580419580421</v>
      </c>
      <c r="H27" s="35">
        <f t="shared" si="20"/>
        <v>2.6003496503496506</v>
      </c>
      <c r="I27" s="35">
        <f t="shared" si="20"/>
        <v>3.0337412587412591</v>
      </c>
      <c r="J27" s="35">
        <f t="shared" si="20"/>
        <v>3.4671328671328676</v>
      </c>
      <c r="K27" s="35">
        <f t="shared" si="20"/>
        <v>3.9005244755244761</v>
      </c>
      <c r="L27" s="35">
        <f t="shared" si="20"/>
        <v>4.3339160839160842</v>
      </c>
      <c r="M27" s="35">
        <f t="shared" si="20"/>
        <v>4.7673076923076927</v>
      </c>
      <c r="N27" s="35">
        <f t="shared" si="20"/>
        <v>5.2006993006993012</v>
      </c>
      <c r="O27" s="35">
        <f t="shared" si="20"/>
        <v>5.6340909090909097</v>
      </c>
      <c r="P27" s="35">
        <f t="shared" si="20"/>
        <v>6.0674825174825182</v>
      </c>
      <c r="Q27" s="35">
        <f t="shared" si="20"/>
        <v>6.5008741258741267</v>
      </c>
      <c r="R27" s="35">
        <f t="shared" si="20"/>
        <v>6.9342657342657352</v>
      </c>
      <c r="S27" s="35">
        <f t="shared" si="20"/>
        <v>7.3676573426573437</v>
      </c>
      <c r="T27" s="35">
        <f t="shared" si="20"/>
        <v>7.8010489510489522</v>
      </c>
      <c r="U27" s="35">
        <f t="shared" si="20"/>
        <v>8.2344405594405607</v>
      </c>
      <c r="V27" s="34">
        <f>3.7/14.3*AP27</f>
        <v>8.6678321678321684</v>
      </c>
      <c r="W27" s="35">
        <f>V27+($AP$27-$V$27)/(2050-2030)</f>
        <v>9.9094405594405597</v>
      </c>
      <c r="X27" s="35">
        <f t="shared" ref="X27:AO27" si="21">W27+($AP$27-$V$27)/(2050-2030)</f>
        <v>11.151048951048951</v>
      </c>
      <c r="Y27" s="35">
        <f t="shared" si="21"/>
        <v>12.392657342657342</v>
      </c>
      <c r="Z27" s="35">
        <f t="shared" si="21"/>
        <v>13.634265734265734</v>
      </c>
      <c r="AA27" s="35">
        <f t="shared" si="21"/>
        <v>14.875874125874125</v>
      </c>
      <c r="AB27" s="35">
        <f t="shared" si="21"/>
        <v>16.117482517482518</v>
      </c>
      <c r="AC27" s="35">
        <f t="shared" si="21"/>
        <v>17.359090909090909</v>
      </c>
      <c r="AD27" s="35">
        <f t="shared" si="21"/>
        <v>18.600699300699301</v>
      </c>
      <c r="AE27" s="35">
        <f t="shared" si="21"/>
        <v>19.842307692307692</v>
      </c>
      <c r="AF27" s="35">
        <f t="shared" si="21"/>
        <v>21.083916083916083</v>
      </c>
      <c r="AG27" s="35">
        <f t="shared" si="21"/>
        <v>22.325524475524475</v>
      </c>
      <c r="AH27" s="35">
        <f t="shared" si="21"/>
        <v>23.567132867132866</v>
      </c>
      <c r="AI27" s="35">
        <f t="shared" si="21"/>
        <v>24.808741258741257</v>
      </c>
      <c r="AJ27" s="35">
        <f t="shared" si="21"/>
        <v>26.050349650349649</v>
      </c>
      <c r="AK27" s="35">
        <f t="shared" si="21"/>
        <v>27.29195804195804</v>
      </c>
      <c r="AL27" s="35">
        <f t="shared" si="21"/>
        <v>28.533566433566431</v>
      </c>
      <c r="AM27" s="35">
        <f t="shared" si="21"/>
        <v>29.775174825174823</v>
      </c>
      <c r="AN27" s="35">
        <f t="shared" si="21"/>
        <v>31.016783216783214</v>
      </c>
      <c r="AO27" s="35">
        <f t="shared" si="21"/>
        <v>32.258391608391605</v>
      </c>
      <c r="AP27" s="34">
        <v>33.5</v>
      </c>
    </row>
    <row r="28" spans="1:42" x14ac:dyDescent="0.25">
      <c r="A28" s="1" t="s">
        <v>25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4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41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41">
        <v>0</v>
      </c>
      <c r="AO28" s="30">
        <v>0</v>
      </c>
      <c r="AP28" s="34">
        <v>0</v>
      </c>
    </row>
    <row r="29" spans="1:42" x14ac:dyDescent="0.25">
      <c r="A29" s="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4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42"/>
      <c r="AI29" s="13"/>
      <c r="AJ29" s="13"/>
      <c r="AK29" s="13"/>
      <c r="AL29" s="13"/>
      <c r="AM29" s="13"/>
      <c r="AN29" s="42"/>
      <c r="AO29" s="13"/>
      <c r="AP29" s="53"/>
    </row>
    <row r="30" spans="1:42" x14ac:dyDescent="0.25">
      <c r="A30" s="52" t="s">
        <v>113</v>
      </c>
      <c r="B30" s="51">
        <f t="shared" ref="B30:D30" si="22">B31+B35+B40</f>
        <v>0</v>
      </c>
      <c r="C30" s="51">
        <f t="shared" si="22"/>
        <v>0</v>
      </c>
      <c r="D30" s="51">
        <f t="shared" si="22"/>
        <v>0</v>
      </c>
      <c r="E30" s="51">
        <f>E31+E35+E40+E44</f>
        <v>841.95855728141487</v>
      </c>
      <c r="F30" s="51">
        <f t="shared" ref="F30:AO30" si="23">F31+F35+F40+F44</f>
        <v>858.9785082006216</v>
      </c>
      <c r="G30" s="51">
        <f t="shared" si="23"/>
        <v>875.88736180652074</v>
      </c>
      <c r="H30" s="51">
        <f t="shared" si="23"/>
        <v>892.68511809911229</v>
      </c>
      <c r="I30" s="51">
        <f t="shared" si="23"/>
        <v>909.37177707839646</v>
      </c>
      <c r="J30" s="51">
        <f t="shared" si="23"/>
        <v>925.94733874437316</v>
      </c>
      <c r="K30" s="51">
        <f t="shared" si="23"/>
        <v>942.41180309704214</v>
      </c>
      <c r="L30" s="51">
        <f t="shared" si="23"/>
        <v>958.76517013640375</v>
      </c>
      <c r="M30" s="51">
        <f t="shared" si="23"/>
        <v>975.007439862458</v>
      </c>
      <c r="N30" s="51">
        <f t="shared" si="23"/>
        <v>991.13861227520465</v>
      </c>
      <c r="O30" s="51">
        <f t="shared" si="23"/>
        <v>1007.1586873746437</v>
      </c>
      <c r="P30" s="51">
        <f t="shared" si="23"/>
        <v>1023.0676651607756</v>
      </c>
      <c r="Q30" s="51">
        <f t="shared" si="23"/>
        <v>1027.3512190097258</v>
      </c>
      <c r="R30" s="51">
        <f t="shared" si="23"/>
        <v>1031.4519508354392</v>
      </c>
      <c r="S30" s="51">
        <f t="shared" si="23"/>
        <v>1035.369860637916</v>
      </c>
      <c r="T30" s="51">
        <f t="shared" si="23"/>
        <v>1039.1049484171558</v>
      </c>
      <c r="U30" s="51">
        <f t="shared" si="23"/>
        <v>1042.6572141731592</v>
      </c>
      <c r="V30" s="51">
        <f t="shared" si="23"/>
        <v>1046.0266579059257</v>
      </c>
      <c r="W30" s="51">
        <f t="shared" si="23"/>
        <v>1067.2431395933327</v>
      </c>
      <c r="X30" s="51">
        <f t="shared" si="23"/>
        <v>1088.3745609288758</v>
      </c>
      <c r="Y30" s="51">
        <f t="shared" si="23"/>
        <v>1109.4209219125553</v>
      </c>
      <c r="Z30" s="51">
        <f t="shared" si="23"/>
        <v>1129.1289709905525</v>
      </c>
      <c r="AA30" s="51">
        <f t="shared" si="23"/>
        <v>1148.7894804492023</v>
      </c>
      <c r="AB30" s="51">
        <f t="shared" si="23"/>
        <v>1168.402450288505</v>
      </c>
      <c r="AC30" s="51">
        <f t="shared" si="23"/>
        <v>1187.9678805084604</v>
      </c>
      <c r="AD30" s="51">
        <f t="shared" si="23"/>
        <v>1207.4857711090685</v>
      </c>
      <c r="AE30" s="51">
        <f t="shared" si="23"/>
        <v>1226.9561220903292</v>
      </c>
      <c r="AF30" s="51">
        <f t="shared" si="23"/>
        <v>1246.3789334522426</v>
      </c>
      <c r="AG30" s="51">
        <f t="shared" si="23"/>
        <v>1265.7542051948087</v>
      </c>
      <c r="AH30" s="51">
        <f t="shared" si="23"/>
        <v>1669.4924029046715</v>
      </c>
      <c r="AI30" s="51">
        <f t="shared" si="23"/>
        <v>2083.0423801325692</v>
      </c>
      <c r="AJ30" s="51">
        <f t="shared" si="23"/>
        <v>2496.5110238390894</v>
      </c>
      <c r="AK30" s="51">
        <f t="shared" si="23"/>
        <v>2909.3569938305436</v>
      </c>
      <c r="AL30" s="51">
        <f t="shared" si="23"/>
        <v>3322.1482282523334</v>
      </c>
      <c r="AM30" s="51">
        <f t="shared" si="23"/>
        <v>3734.8855437776765</v>
      </c>
      <c r="AN30" s="51">
        <f t="shared" si="23"/>
        <v>4147.5694894385597</v>
      </c>
      <c r="AO30" s="51">
        <f t="shared" si="23"/>
        <v>4570.5373401013003</v>
      </c>
      <c r="AP30" s="51">
        <f>AP31+AP35+AP40+AP44</f>
        <v>4993.4104068049246</v>
      </c>
    </row>
    <row r="31" spans="1:42" x14ac:dyDescent="0.25">
      <c r="A31" s="20" t="s">
        <v>4</v>
      </c>
      <c r="B31" s="31"/>
      <c r="C31" s="31"/>
      <c r="D31" s="31"/>
      <c r="E31" s="31">
        <f t="shared" ref="E31:AP31" si="24">SUM(E32:E33)</f>
        <v>0</v>
      </c>
      <c r="F31" s="31">
        <f t="shared" si="24"/>
        <v>14.505893106388472</v>
      </c>
      <c r="G31" s="31">
        <f t="shared" si="24"/>
        <v>28.900688899469436</v>
      </c>
      <c r="H31" s="31">
        <f t="shared" si="24"/>
        <v>43.184387379242892</v>
      </c>
      <c r="I31" s="31">
        <f t="shared" si="24"/>
        <v>57.356988545708845</v>
      </c>
      <c r="J31" s="31">
        <f t="shared" si="24"/>
        <v>71.418492398867286</v>
      </c>
      <c r="K31" s="31">
        <f t="shared" si="24"/>
        <v>85.368898938718232</v>
      </c>
      <c r="L31" s="31">
        <f t="shared" si="24"/>
        <v>99.208208165261681</v>
      </c>
      <c r="M31" s="31">
        <f t="shared" si="24"/>
        <v>112.93642007849762</v>
      </c>
      <c r="N31" s="31">
        <f t="shared" si="24"/>
        <v>126.55353467842605</v>
      </c>
      <c r="O31" s="31">
        <f t="shared" si="24"/>
        <v>140.05955196504698</v>
      </c>
      <c r="P31" s="43">
        <f t="shared" si="24"/>
        <v>153.4544719383604</v>
      </c>
      <c r="Q31" s="31">
        <f t="shared" si="24"/>
        <v>175.45970143230534</v>
      </c>
      <c r="R31" s="31">
        <f t="shared" si="24"/>
        <v>197.28210890301364</v>
      </c>
      <c r="S31" s="31">
        <f t="shared" si="24"/>
        <v>218.92169435048515</v>
      </c>
      <c r="T31" s="31">
        <f t="shared" si="24"/>
        <v>240.37845777472</v>
      </c>
      <c r="U31" s="31">
        <f t="shared" si="24"/>
        <v>261.65239917571813</v>
      </c>
      <c r="V31" s="31">
        <f t="shared" si="24"/>
        <v>282.74351855347948</v>
      </c>
      <c r="W31" s="31">
        <f t="shared" si="24"/>
        <v>303.96000024088642</v>
      </c>
      <c r="X31" s="31">
        <f t="shared" si="24"/>
        <v>325.09142157642958</v>
      </c>
      <c r="Y31" s="31">
        <f t="shared" si="24"/>
        <v>346.13778256010897</v>
      </c>
      <c r="Z31" s="31">
        <f t="shared" si="24"/>
        <v>365.84583163810623</v>
      </c>
      <c r="AA31" s="31">
        <f t="shared" si="24"/>
        <v>385.5063410967561</v>
      </c>
      <c r="AB31" s="31">
        <f t="shared" si="24"/>
        <v>405.11931093605881</v>
      </c>
      <c r="AC31" s="31">
        <f t="shared" si="24"/>
        <v>424.68474115601418</v>
      </c>
      <c r="AD31" s="31">
        <f t="shared" si="24"/>
        <v>444.20263175662222</v>
      </c>
      <c r="AE31" s="31">
        <f t="shared" si="24"/>
        <v>463.67298273788299</v>
      </c>
      <c r="AF31" s="31">
        <f t="shared" si="24"/>
        <v>483.09579409979642</v>
      </c>
      <c r="AG31" s="31">
        <f t="shared" si="24"/>
        <v>502.47106584236252</v>
      </c>
      <c r="AH31" s="43">
        <f t="shared" si="24"/>
        <v>521.79879796558146</v>
      </c>
      <c r="AI31" s="31">
        <f t="shared" si="24"/>
        <v>550.93289127980916</v>
      </c>
      <c r="AJ31" s="31">
        <f t="shared" si="24"/>
        <v>579.97872228863412</v>
      </c>
      <c r="AK31" s="31">
        <f t="shared" si="24"/>
        <v>608.39364687084162</v>
      </c>
      <c r="AL31" s="31">
        <f t="shared" si="24"/>
        <v>636.74453262862858</v>
      </c>
      <c r="AM31" s="31">
        <f t="shared" si="24"/>
        <v>665.03137956199498</v>
      </c>
      <c r="AN31" s="43">
        <f t="shared" si="24"/>
        <v>693.25418767094084</v>
      </c>
      <c r="AO31" s="31">
        <f t="shared" si="24"/>
        <v>731.29652699159408</v>
      </c>
      <c r="AP31" s="31">
        <f t="shared" si="24"/>
        <v>769.23313890368252</v>
      </c>
    </row>
    <row r="32" spans="1:42" x14ac:dyDescent="0.25">
      <c r="A32" s="1" t="s">
        <v>26</v>
      </c>
      <c r="B32" s="64"/>
      <c r="C32" s="13"/>
      <c r="D32" s="13"/>
      <c r="E32" s="30">
        <f>'Données capacités de stockage'!B9</f>
        <v>0</v>
      </c>
      <c r="F32" s="30">
        <f>'Données capacités de stockage'!C9</f>
        <v>11.230368856558814</v>
      </c>
      <c r="G32" s="30">
        <f>'Données capacités de stockage'!D9</f>
        <v>22.390570988923415</v>
      </c>
      <c r="H32" s="30">
        <f>'Données capacités de stockage'!E9</f>
        <v>33.480606397093801</v>
      </c>
      <c r="I32" s="30">
        <f>'Données capacités de stockage'!F9</f>
        <v>44.500475081069979</v>
      </c>
      <c r="J32" s="30">
        <f>'Données capacités de stockage'!G9</f>
        <v>55.450177040851941</v>
      </c>
      <c r="K32" s="30">
        <f>'Données capacités de stockage'!H9</f>
        <v>66.329712276439693</v>
      </c>
      <c r="L32" s="30">
        <f>'Données capacités de stockage'!I9</f>
        <v>77.139080787833251</v>
      </c>
      <c r="M32" s="30">
        <f>'Données capacités de stockage'!J9</f>
        <v>87.878282575032586</v>
      </c>
      <c r="N32" s="30">
        <f>'Données capacités de stockage'!K9</f>
        <v>98.547317638037711</v>
      </c>
      <c r="O32" s="30">
        <f>'Données capacités de stockage'!L9</f>
        <v>109.14618597684863</v>
      </c>
      <c r="P32" s="30">
        <f>'Données capacités de stockage'!M9</f>
        <v>119.67488759146532</v>
      </c>
      <c r="Q32" s="30">
        <f>'Données capacités de stockage'!N9</f>
        <v>136.8854793855825</v>
      </c>
      <c r="R32" s="30">
        <f>'Données capacités de stockage'!O9</f>
        <v>153.98060463870809</v>
      </c>
      <c r="S32" s="30">
        <f>'Données capacités de stockage'!P9</f>
        <v>170.96026335084204</v>
      </c>
      <c r="T32" s="30">
        <f>'Données capacités de stockage'!Q9</f>
        <v>187.82445552198442</v>
      </c>
      <c r="U32" s="30">
        <f>'Données capacités de stockage'!R9</f>
        <v>204.57318115213519</v>
      </c>
      <c r="V32" s="30">
        <f>'Données capacités de stockage'!S9</f>
        <v>221.20644024129436</v>
      </c>
      <c r="W32" s="30">
        <f>'Données capacités de stockage'!T9</f>
        <v>237.78597700296064</v>
      </c>
      <c r="X32" s="30">
        <f>'Données capacités de stockage'!U9</f>
        <v>254.31179143713402</v>
      </c>
      <c r="Y32" s="30">
        <f>'Données capacités de stockage'!V9</f>
        <v>270.78388354381451</v>
      </c>
      <c r="Z32" s="30">
        <f>'Données capacités de stockage'!W9</f>
        <v>285.94900176918372</v>
      </c>
      <c r="AA32" s="30">
        <f>'Données capacités de stockage'!X9</f>
        <v>301.09791839957649</v>
      </c>
      <c r="AB32" s="30">
        <f>'Données capacités de stockage'!Y9</f>
        <v>316.23063343499291</v>
      </c>
      <c r="AC32" s="30">
        <f>'Données capacités de stockage'!Z9</f>
        <v>331.34714687543288</v>
      </c>
      <c r="AD32" s="30">
        <f>'Données capacités de stockage'!AA9</f>
        <v>346.44745872089646</v>
      </c>
      <c r="AE32" s="30">
        <f>'Données capacités de stockage'!AB9</f>
        <v>361.53156897138359</v>
      </c>
      <c r="AF32" s="30">
        <f>'Données capacités de stockage'!AC9</f>
        <v>376.59947762689427</v>
      </c>
      <c r="AG32" s="30">
        <f>'Données capacités de stockage'!AD9</f>
        <v>391.65118468742855</v>
      </c>
      <c r="AH32" s="30">
        <f>'Données capacités de stockage'!AE9</f>
        <v>406.68669015298644</v>
      </c>
      <c r="AI32" s="30">
        <f>'Données capacités de stockage'!AF9</f>
        <v>429.33482045739191</v>
      </c>
      <c r="AJ32" s="30">
        <f>'Données capacités de stockage'!AG9</f>
        <v>451.94102957562814</v>
      </c>
      <c r="AK32" s="30">
        <f>'Données capacités de stockage'!AH9</f>
        <v>473.96267338648011</v>
      </c>
      <c r="AL32" s="30">
        <f>'Données capacités de stockage'!AI9</f>
        <v>495.96661949214496</v>
      </c>
      <c r="AM32" s="30">
        <f>'Données capacités de stockage'!AJ9</f>
        <v>517.95286789262275</v>
      </c>
      <c r="AN32" s="30">
        <f>'Données capacités de stockage'!AK9</f>
        <v>539.92141858791331</v>
      </c>
      <c r="AO32" s="30">
        <f>'Données capacités de stockage'!AL9</f>
        <v>569.524067735019</v>
      </c>
      <c r="AP32" s="30">
        <f>'Données capacités de stockage'!AM9</f>
        <v>599.0826895448464</v>
      </c>
    </row>
    <row r="33" spans="1:42" x14ac:dyDescent="0.25">
      <c r="A33" s="1" t="s">
        <v>25</v>
      </c>
      <c r="B33" s="64"/>
      <c r="C33" s="13"/>
      <c r="D33" s="13"/>
      <c r="E33" s="30">
        <f>'Données capacités de stockage'!B10</f>
        <v>0</v>
      </c>
      <c r="F33" s="30">
        <f>'Données capacités de stockage'!C10</f>
        <v>3.2755242498296577</v>
      </c>
      <c r="G33" s="30">
        <f>'Données capacités de stockage'!D10</f>
        <v>6.5101179105460218</v>
      </c>
      <c r="H33" s="30">
        <f>'Données capacités de stockage'!E10</f>
        <v>9.703780982149091</v>
      </c>
      <c r="I33" s="30">
        <f>'Données capacités de stockage'!F10</f>
        <v>12.856513464638867</v>
      </c>
      <c r="J33" s="30">
        <f>'Données capacités de stockage'!G10</f>
        <v>15.968315358015351</v>
      </c>
      <c r="K33" s="30">
        <f>'Données capacités de stockage'!H10</f>
        <v>19.039186662278542</v>
      </c>
      <c r="L33" s="30">
        <f>'Données capacités de stockage'!I10</f>
        <v>22.06912737742843</v>
      </c>
      <c r="M33" s="30">
        <f>'Données capacités de stockage'!J10</f>
        <v>25.058137503465034</v>
      </c>
      <c r="N33" s="30">
        <f>'Données capacités de stockage'!K10</f>
        <v>28.006217040388339</v>
      </c>
      <c r="O33" s="30">
        <f>'Données capacités de stockage'!L10</f>
        <v>30.91336598819835</v>
      </c>
      <c r="P33" s="30">
        <f>'Données capacités de stockage'!M10</f>
        <v>33.779584346895078</v>
      </c>
      <c r="Q33" s="30">
        <f>'Données capacités de stockage'!N10</f>
        <v>38.574222046722852</v>
      </c>
      <c r="R33" s="30">
        <f>'Données capacités de stockage'!O10</f>
        <v>43.301504264305535</v>
      </c>
      <c r="S33" s="30">
        <f>'Données capacités de stockage'!P10</f>
        <v>47.961430999643099</v>
      </c>
      <c r="T33" s="30">
        <f>'Données capacités de stockage'!Q10</f>
        <v>52.554002252735572</v>
      </c>
      <c r="U33" s="30">
        <f>'Données capacités de stockage'!R10</f>
        <v>57.079218023582925</v>
      </c>
      <c r="V33" s="30">
        <f>'Données capacités de stockage'!S10</f>
        <v>61.537078312185137</v>
      </c>
      <c r="W33" s="30">
        <f>'Données capacités de stockage'!T10</f>
        <v>66.174023237925795</v>
      </c>
      <c r="X33" s="30">
        <f>'Données capacités de stockage'!U10</f>
        <v>70.779630139295577</v>
      </c>
      <c r="Y33" s="30">
        <f>'Données capacités de stockage'!V10</f>
        <v>75.353899016294463</v>
      </c>
      <c r="Z33" s="30">
        <f>'Données capacités de stockage'!W10</f>
        <v>79.896829868922481</v>
      </c>
      <c r="AA33" s="30">
        <f>'Données capacités de stockage'!X10</f>
        <v>84.408422697179631</v>
      </c>
      <c r="AB33" s="30">
        <f>'Données capacités de stockage'!Y10</f>
        <v>88.888677501065885</v>
      </c>
      <c r="AC33" s="30">
        <f>'Données capacités de stockage'!Z10</f>
        <v>93.337594280581271</v>
      </c>
      <c r="AD33" s="30">
        <f>'Données capacités de stockage'!AA10</f>
        <v>97.755173035725761</v>
      </c>
      <c r="AE33" s="30">
        <f>'Données capacités de stockage'!AB10</f>
        <v>102.14141376649937</v>
      </c>
      <c r="AF33" s="30">
        <f>'Données capacités de stockage'!AC10</f>
        <v>106.49631647290212</v>
      </c>
      <c r="AG33" s="30">
        <f>'Données capacités de stockage'!AD10</f>
        <v>110.81988115493398</v>
      </c>
      <c r="AH33" s="30">
        <f>'Données capacités de stockage'!AE10</f>
        <v>115.11210781259499</v>
      </c>
      <c r="AI33" s="30">
        <f>'Données capacités de stockage'!AF10</f>
        <v>121.5980708224172</v>
      </c>
      <c r="AJ33" s="30">
        <f>'Données capacités de stockage'!AG10</f>
        <v>128.03769271300604</v>
      </c>
      <c r="AK33" s="30">
        <f>'Données capacités de stockage'!AH10</f>
        <v>134.43097348436149</v>
      </c>
      <c r="AL33" s="30">
        <f>'Données capacités de stockage'!AI10</f>
        <v>140.77791313648356</v>
      </c>
      <c r="AM33" s="30">
        <f>'Données capacités de stockage'!AJ10</f>
        <v>147.07851166937223</v>
      </c>
      <c r="AN33" s="30">
        <f>'Données capacités de stockage'!AK10</f>
        <v>153.3327690830275</v>
      </c>
      <c r="AO33" s="30">
        <f>'Données capacités de stockage'!AL10</f>
        <v>161.7724592565751</v>
      </c>
      <c r="AP33" s="30">
        <f>'Données capacités de stockage'!AM10</f>
        <v>170.15044935883608</v>
      </c>
    </row>
    <row r="34" spans="1:42" ht="6" customHeight="1" x14ac:dyDescent="0.25">
      <c r="A34" s="1"/>
      <c r="B34" s="6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40"/>
      <c r="AI34" s="1"/>
      <c r="AJ34" s="1"/>
      <c r="AK34" s="1"/>
      <c r="AL34" s="1"/>
      <c r="AM34" s="1"/>
      <c r="AN34" s="40"/>
      <c r="AO34" s="1"/>
      <c r="AP34" s="13"/>
    </row>
    <row r="35" spans="1:42" x14ac:dyDescent="0.25">
      <c r="A35" s="17" t="s">
        <v>3</v>
      </c>
      <c r="B35" s="65"/>
      <c r="C35" s="31"/>
      <c r="D35" s="31"/>
      <c r="E35" s="31">
        <f t="shared" ref="E35:AP35" si="25">SUM(E36:E38)</f>
        <v>0</v>
      </c>
      <c r="F35" s="31">
        <f t="shared" si="25"/>
        <v>0</v>
      </c>
      <c r="G35" s="31">
        <f t="shared" si="25"/>
        <v>0</v>
      </c>
      <c r="H35" s="31">
        <f t="shared" si="25"/>
        <v>0</v>
      </c>
      <c r="I35" s="31">
        <f t="shared" si="25"/>
        <v>0</v>
      </c>
      <c r="J35" s="31">
        <f t="shared" si="25"/>
        <v>0</v>
      </c>
      <c r="K35" s="31">
        <f t="shared" si="25"/>
        <v>0</v>
      </c>
      <c r="L35" s="31">
        <f t="shared" si="25"/>
        <v>0</v>
      </c>
      <c r="M35" s="31">
        <f t="shared" si="25"/>
        <v>0</v>
      </c>
      <c r="N35" s="31">
        <f t="shared" si="25"/>
        <v>0</v>
      </c>
      <c r="O35" s="31">
        <f t="shared" si="25"/>
        <v>0</v>
      </c>
      <c r="P35" s="43">
        <f t="shared" si="25"/>
        <v>0</v>
      </c>
      <c r="Q35" s="31">
        <f t="shared" si="25"/>
        <v>0</v>
      </c>
      <c r="R35" s="31">
        <f t="shared" si="25"/>
        <v>0</v>
      </c>
      <c r="S35" s="31">
        <f t="shared" si="25"/>
        <v>0</v>
      </c>
      <c r="T35" s="31">
        <f t="shared" si="25"/>
        <v>0</v>
      </c>
      <c r="U35" s="31">
        <f t="shared" si="25"/>
        <v>0</v>
      </c>
      <c r="V35" s="31">
        <f t="shared" si="25"/>
        <v>0</v>
      </c>
      <c r="W35" s="31">
        <f t="shared" si="25"/>
        <v>0</v>
      </c>
      <c r="X35" s="31">
        <f t="shared" si="25"/>
        <v>0</v>
      </c>
      <c r="Y35" s="31">
        <f t="shared" si="25"/>
        <v>0</v>
      </c>
      <c r="Z35" s="31">
        <f t="shared" si="25"/>
        <v>0</v>
      </c>
      <c r="AA35" s="31">
        <f t="shared" si="25"/>
        <v>0</v>
      </c>
      <c r="AB35" s="31">
        <f t="shared" si="25"/>
        <v>0</v>
      </c>
      <c r="AC35" s="31">
        <f t="shared" si="25"/>
        <v>0</v>
      </c>
      <c r="AD35" s="31">
        <f t="shared" si="25"/>
        <v>0</v>
      </c>
      <c r="AE35" s="31">
        <f t="shared" si="25"/>
        <v>0</v>
      </c>
      <c r="AF35" s="31">
        <f t="shared" si="25"/>
        <v>0</v>
      </c>
      <c r="AG35" s="31">
        <f t="shared" si="25"/>
        <v>0</v>
      </c>
      <c r="AH35" s="43">
        <f t="shared" si="25"/>
        <v>384.41046558664391</v>
      </c>
      <c r="AI35" s="31">
        <f t="shared" si="25"/>
        <v>768.82634950031388</v>
      </c>
      <c r="AJ35" s="31">
        <f t="shared" si="25"/>
        <v>1153.2491621980089</v>
      </c>
      <c r="AK35" s="31">
        <f t="shared" si="25"/>
        <v>1537.6802076072559</v>
      </c>
      <c r="AL35" s="31">
        <f t="shared" si="25"/>
        <v>1922.1205562712589</v>
      </c>
      <c r="AM35" s="31">
        <f t="shared" si="25"/>
        <v>2306.5710248632354</v>
      </c>
      <c r="AN35" s="43">
        <f t="shared" si="25"/>
        <v>2691.0321624151729</v>
      </c>
      <c r="AO35" s="31">
        <f t="shared" si="25"/>
        <v>3075.5042434334837</v>
      </c>
      <c r="AP35" s="31">
        <f t="shared" si="25"/>
        <v>3459.9872679012424</v>
      </c>
    </row>
    <row r="36" spans="1:42" x14ac:dyDescent="0.25">
      <c r="A36" s="1" t="s">
        <v>26</v>
      </c>
      <c r="B36" s="64"/>
      <c r="C36" s="29"/>
      <c r="D36" s="29"/>
      <c r="E36" s="25">
        <f>'Données capacités de stockage'!B21+'Données capacités de stockage'!B57</f>
        <v>0</v>
      </c>
      <c r="F36" s="25">
        <f>'Données capacités de stockage'!C21+'Données capacités de stockage'!C57</f>
        <v>0</v>
      </c>
      <c r="G36" s="25">
        <f>'Données capacités de stockage'!D21+'Données capacités de stockage'!D57</f>
        <v>0</v>
      </c>
      <c r="H36" s="25">
        <f>'Données capacités de stockage'!E21+'Données capacités de stockage'!E57</f>
        <v>0</v>
      </c>
      <c r="I36" s="25">
        <f>'Données capacités de stockage'!F21+'Données capacités de stockage'!F57</f>
        <v>0</v>
      </c>
      <c r="J36" s="25">
        <f>'Données capacités de stockage'!G21+'Données capacités de stockage'!G57</f>
        <v>0</v>
      </c>
      <c r="K36" s="25">
        <f>'Données capacités de stockage'!H21+'Données capacités de stockage'!H57</f>
        <v>0</v>
      </c>
      <c r="L36" s="25">
        <f>'Données capacités de stockage'!I21+'Données capacités de stockage'!I57</f>
        <v>0</v>
      </c>
      <c r="M36" s="25">
        <f>'Données capacités de stockage'!J21+'Données capacités de stockage'!J57</f>
        <v>0</v>
      </c>
      <c r="N36" s="25">
        <f>'Données capacités de stockage'!K21+'Données capacités de stockage'!K57</f>
        <v>0</v>
      </c>
      <c r="O36" s="25">
        <f>'Données capacités de stockage'!L21+'Données capacités de stockage'!L57</f>
        <v>0</v>
      </c>
      <c r="P36" s="25">
        <f>'Données capacités de stockage'!M21+'Données capacités de stockage'!M57</f>
        <v>0</v>
      </c>
      <c r="Q36" s="25">
        <f>'Données capacités de stockage'!N21+'Données capacités de stockage'!N57</f>
        <v>0</v>
      </c>
      <c r="R36" s="25">
        <f>'Données capacités de stockage'!O21+'Données capacités de stockage'!O57</f>
        <v>0</v>
      </c>
      <c r="S36" s="25">
        <f>'Données capacités de stockage'!P21+'Données capacités de stockage'!P57</f>
        <v>0</v>
      </c>
      <c r="T36" s="25">
        <f>'Données capacités de stockage'!Q21+'Données capacités de stockage'!Q57</f>
        <v>0</v>
      </c>
      <c r="U36" s="25">
        <f>'Données capacités de stockage'!R21+'Données capacités de stockage'!R57</f>
        <v>0</v>
      </c>
      <c r="V36" s="25">
        <f>'Données capacités de stockage'!S21+'Données capacités de stockage'!S57</f>
        <v>0</v>
      </c>
      <c r="W36" s="25">
        <f>'Données capacités de stockage'!T21+'Données capacités de stockage'!T57</f>
        <v>0</v>
      </c>
      <c r="X36" s="25">
        <f>'Données capacités de stockage'!U21+'Données capacités de stockage'!U57</f>
        <v>0</v>
      </c>
      <c r="Y36" s="25">
        <f>'Données capacités de stockage'!V21+'Données capacités de stockage'!V57</f>
        <v>0</v>
      </c>
      <c r="Z36" s="25">
        <f>'Données capacités de stockage'!W21+'Données capacités de stockage'!W57</f>
        <v>0</v>
      </c>
      <c r="AA36" s="25">
        <f>'Données capacités de stockage'!X21+'Données capacités de stockage'!X57</f>
        <v>0</v>
      </c>
      <c r="AB36" s="25">
        <f>'Données capacités de stockage'!Y21+'Données capacités de stockage'!Y57</f>
        <v>0</v>
      </c>
      <c r="AC36" s="25">
        <f>'Données capacités de stockage'!Z21+'Données capacités de stockage'!Z57</f>
        <v>0</v>
      </c>
      <c r="AD36" s="25">
        <f>'Données capacités de stockage'!AA21+'Données capacités de stockage'!AA57</f>
        <v>0</v>
      </c>
      <c r="AE36" s="25">
        <f>'Données capacités de stockage'!AB21+'Données capacités de stockage'!AB57</f>
        <v>0</v>
      </c>
      <c r="AF36" s="25">
        <f>'Données capacités de stockage'!AC21+'Données capacités de stockage'!AC57</f>
        <v>0</v>
      </c>
      <c r="AG36" s="25">
        <f>'Données capacités de stockage'!AD21+'Données capacités de stockage'!AD57</f>
        <v>0</v>
      </c>
      <c r="AH36" s="25">
        <f>'Données capacités de stockage'!AE57</f>
        <v>208.46005166607648</v>
      </c>
      <c r="AI36" s="25">
        <f>'Données capacités de stockage'!AF57</f>
        <v>415.95653401117374</v>
      </c>
      <c r="AJ36" s="25">
        <f>'Données capacités de stockage'!AG57</f>
        <v>622.49079596029469</v>
      </c>
      <c r="AK36" s="25">
        <f>'Données capacités de stockage'!AH57</f>
        <v>828.06400199574114</v>
      </c>
      <c r="AL36" s="25">
        <f>'Données capacités de stockage'!AI57</f>
        <v>1032.677108174187</v>
      </c>
      <c r="AM36" s="25">
        <f>'Données capacités de stockage'!AJ57</f>
        <v>1236.3308438318018</v>
      </c>
      <c r="AN36" s="25">
        <f>'Données capacités de stockage'!AK57</f>
        <v>1439.0256992857389</v>
      </c>
      <c r="AO36" s="25">
        <f>'Données capacités de stockage'!AL57</f>
        <v>1640.7619196860176</v>
      </c>
      <c r="AP36" s="25">
        <f>'Données capacités de stockage'!AM57</f>
        <v>1841.5395050175209</v>
      </c>
    </row>
    <row r="37" spans="1:42" x14ac:dyDescent="0.25">
      <c r="A37" s="1" t="s">
        <v>198</v>
      </c>
      <c r="B37" s="64"/>
      <c r="C37" s="29"/>
      <c r="D37" s="29"/>
      <c r="E37" s="25">
        <f>'Données capacités de stockage'!B55+'Données capacités de stockage'!B56+'Données capacités de stockage'!B22</f>
        <v>0</v>
      </c>
      <c r="F37" s="25">
        <f>'Données capacités de stockage'!C55+'Données capacités de stockage'!C56+'Données capacités de stockage'!C22</f>
        <v>0</v>
      </c>
      <c r="G37" s="25">
        <f>'Données capacités de stockage'!D55+'Données capacités de stockage'!D56+'Données capacités de stockage'!D22</f>
        <v>0</v>
      </c>
      <c r="H37" s="25">
        <f>'Données capacités de stockage'!E55+'Données capacités de stockage'!E56+'Données capacités de stockage'!E22</f>
        <v>0</v>
      </c>
      <c r="I37" s="25">
        <f>'Données capacités de stockage'!F55+'Données capacités de stockage'!F56+'Données capacités de stockage'!F22</f>
        <v>0</v>
      </c>
      <c r="J37" s="25">
        <f>'Données capacités de stockage'!G55+'Données capacités de stockage'!G56+'Données capacités de stockage'!G22</f>
        <v>0</v>
      </c>
      <c r="K37" s="25">
        <f>'Données capacités de stockage'!H55+'Données capacités de stockage'!H56+'Données capacités de stockage'!H22</f>
        <v>0</v>
      </c>
      <c r="L37" s="25">
        <f>'Données capacités de stockage'!I55+'Données capacités de stockage'!I56+'Données capacités de stockage'!I22</f>
        <v>0</v>
      </c>
      <c r="M37" s="25">
        <f>'Données capacités de stockage'!J55+'Données capacités de stockage'!J56+'Données capacités de stockage'!J22</f>
        <v>0</v>
      </c>
      <c r="N37" s="25">
        <f>'Données capacités de stockage'!K55+'Données capacités de stockage'!K56+'Données capacités de stockage'!K22</f>
        <v>0</v>
      </c>
      <c r="O37" s="25">
        <f>'Données capacités de stockage'!L55+'Données capacités de stockage'!L56+'Données capacités de stockage'!L22</f>
        <v>0</v>
      </c>
      <c r="P37" s="25">
        <f>'Données capacités de stockage'!M55+'Données capacités de stockage'!M56+'Données capacités de stockage'!M22</f>
        <v>0</v>
      </c>
      <c r="Q37" s="25">
        <f>'Données capacités de stockage'!N55+'Données capacités de stockage'!N56+'Données capacités de stockage'!N22</f>
        <v>0</v>
      </c>
      <c r="R37" s="25">
        <f>'Données capacités de stockage'!O55+'Données capacités de stockage'!O56+'Données capacités de stockage'!O22</f>
        <v>0</v>
      </c>
      <c r="S37" s="25">
        <f>'Données capacités de stockage'!P55+'Données capacités de stockage'!P56+'Données capacités de stockage'!P22</f>
        <v>0</v>
      </c>
      <c r="T37" s="25">
        <f>'Données capacités de stockage'!Q55+'Données capacités de stockage'!Q56+'Données capacités de stockage'!Q22</f>
        <v>0</v>
      </c>
      <c r="U37" s="25">
        <f>'Données capacités de stockage'!R55+'Données capacités de stockage'!R56+'Données capacités de stockage'!R22</f>
        <v>0</v>
      </c>
      <c r="V37" s="25">
        <f>'Données capacités de stockage'!S55+'Données capacités de stockage'!S56+'Données capacités de stockage'!S22</f>
        <v>0</v>
      </c>
      <c r="W37" s="25">
        <f>'Données capacités de stockage'!T55+'Données capacités de stockage'!T56+'Données capacités de stockage'!T22</f>
        <v>0</v>
      </c>
      <c r="X37" s="25">
        <f>'Données capacités de stockage'!U55+'Données capacités de stockage'!U56+'Données capacités de stockage'!U22</f>
        <v>0</v>
      </c>
      <c r="Y37" s="25">
        <f>'Données capacités de stockage'!V55+'Données capacités de stockage'!V56+'Données capacités de stockage'!V22</f>
        <v>0</v>
      </c>
      <c r="Z37" s="25">
        <f>'Données capacités de stockage'!W55+'Données capacités de stockage'!W56+'Données capacités de stockage'!W22</f>
        <v>0</v>
      </c>
      <c r="AA37" s="25">
        <f>'Données capacités de stockage'!X55+'Données capacités de stockage'!X56+'Données capacités de stockage'!X22</f>
        <v>0</v>
      </c>
      <c r="AB37" s="25">
        <f>'Données capacités de stockage'!Y55+'Données capacités de stockage'!Y56+'Données capacités de stockage'!Y22</f>
        <v>0</v>
      </c>
      <c r="AC37" s="25">
        <f>'Données capacités de stockage'!Z55+'Données capacités de stockage'!Z56+'Données capacités de stockage'!Z22</f>
        <v>0</v>
      </c>
      <c r="AD37" s="25">
        <f>'Données capacités de stockage'!AA55+'Données capacités de stockage'!AA56+'Données capacités de stockage'!AA22</f>
        <v>0</v>
      </c>
      <c r="AE37" s="25">
        <f>'Données capacités de stockage'!AB55+'Données capacités de stockage'!AB56+'Données capacités de stockage'!AB22</f>
        <v>0</v>
      </c>
      <c r="AF37" s="25">
        <f>'Données capacités de stockage'!AC55+'Données capacités de stockage'!AC56+'Données capacités de stockage'!AC22</f>
        <v>0</v>
      </c>
      <c r="AG37" s="25">
        <f>'Données capacités de stockage'!AD55+'Données capacités de stockage'!AD56+'Données capacités de stockage'!AD22</f>
        <v>0</v>
      </c>
      <c r="AH37" s="25">
        <f>'Données capacités de stockage'!AE55+'Données capacités de stockage'!AE56</f>
        <v>175.95041392056743</v>
      </c>
      <c r="AI37" s="25">
        <f>'Données capacités de stockage'!AF55+'Données capacités de stockage'!AF56</f>
        <v>352.86981548914008</v>
      </c>
      <c r="AJ37" s="25">
        <f>'Données capacités de stockage'!AG55+'Données capacités de stockage'!AG56</f>
        <v>530.75836623771431</v>
      </c>
      <c r="AK37" s="25">
        <f>'Données capacités de stockage'!AH55+'Données capacités de stockage'!AH56</f>
        <v>709.61620561151472</v>
      </c>
      <c r="AL37" s="25">
        <f>'Données capacités de stockage'!AI55+'Données capacités de stockage'!AI56</f>
        <v>889.44344809707195</v>
      </c>
      <c r="AM37" s="25">
        <f>'Données capacités de stockage'!AJ55+'Données capacités de stockage'!AJ56</f>
        <v>1070.2401810314336</v>
      </c>
      <c r="AN37" s="25">
        <f>'Données capacités de stockage'!AK55+'Données capacités de stockage'!AK56</f>
        <v>1252.006463129434</v>
      </c>
      <c r="AO37" s="25">
        <f>'Données capacités de stockage'!AL55+'Données capacités de stockage'!AL56</f>
        <v>1434.7423237474659</v>
      </c>
      <c r="AP37" s="25">
        <f>'Données capacités de stockage'!AM55+'Données capacités de stockage'!AM56</f>
        <v>1618.4477628837212</v>
      </c>
    </row>
    <row r="38" spans="1:42" x14ac:dyDescent="0.25">
      <c r="A38" s="1" t="s">
        <v>199</v>
      </c>
      <c r="B38" s="64"/>
      <c r="C38" s="29"/>
      <c r="D38" s="29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</row>
    <row r="39" spans="1:42" ht="7.5" customHeight="1" x14ac:dyDescent="0.25">
      <c r="A39" s="1"/>
      <c r="B39" s="6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40"/>
      <c r="AI39" s="1"/>
      <c r="AJ39" s="1"/>
      <c r="AK39" s="1"/>
      <c r="AL39" s="1"/>
      <c r="AM39" s="1"/>
      <c r="AN39" s="40"/>
      <c r="AO39" s="1"/>
      <c r="AP39" s="13"/>
    </row>
    <row r="40" spans="1:42" x14ac:dyDescent="0.25">
      <c r="A40" s="17" t="s">
        <v>2</v>
      </c>
      <c r="B40" s="66"/>
      <c r="C40" s="18"/>
      <c r="D40" s="18"/>
      <c r="E40" s="68">
        <f t="shared" ref="E40:AO40" si="26">E41+E42</f>
        <v>354.50007131650267</v>
      </c>
      <c r="F40" s="68">
        <f t="shared" si="26"/>
        <v>374.73580477431568</v>
      </c>
      <c r="G40" s="68">
        <f t="shared" si="26"/>
        <v>394.97153823212869</v>
      </c>
      <c r="H40" s="68">
        <f t="shared" si="26"/>
        <v>415.20727168994171</v>
      </c>
      <c r="I40" s="68">
        <f t="shared" si="26"/>
        <v>435.44300514775466</v>
      </c>
      <c r="J40" s="68">
        <f t="shared" si="26"/>
        <v>455.67873860556767</v>
      </c>
      <c r="K40" s="68">
        <f t="shared" si="26"/>
        <v>475.91447206338069</v>
      </c>
      <c r="L40" s="68">
        <f t="shared" si="26"/>
        <v>496.1502055211937</v>
      </c>
      <c r="M40" s="68">
        <f t="shared" si="26"/>
        <v>516.38593897900682</v>
      </c>
      <c r="N40" s="68">
        <f t="shared" si="26"/>
        <v>536.62167243681984</v>
      </c>
      <c r="O40" s="68">
        <f t="shared" si="26"/>
        <v>556.85740589463285</v>
      </c>
      <c r="P40" s="68">
        <f t="shared" si="26"/>
        <v>577.0931393524462</v>
      </c>
      <c r="Q40" s="68">
        <f t="shared" si="26"/>
        <v>577.0931393524462</v>
      </c>
      <c r="R40" s="68">
        <f t="shared" si="26"/>
        <v>577.0931393524462</v>
      </c>
      <c r="S40" s="68">
        <f t="shared" si="26"/>
        <v>577.0931393524462</v>
      </c>
      <c r="T40" s="68">
        <f t="shared" si="26"/>
        <v>577.0931393524462</v>
      </c>
      <c r="U40" s="68">
        <f t="shared" si="26"/>
        <v>577.0931393524462</v>
      </c>
      <c r="V40" s="68">
        <f t="shared" si="26"/>
        <v>577.0931393524462</v>
      </c>
      <c r="W40" s="68">
        <f t="shared" si="26"/>
        <v>577.0931393524462</v>
      </c>
      <c r="X40" s="68">
        <f t="shared" si="26"/>
        <v>577.0931393524462</v>
      </c>
      <c r="Y40" s="68">
        <f t="shared" si="26"/>
        <v>577.0931393524462</v>
      </c>
      <c r="Z40" s="68">
        <f t="shared" si="26"/>
        <v>577.0931393524462</v>
      </c>
      <c r="AA40" s="68">
        <f t="shared" si="26"/>
        <v>577.0931393524462</v>
      </c>
      <c r="AB40" s="68">
        <f t="shared" si="26"/>
        <v>577.0931393524462</v>
      </c>
      <c r="AC40" s="68">
        <f t="shared" si="26"/>
        <v>577.0931393524462</v>
      </c>
      <c r="AD40" s="68">
        <f t="shared" si="26"/>
        <v>577.0931393524462</v>
      </c>
      <c r="AE40" s="68">
        <f t="shared" si="26"/>
        <v>577.0931393524462</v>
      </c>
      <c r="AF40" s="68">
        <f t="shared" si="26"/>
        <v>577.0931393524462</v>
      </c>
      <c r="AG40" s="68">
        <f t="shared" si="26"/>
        <v>577.0931393524462</v>
      </c>
      <c r="AH40" s="68">
        <f t="shared" si="26"/>
        <v>577.0931393524462</v>
      </c>
      <c r="AI40" s="68">
        <f t="shared" si="26"/>
        <v>577.0931393524462</v>
      </c>
      <c r="AJ40" s="68">
        <f t="shared" si="26"/>
        <v>577.0931393524462</v>
      </c>
      <c r="AK40" s="68">
        <f t="shared" si="26"/>
        <v>577.0931393524462</v>
      </c>
      <c r="AL40" s="68">
        <f t="shared" si="26"/>
        <v>577.0931393524462</v>
      </c>
      <c r="AM40" s="68">
        <f t="shared" si="26"/>
        <v>577.0931393524462</v>
      </c>
      <c r="AN40" s="68">
        <f t="shared" si="26"/>
        <v>577.0931393524462</v>
      </c>
      <c r="AO40" s="68">
        <f t="shared" si="26"/>
        <v>577.54656967622316</v>
      </c>
      <c r="AP40" s="68">
        <f>AP41+AP42</f>
        <v>578</v>
      </c>
    </row>
    <row r="41" spans="1:42" x14ac:dyDescent="0.25">
      <c r="A41" s="1" t="s">
        <v>26</v>
      </c>
      <c r="B41" s="1"/>
      <c r="C41" s="1"/>
      <c r="D41" s="1"/>
      <c r="E41" s="30">
        <f>'Données capacités de stockage'!B43</f>
        <v>290.86007131650268</v>
      </c>
      <c r="F41" s="30">
        <f>'Données capacités de stockage'!C43</f>
        <v>307.46307750158843</v>
      </c>
      <c r="G41" s="30">
        <f>'Données capacités de stockage'!D43</f>
        <v>324.06608368667418</v>
      </c>
      <c r="H41" s="30">
        <f>'Données capacités de stockage'!E43</f>
        <v>340.66908987175992</v>
      </c>
      <c r="I41" s="30">
        <f>'Données capacités de stockage'!F43</f>
        <v>357.27209605684561</v>
      </c>
      <c r="J41" s="30">
        <f>'Données capacités de stockage'!G43</f>
        <v>373.87510224193136</v>
      </c>
      <c r="K41" s="30">
        <f>'Données capacités de stockage'!H43</f>
        <v>390.4781084270171</v>
      </c>
      <c r="L41" s="30">
        <f>'Données capacités de stockage'!I43</f>
        <v>407.08111461210285</v>
      </c>
      <c r="M41" s="30">
        <f>'Données capacités de stockage'!J43</f>
        <v>423.68412079718871</v>
      </c>
      <c r="N41" s="30">
        <f>'Données capacités de stockage'!K43</f>
        <v>440.28712698227446</v>
      </c>
      <c r="O41" s="30">
        <f>'Données capacités de stockage'!L43</f>
        <v>456.89013316736015</v>
      </c>
      <c r="P41" s="30">
        <f>'Données capacités de stockage'!M43</f>
        <v>473.49313935244618</v>
      </c>
      <c r="Q41" s="30">
        <f>'Données capacités de stockage'!N43</f>
        <v>473.49313935244618</v>
      </c>
      <c r="R41" s="30">
        <f>'Données capacités de stockage'!O43</f>
        <v>473.49313935244618</v>
      </c>
      <c r="S41" s="30">
        <f>'Données capacités de stockage'!P43</f>
        <v>473.49313935244618</v>
      </c>
      <c r="T41" s="30">
        <f>'Données capacités de stockage'!Q43</f>
        <v>473.49313935244618</v>
      </c>
      <c r="U41" s="30">
        <f>'Données capacités de stockage'!R43</f>
        <v>473.49313935244618</v>
      </c>
      <c r="V41" s="30">
        <f>'Données capacités de stockage'!S43</f>
        <v>473.49313935244618</v>
      </c>
      <c r="W41" s="30">
        <f>'Données capacités de stockage'!T43</f>
        <v>473.49313935244618</v>
      </c>
      <c r="X41" s="30">
        <f>'Données capacités de stockage'!U43</f>
        <v>473.49313935244618</v>
      </c>
      <c r="Y41" s="30">
        <f>'Données capacités de stockage'!V43</f>
        <v>473.49313935244618</v>
      </c>
      <c r="Z41" s="30">
        <f>'Données capacités de stockage'!W43</f>
        <v>473.49313935244618</v>
      </c>
      <c r="AA41" s="30">
        <f>'Données capacités de stockage'!X43</f>
        <v>473.49313935244618</v>
      </c>
      <c r="AB41" s="30">
        <f>'Données capacités de stockage'!Y43</f>
        <v>473.49313935244618</v>
      </c>
      <c r="AC41" s="30">
        <f>'Données capacités de stockage'!Z43</f>
        <v>473.49313935244618</v>
      </c>
      <c r="AD41" s="30">
        <f>'Données capacités de stockage'!AA43</f>
        <v>473.49313935244618</v>
      </c>
      <c r="AE41" s="30">
        <f>'Données capacités de stockage'!AB43</f>
        <v>473.49313935244618</v>
      </c>
      <c r="AF41" s="30">
        <f>'Données capacités de stockage'!AC43</f>
        <v>473.49313935244618</v>
      </c>
      <c r="AG41" s="30">
        <f>'Données capacités de stockage'!AD43</f>
        <v>473.49313935244618</v>
      </c>
      <c r="AH41" s="30">
        <f>'Données capacités de stockage'!AE43</f>
        <v>473.49313935244618</v>
      </c>
      <c r="AI41" s="30">
        <f>'Données capacités de stockage'!AF43</f>
        <v>473.49313935244618</v>
      </c>
      <c r="AJ41" s="30">
        <f>'Données capacités de stockage'!AG43</f>
        <v>473.49313935244618</v>
      </c>
      <c r="AK41" s="30">
        <f>'Données capacités de stockage'!AH43</f>
        <v>473.49313935244618</v>
      </c>
      <c r="AL41" s="30">
        <f>'Données capacités de stockage'!AI43</f>
        <v>473.49313935244618</v>
      </c>
      <c r="AM41" s="30">
        <f>'Données capacités de stockage'!AJ43</f>
        <v>473.49313935244618</v>
      </c>
      <c r="AN41" s="30">
        <f>'Données capacités de stockage'!AK43</f>
        <v>473.49313935244618</v>
      </c>
      <c r="AO41" s="30">
        <f>'Données capacités de stockage'!AL43</f>
        <v>473.86516967622316</v>
      </c>
      <c r="AP41" s="30">
        <f>'Données capacités de stockage'!AM43</f>
        <v>474.23720000000003</v>
      </c>
    </row>
    <row r="42" spans="1:42" x14ac:dyDescent="0.25">
      <c r="A42" s="1" t="s">
        <v>25</v>
      </c>
      <c r="B42" s="1"/>
      <c r="C42" s="1"/>
      <c r="D42" s="1"/>
      <c r="E42" s="30">
        <f>'Données capacités de stockage'!B42</f>
        <v>63.640000000000008</v>
      </c>
      <c r="F42" s="30">
        <f>'Données capacités de stockage'!C42</f>
        <v>67.272727272727266</v>
      </c>
      <c r="G42" s="30">
        <f>'Données capacités de stockage'!D42</f>
        <v>70.905454545454532</v>
      </c>
      <c r="H42" s="30">
        <f>'Données capacités de stockage'!E42</f>
        <v>74.538181818181798</v>
      </c>
      <c r="I42" s="30">
        <f>'Données capacités de stockage'!F42</f>
        <v>78.170909090909078</v>
      </c>
      <c r="J42" s="30">
        <f>'Données capacités de stockage'!G42</f>
        <v>81.803636363636343</v>
      </c>
      <c r="K42" s="30">
        <f>'Données capacités de stockage'!H42</f>
        <v>85.436363636363609</v>
      </c>
      <c r="L42" s="30">
        <f>'Données capacités de stockage'!I42</f>
        <v>89.069090909090875</v>
      </c>
      <c r="M42" s="30">
        <f>'Données capacités de stockage'!J42</f>
        <v>92.70181818181814</v>
      </c>
      <c r="N42" s="30">
        <f>'Données capacités de stockage'!K42</f>
        <v>96.334545454545406</v>
      </c>
      <c r="O42" s="30">
        <f>'Données capacités de stockage'!L42</f>
        <v>99.967272727272686</v>
      </c>
      <c r="P42" s="30">
        <f>'Données capacités de stockage'!M42</f>
        <v>103.60000000000001</v>
      </c>
      <c r="Q42" s="30">
        <f>'Données capacités de stockage'!N42</f>
        <v>103.60000000000001</v>
      </c>
      <c r="R42" s="30">
        <f>'Données capacités de stockage'!O42</f>
        <v>103.60000000000001</v>
      </c>
      <c r="S42" s="30">
        <f>'Données capacités de stockage'!P42</f>
        <v>103.60000000000001</v>
      </c>
      <c r="T42" s="30">
        <f>'Données capacités de stockage'!Q42</f>
        <v>103.60000000000001</v>
      </c>
      <c r="U42" s="30">
        <f>'Données capacités de stockage'!R42</f>
        <v>103.60000000000001</v>
      </c>
      <c r="V42" s="30">
        <f>'Données capacités de stockage'!S42</f>
        <v>103.60000000000001</v>
      </c>
      <c r="W42" s="30">
        <f>'Données capacités de stockage'!T42</f>
        <v>103.60000000000001</v>
      </c>
      <c r="X42" s="30">
        <f>'Données capacités de stockage'!U42</f>
        <v>103.60000000000001</v>
      </c>
      <c r="Y42" s="30">
        <f>'Données capacités de stockage'!V42</f>
        <v>103.60000000000001</v>
      </c>
      <c r="Z42" s="30">
        <f>'Données capacités de stockage'!W42</f>
        <v>103.60000000000001</v>
      </c>
      <c r="AA42" s="30">
        <f>'Données capacités de stockage'!X42</f>
        <v>103.60000000000001</v>
      </c>
      <c r="AB42" s="30">
        <f>'Données capacités de stockage'!Y42</f>
        <v>103.60000000000001</v>
      </c>
      <c r="AC42" s="30">
        <f>'Données capacités de stockage'!Z42</f>
        <v>103.60000000000001</v>
      </c>
      <c r="AD42" s="30">
        <f>'Données capacités de stockage'!AA42</f>
        <v>103.60000000000001</v>
      </c>
      <c r="AE42" s="30">
        <f>'Données capacités de stockage'!AB42</f>
        <v>103.60000000000001</v>
      </c>
      <c r="AF42" s="30">
        <f>'Données capacités de stockage'!AC42</f>
        <v>103.60000000000001</v>
      </c>
      <c r="AG42" s="30">
        <f>'Données capacités de stockage'!AD42</f>
        <v>103.60000000000001</v>
      </c>
      <c r="AH42" s="30">
        <f>'Données capacités de stockage'!AE42</f>
        <v>103.60000000000001</v>
      </c>
      <c r="AI42" s="30">
        <f>'Données capacités de stockage'!AF42</f>
        <v>103.60000000000001</v>
      </c>
      <c r="AJ42" s="30">
        <f>'Données capacités de stockage'!AG42</f>
        <v>103.60000000000001</v>
      </c>
      <c r="AK42" s="30">
        <f>'Données capacités de stockage'!AH42</f>
        <v>103.60000000000001</v>
      </c>
      <c r="AL42" s="30">
        <f>'Données capacités de stockage'!AI42</f>
        <v>103.60000000000001</v>
      </c>
      <c r="AM42" s="30">
        <f>'Données capacités de stockage'!AJ42</f>
        <v>103.60000000000001</v>
      </c>
      <c r="AN42" s="30">
        <f>'Données capacités de stockage'!AK42</f>
        <v>103.60000000000001</v>
      </c>
      <c r="AO42" s="30">
        <f>'Données capacités de stockage'!AL42</f>
        <v>103.68140000000001</v>
      </c>
      <c r="AP42" s="30">
        <f>'Données capacités de stockage'!AM42</f>
        <v>103.7628</v>
      </c>
    </row>
    <row r="43" spans="1:42" ht="7.5" customHeight="1" x14ac:dyDescent="0.25">
      <c r="A43" s="1"/>
      <c r="B43" s="6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0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40"/>
      <c r="AI43" s="1"/>
      <c r="AJ43" s="1"/>
      <c r="AK43" s="1"/>
      <c r="AL43" s="1"/>
      <c r="AM43" s="1"/>
      <c r="AN43" s="40"/>
      <c r="AO43" s="1"/>
      <c r="AP43" s="13"/>
    </row>
    <row r="44" spans="1:42" x14ac:dyDescent="0.25">
      <c r="A44" s="17" t="s">
        <v>210</v>
      </c>
      <c r="B44" s="66"/>
      <c r="C44" s="18"/>
      <c r="D44" s="18"/>
      <c r="E44" s="68">
        <f t="shared" ref="E44:AO44" si="27">E45+E46</f>
        <v>487.45848596491226</v>
      </c>
      <c r="F44" s="68">
        <f t="shared" si="27"/>
        <v>469.73681031991742</v>
      </c>
      <c r="G44" s="68">
        <f t="shared" si="27"/>
        <v>452.01513467492259</v>
      </c>
      <c r="H44" s="68">
        <f t="shared" si="27"/>
        <v>434.29345902992776</v>
      </c>
      <c r="I44" s="68">
        <f t="shared" si="27"/>
        <v>416.57178338493293</v>
      </c>
      <c r="J44" s="68">
        <f t="shared" si="27"/>
        <v>398.8501077399381</v>
      </c>
      <c r="K44" s="68">
        <f t="shared" si="27"/>
        <v>381.12843209494326</v>
      </c>
      <c r="L44" s="68">
        <f t="shared" si="27"/>
        <v>363.40675644994838</v>
      </c>
      <c r="M44" s="68">
        <f t="shared" si="27"/>
        <v>345.6850808049536</v>
      </c>
      <c r="N44" s="68">
        <f t="shared" si="27"/>
        <v>327.96340515995871</v>
      </c>
      <c r="O44" s="68">
        <f t="shared" si="27"/>
        <v>310.24172951496388</v>
      </c>
      <c r="P44" s="68">
        <f t="shared" si="27"/>
        <v>292.52005386996905</v>
      </c>
      <c r="Q44" s="68">
        <f t="shared" si="27"/>
        <v>274.79837822497421</v>
      </c>
      <c r="R44" s="68">
        <f t="shared" si="27"/>
        <v>257.07670257997938</v>
      </c>
      <c r="S44" s="68">
        <f t="shared" si="27"/>
        <v>239.35502693498455</v>
      </c>
      <c r="T44" s="68">
        <f t="shared" si="27"/>
        <v>221.63335128998972</v>
      </c>
      <c r="U44" s="143">
        <f t="shared" si="27"/>
        <v>203.91167564499486</v>
      </c>
      <c r="V44" s="68">
        <f t="shared" si="27"/>
        <v>186.19</v>
      </c>
      <c r="W44" s="68">
        <f t="shared" si="27"/>
        <v>186.19</v>
      </c>
      <c r="X44" s="68">
        <f t="shared" si="27"/>
        <v>186.19</v>
      </c>
      <c r="Y44" s="68">
        <f t="shared" si="27"/>
        <v>186.19</v>
      </c>
      <c r="Z44" s="68">
        <f t="shared" si="27"/>
        <v>186.19</v>
      </c>
      <c r="AA44" s="68">
        <f t="shared" si="27"/>
        <v>186.19</v>
      </c>
      <c r="AB44" s="68">
        <f t="shared" si="27"/>
        <v>186.19</v>
      </c>
      <c r="AC44" s="68">
        <f t="shared" si="27"/>
        <v>186.19</v>
      </c>
      <c r="AD44" s="68">
        <f t="shared" si="27"/>
        <v>186.19</v>
      </c>
      <c r="AE44" s="68">
        <f t="shared" si="27"/>
        <v>186.19</v>
      </c>
      <c r="AF44" s="68">
        <f t="shared" si="27"/>
        <v>186.19</v>
      </c>
      <c r="AG44" s="68">
        <f t="shared" si="27"/>
        <v>186.19</v>
      </c>
      <c r="AH44" s="68">
        <f t="shared" si="27"/>
        <v>186.19</v>
      </c>
      <c r="AI44" s="68">
        <f t="shared" si="27"/>
        <v>186.19</v>
      </c>
      <c r="AJ44" s="68">
        <f t="shared" si="27"/>
        <v>186.19</v>
      </c>
      <c r="AK44" s="68">
        <f t="shared" si="27"/>
        <v>186.19</v>
      </c>
      <c r="AL44" s="68">
        <f t="shared" si="27"/>
        <v>186.19</v>
      </c>
      <c r="AM44" s="68">
        <f t="shared" si="27"/>
        <v>186.19</v>
      </c>
      <c r="AN44" s="68">
        <f t="shared" si="27"/>
        <v>186.19</v>
      </c>
      <c r="AO44" s="68">
        <f t="shared" si="27"/>
        <v>186.19</v>
      </c>
      <c r="AP44" s="68">
        <f>AP45+AP46</f>
        <v>186.19</v>
      </c>
    </row>
    <row r="45" spans="1:42" x14ac:dyDescent="0.25">
      <c r="A45" s="1" t="s">
        <v>26</v>
      </c>
      <c r="B45" s="1"/>
      <c r="C45" s="1"/>
      <c r="D45" s="1"/>
      <c r="E45" s="30">
        <f>LCOE!AN25/LCOE!AQ25*'Données capacités de stockage'!B39/1000</f>
        <v>320.84449999999998</v>
      </c>
      <c r="F45" s="144">
        <f>E45+($V$45-$E$45)/(2030-2013)</f>
        <v>309.18011764705881</v>
      </c>
      <c r="G45" s="144">
        <f t="shared" ref="G45:U45" si="28">F45+($V$45-$E$45)/(2030-2013)</f>
        <v>297.51573529411763</v>
      </c>
      <c r="H45" s="144">
        <f t="shared" si="28"/>
        <v>285.85135294117646</v>
      </c>
      <c r="I45" s="144">
        <f t="shared" si="28"/>
        <v>274.18697058823528</v>
      </c>
      <c r="J45" s="144">
        <f t="shared" si="28"/>
        <v>262.52258823529411</v>
      </c>
      <c r="K45" s="144">
        <f t="shared" si="28"/>
        <v>250.85820588235293</v>
      </c>
      <c r="L45" s="144">
        <f t="shared" si="28"/>
        <v>239.19382352941176</v>
      </c>
      <c r="M45" s="144">
        <f t="shared" si="28"/>
        <v>227.52944117647058</v>
      </c>
      <c r="N45" s="144">
        <f t="shared" si="28"/>
        <v>215.86505882352941</v>
      </c>
      <c r="O45" s="144">
        <f t="shared" si="28"/>
        <v>204.20067647058823</v>
      </c>
      <c r="P45" s="144">
        <f t="shared" si="28"/>
        <v>192.53629411764706</v>
      </c>
      <c r="Q45" s="144">
        <f t="shared" si="28"/>
        <v>180.87191176470589</v>
      </c>
      <c r="R45" s="144">
        <f t="shared" si="28"/>
        <v>169.20752941176471</v>
      </c>
      <c r="S45" s="144">
        <f t="shared" si="28"/>
        <v>157.54314705882354</v>
      </c>
      <c r="T45" s="144">
        <f t="shared" si="28"/>
        <v>145.87876470588236</v>
      </c>
      <c r="U45" s="144">
        <f t="shared" si="28"/>
        <v>134.21438235294119</v>
      </c>
      <c r="V45" s="30">
        <f>LCOE!AO25/LCOE!AQ25*'Données capacités de stockage'!B39/1000</f>
        <v>122.55</v>
      </c>
      <c r="W45" s="30">
        <f t="shared" ref="W45:AO45" si="29">$V$45</f>
        <v>122.55</v>
      </c>
      <c r="X45" s="30">
        <f t="shared" si="29"/>
        <v>122.55</v>
      </c>
      <c r="Y45" s="30">
        <f t="shared" si="29"/>
        <v>122.55</v>
      </c>
      <c r="Z45" s="30">
        <f t="shared" si="29"/>
        <v>122.55</v>
      </c>
      <c r="AA45" s="30">
        <f t="shared" si="29"/>
        <v>122.55</v>
      </c>
      <c r="AB45" s="30">
        <f t="shared" si="29"/>
        <v>122.55</v>
      </c>
      <c r="AC45" s="30">
        <f t="shared" si="29"/>
        <v>122.55</v>
      </c>
      <c r="AD45" s="30">
        <f t="shared" si="29"/>
        <v>122.55</v>
      </c>
      <c r="AE45" s="30">
        <f t="shared" si="29"/>
        <v>122.55</v>
      </c>
      <c r="AF45" s="30">
        <f t="shared" si="29"/>
        <v>122.55</v>
      </c>
      <c r="AG45" s="30">
        <f t="shared" si="29"/>
        <v>122.55</v>
      </c>
      <c r="AH45" s="30">
        <f t="shared" si="29"/>
        <v>122.55</v>
      </c>
      <c r="AI45" s="30">
        <f t="shared" si="29"/>
        <v>122.55</v>
      </c>
      <c r="AJ45" s="30">
        <f t="shared" si="29"/>
        <v>122.55</v>
      </c>
      <c r="AK45" s="30">
        <f t="shared" si="29"/>
        <v>122.55</v>
      </c>
      <c r="AL45" s="30">
        <f t="shared" si="29"/>
        <v>122.55</v>
      </c>
      <c r="AM45" s="30">
        <f t="shared" si="29"/>
        <v>122.55</v>
      </c>
      <c r="AN45" s="30">
        <f t="shared" si="29"/>
        <v>122.55</v>
      </c>
      <c r="AO45" s="30">
        <f t="shared" si="29"/>
        <v>122.55</v>
      </c>
      <c r="AP45" s="30">
        <f>$V$45</f>
        <v>122.55</v>
      </c>
    </row>
    <row r="46" spans="1:42" x14ac:dyDescent="0.25">
      <c r="A46" s="1" t="s">
        <v>25</v>
      </c>
      <c r="B46" s="1"/>
      <c r="C46" s="1"/>
      <c r="D46" s="1"/>
      <c r="E46" s="30">
        <f t="shared" ref="E46:AN46" si="30">E45*($AP$46/$AP$45)</f>
        <v>166.6139859649123</v>
      </c>
      <c r="F46" s="30">
        <f t="shared" si="30"/>
        <v>160.55669267285862</v>
      </c>
      <c r="G46" s="30">
        <f t="shared" si="30"/>
        <v>154.49939938080496</v>
      </c>
      <c r="H46" s="30">
        <f t="shared" si="30"/>
        <v>148.4421060887513</v>
      </c>
      <c r="I46" s="30">
        <f t="shared" si="30"/>
        <v>142.38481279669764</v>
      </c>
      <c r="J46" s="30">
        <f t="shared" si="30"/>
        <v>136.32751950464399</v>
      </c>
      <c r="K46" s="30">
        <f t="shared" si="30"/>
        <v>130.2702262125903</v>
      </c>
      <c r="L46" s="30">
        <f t="shared" si="30"/>
        <v>124.21293292053664</v>
      </c>
      <c r="M46" s="30">
        <f t="shared" si="30"/>
        <v>118.15563962848299</v>
      </c>
      <c r="N46" s="30">
        <f t="shared" si="30"/>
        <v>112.09834633642932</v>
      </c>
      <c r="O46" s="30">
        <f t="shared" si="30"/>
        <v>106.04105304437566</v>
      </c>
      <c r="P46" s="30">
        <f t="shared" si="30"/>
        <v>99.983759752321987</v>
      </c>
      <c r="Q46" s="30">
        <f t="shared" si="30"/>
        <v>93.92646646026833</v>
      </c>
      <c r="R46" s="30">
        <f t="shared" si="30"/>
        <v>87.869173168214672</v>
      </c>
      <c r="S46" s="30">
        <f t="shared" si="30"/>
        <v>81.811879876161001</v>
      </c>
      <c r="T46" s="30">
        <f t="shared" si="30"/>
        <v>75.754586584107344</v>
      </c>
      <c r="U46" s="30">
        <f t="shared" si="30"/>
        <v>69.697293292053672</v>
      </c>
      <c r="V46" s="30">
        <f t="shared" si="30"/>
        <v>63.640000000000008</v>
      </c>
      <c r="W46" s="30">
        <f t="shared" si="30"/>
        <v>63.640000000000008</v>
      </c>
      <c r="X46" s="30">
        <f t="shared" si="30"/>
        <v>63.640000000000008</v>
      </c>
      <c r="Y46" s="30">
        <f t="shared" si="30"/>
        <v>63.640000000000008</v>
      </c>
      <c r="Z46" s="30">
        <f t="shared" si="30"/>
        <v>63.640000000000008</v>
      </c>
      <c r="AA46" s="30">
        <f t="shared" si="30"/>
        <v>63.640000000000008</v>
      </c>
      <c r="AB46" s="30">
        <f t="shared" si="30"/>
        <v>63.640000000000008</v>
      </c>
      <c r="AC46" s="30">
        <f t="shared" si="30"/>
        <v>63.640000000000008</v>
      </c>
      <c r="AD46" s="30">
        <f t="shared" si="30"/>
        <v>63.640000000000008</v>
      </c>
      <c r="AE46" s="30">
        <f t="shared" si="30"/>
        <v>63.640000000000008</v>
      </c>
      <c r="AF46" s="30">
        <f t="shared" si="30"/>
        <v>63.640000000000008</v>
      </c>
      <c r="AG46" s="30">
        <f t="shared" si="30"/>
        <v>63.640000000000008</v>
      </c>
      <c r="AH46" s="30">
        <f t="shared" si="30"/>
        <v>63.640000000000008</v>
      </c>
      <c r="AI46" s="30">
        <f t="shared" si="30"/>
        <v>63.640000000000008</v>
      </c>
      <c r="AJ46" s="30">
        <f t="shared" si="30"/>
        <v>63.640000000000008</v>
      </c>
      <c r="AK46" s="30">
        <f t="shared" si="30"/>
        <v>63.640000000000008</v>
      </c>
      <c r="AL46" s="30">
        <f t="shared" si="30"/>
        <v>63.640000000000008</v>
      </c>
      <c r="AM46" s="30">
        <f t="shared" si="30"/>
        <v>63.640000000000008</v>
      </c>
      <c r="AN46" s="30">
        <f t="shared" si="30"/>
        <v>63.640000000000008</v>
      </c>
      <c r="AO46" s="30">
        <f>AO45*($AP$46/$AP$45)</f>
        <v>63.640000000000008</v>
      </c>
      <c r="AP46" s="30">
        <f>LCOE!AS25*'Données capacités de stockage'!B39/1000</f>
        <v>63.64</v>
      </c>
    </row>
    <row r="47" spans="1:42" x14ac:dyDescent="0.25">
      <c r="A47" s="1"/>
      <c r="B47" s="1"/>
      <c r="C47" s="1"/>
      <c r="D47" s="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4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42"/>
      <c r="AI47" s="13"/>
      <c r="AJ47" s="13"/>
      <c r="AK47" s="13"/>
      <c r="AL47" s="13"/>
      <c r="AM47" s="13"/>
      <c r="AN47" s="42"/>
      <c r="AO47" s="13"/>
      <c r="AP47" s="13"/>
    </row>
    <row r="48" spans="1:42" x14ac:dyDescent="0.25">
      <c r="A48" s="14"/>
    </row>
    <row r="49" spans="1:2" x14ac:dyDescent="0.25">
      <c r="A49" s="14"/>
    </row>
    <row r="51" spans="1:2" x14ac:dyDescent="0.25">
      <c r="A51" s="15"/>
      <c r="B51" s="2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112"/>
  <sheetViews>
    <sheetView workbookViewId="0">
      <selection activeCell="K17" sqref="K17"/>
    </sheetView>
  </sheetViews>
  <sheetFormatPr baseColWidth="10" defaultRowHeight="15" outlineLevelRow="1" x14ac:dyDescent="0.25"/>
  <cols>
    <col min="1" max="1" width="30.140625" bestFit="1" customWidth="1"/>
    <col min="2" max="2" width="12.28515625" bestFit="1" customWidth="1"/>
    <col min="3" max="13" width="11.28515625" bestFit="1" customWidth="1"/>
    <col min="14" max="18" width="10.28515625" bestFit="1" customWidth="1"/>
    <col min="19" max="19" width="11.28515625" bestFit="1" customWidth="1"/>
    <col min="20" max="38" width="10.28515625" bestFit="1" customWidth="1"/>
    <col min="39" max="39" width="13.7109375" bestFit="1" customWidth="1"/>
  </cols>
  <sheetData>
    <row r="1" spans="1:39" ht="34.5" customHeight="1" x14ac:dyDescent="0.25">
      <c r="A1" s="74" t="s">
        <v>121</v>
      </c>
      <c r="B1" t="s">
        <v>30</v>
      </c>
      <c r="C1">
        <v>20</v>
      </c>
    </row>
    <row r="2" spans="1:39" outlineLevel="1" x14ac:dyDescent="0.25"/>
    <row r="3" spans="1:39" outlineLevel="1" x14ac:dyDescent="0.25">
      <c r="A3" s="3" t="s">
        <v>172</v>
      </c>
      <c r="B3" s="59">
        <v>2013</v>
      </c>
      <c r="C3" s="59">
        <v>2014</v>
      </c>
      <c r="D3" s="59">
        <v>2015</v>
      </c>
      <c r="E3" s="59">
        <v>2016</v>
      </c>
      <c r="F3" s="59">
        <v>2017</v>
      </c>
      <c r="G3" s="59">
        <v>2018</v>
      </c>
      <c r="H3" s="59">
        <v>2019</v>
      </c>
      <c r="I3" s="59">
        <v>2020</v>
      </c>
      <c r="J3" s="59">
        <v>2021</v>
      </c>
      <c r="K3" s="59">
        <v>2022</v>
      </c>
      <c r="L3" s="59">
        <v>2023</v>
      </c>
      <c r="M3" s="59">
        <v>2024</v>
      </c>
      <c r="N3" s="59">
        <v>2025</v>
      </c>
      <c r="O3" s="59">
        <v>2026</v>
      </c>
      <c r="P3" s="59">
        <v>2027</v>
      </c>
      <c r="Q3" s="59">
        <v>2028</v>
      </c>
      <c r="R3" s="59">
        <v>2029</v>
      </c>
      <c r="S3" s="59">
        <v>2030</v>
      </c>
      <c r="T3" s="59">
        <v>2031</v>
      </c>
      <c r="U3" s="59">
        <v>2032</v>
      </c>
      <c r="V3" s="59">
        <v>2033</v>
      </c>
      <c r="W3" s="59">
        <v>2034</v>
      </c>
      <c r="X3" s="59">
        <v>2035</v>
      </c>
      <c r="Y3" s="59">
        <v>2036</v>
      </c>
      <c r="Z3" s="59">
        <v>2037</v>
      </c>
      <c r="AA3" s="59">
        <v>2038</v>
      </c>
      <c r="AB3" s="59">
        <v>2039</v>
      </c>
      <c r="AC3" s="59">
        <v>2040</v>
      </c>
      <c r="AD3" s="59">
        <v>2041</v>
      </c>
      <c r="AE3" s="59">
        <v>2042</v>
      </c>
      <c r="AF3" s="59">
        <v>2043</v>
      </c>
      <c r="AG3" s="59">
        <v>2044</v>
      </c>
      <c r="AH3" s="59">
        <v>2045</v>
      </c>
      <c r="AI3" s="59">
        <v>2046</v>
      </c>
      <c r="AJ3" s="59">
        <v>2047</v>
      </c>
      <c r="AK3" s="59">
        <v>2048</v>
      </c>
      <c r="AL3" s="59">
        <v>2049</v>
      </c>
      <c r="AM3" s="59">
        <v>2050</v>
      </c>
    </row>
    <row r="4" spans="1:39" outlineLevel="1" x14ac:dyDescent="0.25">
      <c r="A4" t="s">
        <v>169</v>
      </c>
      <c r="B4" s="72">
        <f>'Linéarisation mix'!B4*1000000</f>
        <v>15900000</v>
      </c>
      <c r="C4" s="72">
        <f>'Linéarisation mix'!C4*1000000</f>
        <v>22530112.200820904</v>
      </c>
      <c r="D4" s="72">
        <f>'Linéarisation mix'!D4*1000000</f>
        <v>29160224.401641812</v>
      </c>
      <c r="E4" s="72">
        <f>'Linéarisation mix'!E4*1000000</f>
        <v>35790336.602462724</v>
      </c>
      <c r="F4" s="72">
        <f>'Linéarisation mix'!F4*1000000</f>
        <v>42420448.803283632</v>
      </c>
      <c r="G4" s="72">
        <f>'Linéarisation mix'!G4*1000000</f>
        <v>49050561.004104555</v>
      </c>
      <c r="H4" s="72">
        <f>'Linéarisation mix'!H4*1000000</f>
        <v>55680673.204925478</v>
      </c>
      <c r="I4" s="72">
        <f>'Linéarisation mix'!I4*1000000</f>
        <v>62310785.4057464</v>
      </c>
      <c r="J4" s="72">
        <f>'Linéarisation mix'!J4*1000000</f>
        <v>68940897.606567338</v>
      </c>
      <c r="K4" s="72">
        <f>'Linéarisation mix'!K4*1000000</f>
        <v>75571009.807388261</v>
      </c>
      <c r="L4" s="72">
        <f>'Linéarisation mix'!L4*1000000</f>
        <v>82201122.008209214</v>
      </c>
      <c r="M4" s="72">
        <f>'Linéarisation mix'!M4*1000000</f>
        <v>88831234.209030166</v>
      </c>
      <c r="N4" s="72">
        <f>'Linéarisation mix'!N4*1000000</f>
        <v>95461346.409851134</v>
      </c>
      <c r="O4" s="72">
        <f>'Linéarisation mix'!O4*1000000</f>
        <v>102091458.6106721</v>
      </c>
      <c r="P4" s="72">
        <f>'Linéarisation mix'!P4*1000000</f>
        <v>108721570.8114931</v>
      </c>
      <c r="Q4" s="72">
        <f>'Linéarisation mix'!Q4*1000000</f>
        <v>115351683.01231408</v>
      </c>
      <c r="R4" s="72">
        <f>'Linéarisation mix'!R4*1000000</f>
        <v>121981795.21313509</v>
      </c>
      <c r="S4" s="72">
        <f>'Linéarisation mix'!S4*1000000</f>
        <v>128611907.41395609</v>
      </c>
      <c r="T4" s="72">
        <f>'Linéarisation mix'!T4*1000000</f>
        <v>135242019.61477712</v>
      </c>
      <c r="U4" s="72">
        <f>'Linéarisation mix'!U4*1000000</f>
        <v>141872131.81559819</v>
      </c>
      <c r="V4" s="72">
        <f>'Linéarisation mix'!V4*1000000</f>
        <v>148502244.01641923</v>
      </c>
      <c r="W4" s="72">
        <f>'Linéarisation mix'!W4*1000000</f>
        <v>155132356.21724033</v>
      </c>
      <c r="X4" s="72">
        <f>'Linéarisation mix'!X4*1000000</f>
        <v>161762468.41806144</v>
      </c>
      <c r="Y4" s="72">
        <f>'Linéarisation mix'!Y4*1000000</f>
        <v>168392580.61888257</v>
      </c>
      <c r="Z4" s="72">
        <f>'Linéarisation mix'!Z4*1000000</f>
        <v>175022692.8197037</v>
      </c>
      <c r="AA4" s="72">
        <f>'Linéarisation mix'!AA4*1000000</f>
        <v>181652805.02052489</v>
      </c>
      <c r="AB4" s="72">
        <f>'Linéarisation mix'!AB4*1000000</f>
        <v>188282917.22134605</v>
      </c>
      <c r="AC4" s="72">
        <f>'Linéarisation mix'!AC4*1000000</f>
        <v>194913029.42216724</v>
      </c>
      <c r="AD4" s="72">
        <f>'Linéarisation mix'!AD4*1000000</f>
        <v>201543141.62298849</v>
      </c>
      <c r="AE4" s="72">
        <f>'Linéarisation mix'!AE4*1000000</f>
        <v>208173253.82380971</v>
      </c>
      <c r="AF4" s="72">
        <f>'Linéarisation mix'!AF4*1000000</f>
        <v>214803366.02463096</v>
      </c>
      <c r="AG4" s="72">
        <f>'Linéarisation mix'!AG4*1000000</f>
        <v>221433478.22545227</v>
      </c>
      <c r="AH4" s="72">
        <f>'Linéarisation mix'!AH4*1000000</f>
        <v>228063590.42627355</v>
      </c>
      <c r="AI4" s="72">
        <f>'Linéarisation mix'!AI4*1000000</f>
        <v>234693702.62709486</v>
      </c>
      <c r="AJ4" s="72">
        <f>'Linéarisation mix'!AJ4*1000000</f>
        <v>241323814.8279162</v>
      </c>
      <c r="AK4" s="72">
        <f>'Linéarisation mix'!AK4*1000000</f>
        <v>247953927.02873755</v>
      </c>
      <c r="AL4" s="72">
        <f>'Linéarisation mix'!AL4*1000000</f>
        <v>254584039.22955891</v>
      </c>
      <c r="AM4" s="72">
        <f>'Linéarisation mix'!AM4*1000000</f>
        <v>261214151.43038028</v>
      </c>
    </row>
    <row r="5" spans="1:39" outlineLevel="1" x14ac:dyDescent="0.25">
      <c r="A5" t="s">
        <v>183</v>
      </c>
      <c r="B5" s="72">
        <f>LCOE!B8</f>
        <v>80</v>
      </c>
      <c r="C5" s="72">
        <f>LCOE!C8</f>
        <v>79.411764705882348</v>
      </c>
      <c r="D5" s="72">
        <f>LCOE!D8</f>
        <v>78.823529411764696</v>
      </c>
      <c r="E5" s="72">
        <f>LCOE!E8</f>
        <v>78.235294117647044</v>
      </c>
      <c r="F5" s="72">
        <f>LCOE!F8</f>
        <v>77.647058823529392</v>
      </c>
      <c r="G5" s="72">
        <f>LCOE!G8</f>
        <v>77.05882352941174</v>
      </c>
      <c r="H5" s="72">
        <f>LCOE!H8</f>
        <v>76.470588235294088</v>
      </c>
      <c r="I5" s="72">
        <f>LCOE!I8</f>
        <v>75.882352941176435</v>
      </c>
      <c r="J5" s="72">
        <f>LCOE!J8</f>
        <v>75.294117647058783</v>
      </c>
      <c r="K5" s="72">
        <f>LCOE!K8</f>
        <v>74.705882352941131</v>
      </c>
      <c r="L5" s="72">
        <f>LCOE!L8</f>
        <v>74.117647058823479</v>
      </c>
      <c r="M5" s="72">
        <f>LCOE!M8</f>
        <v>73.529411764705827</v>
      </c>
      <c r="N5" s="72">
        <f>LCOE!N8</f>
        <v>72.941176470588175</v>
      </c>
      <c r="O5" s="72">
        <f>LCOE!O8</f>
        <v>72.352941176470523</v>
      </c>
      <c r="P5" s="72">
        <f>LCOE!P8</f>
        <v>71.764705882352871</v>
      </c>
      <c r="Q5" s="72">
        <f>LCOE!Q8</f>
        <v>71.176470588235219</v>
      </c>
      <c r="R5" s="72">
        <f>LCOE!R8</f>
        <v>70.588235294117567</v>
      </c>
      <c r="S5" s="72">
        <f>LCOE!S8</f>
        <v>70</v>
      </c>
      <c r="T5" s="72">
        <f>LCOE!T8</f>
        <v>69.75</v>
      </c>
      <c r="U5" s="72">
        <f>LCOE!U8</f>
        <v>69.5</v>
      </c>
      <c r="V5" s="72">
        <f>LCOE!V8</f>
        <v>69.25</v>
      </c>
      <c r="W5" s="72">
        <f>LCOE!W8</f>
        <v>69</v>
      </c>
      <c r="X5" s="72">
        <f>LCOE!X8</f>
        <v>68.75</v>
      </c>
      <c r="Y5" s="72">
        <f>LCOE!Y8</f>
        <v>68.5</v>
      </c>
      <c r="Z5" s="72">
        <f>LCOE!Z8</f>
        <v>68.25</v>
      </c>
      <c r="AA5" s="72">
        <f>LCOE!AA8</f>
        <v>68</v>
      </c>
      <c r="AB5" s="72">
        <f>LCOE!AB8</f>
        <v>67.75</v>
      </c>
      <c r="AC5" s="72">
        <f>LCOE!AC8</f>
        <v>67.5</v>
      </c>
      <c r="AD5" s="72">
        <f>LCOE!AD8</f>
        <v>67.25</v>
      </c>
      <c r="AE5" s="72">
        <f>LCOE!AE8</f>
        <v>67</v>
      </c>
      <c r="AF5" s="72">
        <f>LCOE!AF8</f>
        <v>66.75</v>
      </c>
      <c r="AG5" s="72">
        <f>LCOE!AG8</f>
        <v>66.5</v>
      </c>
      <c r="AH5" s="72">
        <f>LCOE!AH8</f>
        <v>66.25</v>
      </c>
      <c r="AI5" s="72">
        <f>LCOE!AI8</f>
        <v>66</v>
      </c>
      <c r="AJ5" s="72">
        <f>LCOE!AJ8</f>
        <v>65.75</v>
      </c>
      <c r="AK5" s="72">
        <f>LCOE!AK8</f>
        <v>65.5</v>
      </c>
      <c r="AL5" s="72">
        <f>LCOE!AL8</f>
        <v>65.25</v>
      </c>
      <c r="AM5" s="72">
        <f>LCOE!AM8</f>
        <v>65</v>
      </c>
    </row>
    <row r="6" spans="1:39" outlineLevel="1" x14ac:dyDescent="0.25">
      <c r="A6" t="s">
        <v>127</v>
      </c>
      <c r="B6" s="60">
        <v>0</v>
      </c>
      <c r="C6" s="76">
        <f t="shared" ref="C6:AM6" si="0">B6+C4-B4</f>
        <v>6630112.2008209042</v>
      </c>
      <c r="D6" s="76">
        <f t="shared" si="0"/>
        <v>13260224.401641812</v>
      </c>
      <c r="E6" s="76">
        <f t="shared" si="0"/>
        <v>19890336.602462728</v>
      </c>
      <c r="F6" s="76">
        <f t="shared" si="0"/>
        <v>26520448.803283632</v>
      </c>
      <c r="G6" s="76">
        <f t="shared" si="0"/>
        <v>33150561.004104555</v>
      </c>
      <c r="H6" s="76">
        <f t="shared" si="0"/>
        <v>39780673.204925478</v>
      </c>
      <c r="I6" s="76">
        <f t="shared" si="0"/>
        <v>46410785.4057464</v>
      </c>
      <c r="J6" s="76">
        <f t="shared" si="0"/>
        <v>53040897.606567338</v>
      </c>
      <c r="K6" s="76">
        <f t="shared" si="0"/>
        <v>59671009.807388261</v>
      </c>
      <c r="L6" s="76">
        <f t="shared" si="0"/>
        <v>66301122.008209214</v>
      </c>
      <c r="M6" s="76">
        <f t="shared" si="0"/>
        <v>72931234.209030166</v>
      </c>
      <c r="N6" s="76">
        <f t="shared" si="0"/>
        <v>79561346.409851119</v>
      </c>
      <c r="O6" s="76">
        <f t="shared" si="0"/>
        <v>86191458.610672086</v>
      </c>
      <c r="P6" s="76">
        <f t="shared" si="0"/>
        <v>92821570.811493084</v>
      </c>
      <c r="Q6" s="76">
        <f t="shared" si="0"/>
        <v>99451683.012314081</v>
      </c>
      <c r="R6" s="76">
        <f t="shared" si="0"/>
        <v>106081795.21313509</v>
      </c>
      <c r="S6" s="76">
        <f t="shared" si="0"/>
        <v>112711907.41395608</v>
      </c>
      <c r="T6" s="76">
        <f t="shared" si="0"/>
        <v>119342019.6147771</v>
      </c>
      <c r="U6" s="76">
        <f t="shared" si="0"/>
        <v>125972131.81559816</v>
      </c>
      <c r="V6" s="76">
        <f t="shared" si="0"/>
        <v>132602244.01641923</v>
      </c>
      <c r="W6" s="76">
        <f t="shared" si="0"/>
        <v>139232356.21724033</v>
      </c>
      <c r="X6" s="76">
        <f t="shared" si="0"/>
        <v>145862468.41806144</v>
      </c>
      <c r="Y6" s="76">
        <f t="shared" si="0"/>
        <v>152492580.6188826</v>
      </c>
      <c r="Z6" s="76">
        <f t="shared" si="0"/>
        <v>159122692.81970373</v>
      </c>
      <c r="AA6" s="76">
        <f t="shared" si="0"/>
        <v>165752805.02052492</v>
      </c>
      <c r="AB6" s="76">
        <f t="shared" si="0"/>
        <v>172382917.22134611</v>
      </c>
      <c r="AC6" s="76">
        <f t="shared" si="0"/>
        <v>179013029.42216727</v>
      </c>
      <c r="AD6" s="76">
        <f t="shared" si="0"/>
        <v>185643141.62298852</v>
      </c>
      <c r="AE6" s="76">
        <f t="shared" si="0"/>
        <v>192273253.82380971</v>
      </c>
      <c r="AF6" s="76">
        <f t="shared" si="0"/>
        <v>198903366.02463093</v>
      </c>
      <c r="AG6" s="76">
        <f t="shared" si="0"/>
        <v>205533478.22545224</v>
      </c>
      <c r="AH6" s="76">
        <f t="shared" si="0"/>
        <v>212163590.42627349</v>
      </c>
      <c r="AI6" s="76">
        <f t="shared" si="0"/>
        <v>218793702.62709478</v>
      </c>
      <c r="AJ6" s="76">
        <f t="shared" si="0"/>
        <v>225423814.82791615</v>
      </c>
      <c r="AK6" s="76">
        <f t="shared" si="0"/>
        <v>232053927.02873749</v>
      </c>
      <c r="AL6" s="76">
        <f t="shared" si="0"/>
        <v>238684039.22955883</v>
      </c>
      <c r="AM6" s="76">
        <f t="shared" si="0"/>
        <v>245314151.4303802</v>
      </c>
    </row>
    <row r="7" spans="1:39" outlineLevel="1" x14ac:dyDescent="0.25">
      <c r="A7" t="s">
        <v>186</v>
      </c>
      <c r="B7" s="117"/>
      <c r="C7" s="54"/>
      <c r="D7" s="54"/>
      <c r="E7" s="54"/>
      <c r="F7" s="54"/>
      <c r="G7" s="54"/>
      <c r="H7" s="54"/>
      <c r="I7" s="54"/>
      <c r="J7" s="54"/>
      <c r="K7" s="54"/>
      <c r="L7" s="54"/>
      <c r="M7" s="61"/>
      <c r="N7" s="54"/>
      <c r="O7" s="54"/>
      <c r="P7" s="54"/>
      <c r="Q7" s="54"/>
      <c r="R7" s="54"/>
      <c r="S7" s="55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61"/>
      <c r="AF7" s="61"/>
      <c r="AG7" s="61"/>
      <c r="AH7" s="61"/>
      <c r="AI7" s="61"/>
      <c r="AJ7" s="61"/>
      <c r="AK7" s="61"/>
      <c r="AL7" s="54"/>
      <c r="AM7" s="116">
        <f>AM9/AM11</f>
        <v>0.27673321231254733</v>
      </c>
    </row>
    <row r="8" spans="1:39" outlineLevel="1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outlineLevel="1" x14ac:dyDescent="0.25">
      <c r="A9" t="s">
        <v>107</v>
      </c>
      <c r="B9" s="13">
        <f t="shared" ref="B9:AK9" si="1">B11*$AM$7</f>
        <v>352.00464606156021</v>
      </c>
      <c r="C9" s="13">
        <f t="shared" si="1"/>
        <v>497.57773458226131</v>
      </c>
      <c r="D9" s="13">
        <f t="shared" si="1"/>
        <v>642.82214345275486</v>
      </c>
      <c r="E9" s="13">
        <f t="shared" si="1"/>
        <v>786.85786105788713</v>
      </c>
      <c r="F9" s="13">
        <f t="shared" si="1"/>
        <v>929.68488739765792</v>
      </c>
      <c r="G9" s="13">
        <f t="shared" si="1"/>
        <v>1071.3032224720678</v>
      </c>
      <c r="H9" s="13">
        <f t="shared" si="1"/>
        <v>1211.712866281116</v>
      </c>
      <c r="I9" s="13">
        <f t="shared" si="1"/>
        <v>1350.9138188248032</v>
      </c>
      <c r="J9" s="13">
        <f t="shared" si="1"/>
        <v>1488.9060801031287</v>
      </c>
      <c r="K9" s="13">
        <f t="shared" si="1"/>
        <v>1625.6896501160929</v>
      </c>
      <c r="L9" s="13">
        <f t="shared" si="1"/>
        <v>1761.2645288636966</v>
      </c>
      <c r="M9" s="13">
        <f t="shared" si="1"/>
        <v>1895.6307163459389</v>
      </c>
      <c r="N9" s="13">
        <f t="shared" si="1"/>
        <v>2028.7882125628203</v>
      </c>
      <c r="O9" s="13">
        <f t="shared" si="1"/>
        <v>2160.7370175143401</v>
      </c>
      <c r="P9" s="13">
        <f t="shared" si="1"/>
        <v>2291.4771312004996</v>
      </c>
      <c r="Q9" s="13">
        <f t="shared" si="1"/>
        <v>2421.0085536212969</v>
      </c>
      <c r="R9" s="13">
        <f t="shared" si="1"/>
        <v>2549.3312847767338</v>
      </c>
      <c r="S9" s="13">
        <f t="shared" si="1"/>
        <v>2676.4453246668095</v>
      </c>
      <c r="T9" s="13">
        <f t="shared" si="1"/>
        <v>2803.0456707691069</v>
      </c>
      <c r="U9" s="13">
        <f t="shared" si="1"/>
        <v>2929.1323230836265</v>
      </c>
      <c r="V9" s="13">
        <f t="shared" si="1"/>
        <v>3037.9850609224427</v>
      </c>
      <c r="W9" s="13">
        <f t="shared" si="1"/>
        <v>3143.1905105910291</v>
      </c>
      <c r="X9" s="13">
        <f t="shared" si="1"/>
        <v>3248.6322646753661</v>
      </c>
      <c r="Y9" s="13">
        <f t="shared" si="1"/>
        <v>3354.3103231754558</v>
      </c>
      <c r="Z9" s="13">
        <f t="shared" si="1"/>
        <v>3460.2246860912974</v>
      </c>
      <c r="AA9" s="13">
        <f t="shared" si="1"/>
        <v>3566.3753534228899</v>
      </c>
      <c r="AB9" s="13">
        <f t="shared" si="1"/>
        <v>3672.7623251702339</v>
      </c>
      <c r="AC9" s="13">
        <f t="shared" si="1"/>
        <v>3779.3856013333289</v>
      </c>
      <c r="AD9" s="13">
        <f t="shared" si="1"/>
        <v>3886.245181912177</v>
      </c>
      <c r="AE9" s="13">
        <f t="shared" si="1"/>
        <v>3993.3410669067762</v>
      </c>
      <c r="AF9" s="13">
        <f t="shared" si="1"/>
        <v>4100.6732563171263</v>
      </c>
      <c r="AG9" s="13">
        <f t="shared" si="1"/>
        <v>4208.2417501432301</v>
      </c>
      <c r="AH9" s="13">
        <f t="shared" si="1"/>
        <v>4316.046548385084</v>
      </c>
      <c r="AI9" s="13">
        <f t="shared" si="1"/>
        <v>4424.0876510426897</v>
      </c>
      <c r="AJ9" s="13">
        <f t="shared" si="1"/>
        <v>4532.3650581160482</v>
      </c>
      <c r="AK9" s="13">
        <f t="shared" si="1"/>
        <v>4640.8787696051568</v>
      </c>
      <c r="AL9" s="13">
        <f>AL11*$AM$7</f>
        <v>4749.628785510019</v>
      </c>
      <c r="AM9" s="13">
        <f>LCOE!AS8*1000*('Capacités installées'!B9+'Capacités installées'!B10)/1000000</f>
        <v>4858.6151058306323</v>
      </c>
    </row>
    <row r="10" spans="1:39" outlineLevel="1" x14ac:dyDescent="0.25">
      <c r="A10" t="s">
        <v>111</v>
      </c>
      <c r="B10" s="13">
        <f>B11-B9</f>
        <v>919.99535393843985</v>
      </c>
      <c r="C10" s="13">
        <f t="shared" ref="C10:AM10" si="2">C11-C9</f>
        <v>1300.4635284241044</v>
      </c>
      <c r="D10" s="13">
        <f t="shared" si="2"/>
        <v>1680.0726695006692</v>
      </c>
      <c r="E10" s="13">
        <f t="shared" si="2"/>
        <v>2056.5227887832898</v>
      </c>
      <c r="F10" s="13">
        <f t="shared" si="2"/>
        <v>2429.8138862719643</v>
      </c>
      <c r="G10" s="13">
        <f t="shared" si="2"/>
        <v>2799.9459619666945</v>
      </c>
      <c r="H10" s="13">
        <f t="shared" si="2"/>
        <v>3166.9190158674796</v>
      </c>
      <c r="I10" s="13">
        <f t="shared" si="2"/>
        <v>3530.7330479743196</v>
      </c>
      <c r="J10" s="13">
        <f t="shared" si="2"/>
        <v>3891.3880582872148</v>
      </c>
      <c r="K10" s="13">
        <f t="shared" si="2"/>
        <v>4248.8840468061644</v>
      </c>
      <c r="L10" s="13">
        <f t="shared" si="2"/>
        <v>4603.2210135311698</v>
      </c>
      <c r="M10" s="13">
        <f t="shared" si="2"/>
        <v>4954.3989584622313</v>
      </c>
      <c r="N10" s="13">
        <f t="shared" si="2"/>
        <v>5302.4178815993482</v>
      </c>
      <c r="O10" s="13">
        <f t="shared" si="2"/>
        <v>5647.2777829425195</v>
      </c>
      <c r="P10" s="13">
        <f t="shared" si="2"/>
        <v>5988.9786624917488</v>
      </c>
      <c r="Q10" s="13">
        <f t="shared" si="2"/>
        <v>6327.5205202470297</v>
      </c>
      <c r="R10" s="13">
        <f t="shared" si="2"/>
        <v>6662.9033562083696</v>
      </c>
      <c r="S10" s="13">
        <f t="shared" si="2"/>
        <v>6995.1271703757648</v>
      </c>
      <c r="T10" s="13">
        <f t="shared" si="2"/>
        <v>7326.0084002807325</v>
      </c>
      <c r="U10" s="13">
        <f t="shared" si="2"/>
        <v>7655.5470459232765</v>
      </c>
      <c r="V10" s="13">
        <f t="shared" si="2"/>
        <v>7940.0433279913141</v>
      </c>
      <c r="W10" s="13">
        <f t="shared" si="2"/>
        <v>8215.007099029659</v>
      </c>
      <c r="X10" s="13">
        <f t="shared" si="2"/>
        <v>8490.5884726111435</v>
      </c>
      <c r="Y10" s="13">
        <f t="shared" si="2"/>
        <v>8766.7874487357785</v>
      </c>
      <c r="Z10" s="13">
        <f t="shared" si="2"/>
        <v>9043.6040274035586</v>
      </c>
      <c r="AA10" s="13">
        <f t="shared" si="2"/>
        <v>9321.0382086144818</v>
      </c>
      <c r="AB10" s="13">
        <f t="shared" si="2"/>
        <v>9599.089992368552</v>
      </c>
      <c r="AC10" s="13">
        <f t="shared" si="2"/>
        <v>9877.7593786657635</v>
      </c>
      <c r="AD10" s="13">
        <f t="shared" si="2"/>
        <v>10157.046367506126</v>
      </c>
      <c r="AE10" s="13">
        <f t="shared" si="2"/>
        <v>10436.950958889633</v>
      </c>
      <c r="AF10" s="13">
        <f t="shared" si="2"/>
        <v>10717.473152816283</v>
      </c>
      <c r="AG10" s="13">
        <f t="shared" si="2"/>
        <v>10998.612949286082</v>
      </c>
      <c r="AH10" s="13">
        <f t="shared" si="2"/>
        <v>11280.370348299026</v>
      </c>
      <c r="AI10" s="13">
        <f t="shared" si="2"/>
        <v>11562.745349855113</v>
      </c>
      <c r="AJ10" s="13">
        <f t="shared" si="2"/>
        <v>11845.737953954347</v>
      </c>
      <c r="AK10" s="13">
        <f t="shared" si="2"/>
        <v>12129.348160596726</v>
      </c>
      <c r="AL10" s="13">
        <f t="shared" si="2"/>
        <v>12413.575969782254</v>
      </c>
      <c r="AM10" s="13">
        <f t="shared" si="2"/>
        <v>12698.421381510929</v>
      </c>
    </row>
    <row r="11" spans="1:39" outlineLevel="1" x14ac:dyDescent="0.25">
      <c r="A11" t="s">
        <v>184</v>
      </c>
      <c r="B11" s="123">
        <v>1272</v>
      </c>
      <c r="C11" s="123">
        <v>1798.0412630063656</v>
      </c>
      <c r="D11" s="123">
        <v>2322.8948129534242</v>
      </c>
      <c r="E11" s="123">
        <v>2843.3806498411768</v>
      </c>
      <c r="F11" s="123">
        <v>3359.4987736696221</v>
      </c>
      <c r="G11" s="123">
        <v>3871.2491844387623</v>
      </c>
      <c r="H11" s="123">
        <v>4378.6318821485957</v>
      </c>
      <c r="I11" s="123">
        <v>4881.646866799123</v>
      </c>
      <c r="J11" s="123">
        <v>5380.2941383903435</v>
      </c>
      <c r="K11" s="123">
        <v>5874.5736969222571</v>
      </c>
      <c r="L11" s="123">
        <v>6364.4855423948666</v>
      </c>
      <c r="M11" s="123">
        <v>6850.0296748081701</v>
      </c>
      <c r="N11" s="123">
        <v>7331.2060941621685</v>
      </c>
      <c r="O11" s="123">
        <v>7808.01480045686</v>
      </c>
      <c r="P11" s="123">
        <v>8280.4557936922483</v>
      </c>
      <c r="Q11" s="123">
        <v>8748.529073868327</v>
      </c>
      <c r="R11" s="123">
        <v>9212.2346409851034</v>
      </c>
      <c r="S11" s="123">
        <v>9671.5724950425738</v>
      </c>
      <c r="T11" s="123">
        <v>10129.054071049839</v>
      </c>
      <c r="U11" s="123">
        <v>10584.679369006903</v>
      </c>
      <c r="V11" s="123">
        <v>10978.028388913757</v>
      </c>
      <c r="W11" s="123">
        <v>11358.197609620687</v>
      </c>
      <c r="X11" s="123">
        <v>11739.22073728651</v>
      </c>
      <c r="Y11" s="123">
        <v>12121.097771911234</v>
      </c>
      <c r="Z11" s="123">
        <v>12503.828713494855</v>
      </c>
      <c r="AA11" s="123">
        <v>12887.413562037373</v>
      </c>
      <c r="AB11" s="123">
        <v>13271.852317538785</v>
      </c>
      <c r="AC11" s="123">
        <v>13657.144979999093</v>
      </c>
      <c r="AD11" s="123">
        <v>14043.291549418303</v>
      </c>
      <c r="AE11" s="123">
        <v>14430.292025796409</v>
      </c>
      <c r="AF11" s="123">
        <v>14818.146409133409</v>
      </c>
      <c r="AG11" s="123">
        <v>15206.854699429312</v>
      </c>
      <c r="AH11" s="123">
        <v>15596.41689668411</v>
      </c>
      <c r="AI11" s="123">
        <v>15986.833000897803</v>
      </c>
      <c r="AJ11" s="123">
        <v>16378.103012070396</v>
      </c>
      <c r="AK11" s="123">
        <v>16770.226930201883</v>
      </c>
      <c r="AL11" s="123">
        <v>17163.204755292274</v>
      </c>
      <c r="AM11" s="123">
        <v>17557.03648734156</v>
      </c>
    </row>
    <row r="12" spans="1:39" outlineLevel="1" x14ac:dyDescent="0.25"/>
    <row r="13" spans="1:39" outlineLevel="1" x14ac:dyDescent="0.25"/>
    <row r="14" spans="1:39" outlineLevel="1" x14ac:dyDescent="0.25">
      <c r="A14" s="3" t="s">
        <v>171</v>
      </c>
      <c r="B14" s="59">
        <v>2013</v>
      </c>
      <c r="C14" s="59">
        <v>2014</v>
      </c>
      <c r="D14" s="59">
        <v>2015</v>
      </c>
      <c r="E14" s="59">
        <v>2016</v>
      </c>
      <c r="F14" s="59">
        <v>2017</v>
      </c>
      <c r="G14" s="59">
        <v>2018</v>
      </c>
      <c r="H14" s="59">
        <v>2019</v>
      </c>
      <c r="I14" s="59">
        <v>2020</v>
      </c>
      <c r="J14" s="59">
        <v>2021</v>
      </c>
      <c r="K14" s="59">
        <v>2022</v>
      </c>
      <c r="L14" s="59">
        <v>2023</v>
      </c>
      <c r="M14" s="59">
        <v>2024</v>
      </c>
      <c r="N14" s="59">
        <v>2025</v>
      </c>
      <c r="O14" s="59">
        <v>2026</v>
      </c>
      <c r="P14" s="59">
        <v>2027</v>
      </c>
      <c r="Q14" s="59">
        <v>2028</v>
      </c>
      <c r="R14" s="59">
        <v>2029</v>
      </c>
      <c r="S14" s="59">
        <v>2030</v>
      </c>
      <c r="T14" s="59">
        <v>2031</v>
      </c>
      <c r="U14" s="59">
        <v>2032</v>
      </c>
      <c r="V14" s="59">
        <v>2033</v>
      </c>
      <c r="W14" s="59">
        <v>2034</v>
      </c>
      <c r="X14" s="59">
        <v>2035</v>
      </c>
      <c r="Y14" s="59">
        <v>2036</v>
      </c>
      <c r="Z14" s="59">
        <v>2037</v>
      </c>
      <c r="AA14" s="59">
        <v>2038</v>
      </c>
      <c r="AB14" s="59">
        <v>2039</v>
      </c>
      <c r="AC14" s="59">
        <v>2040</v>
      </c>
      <c r="AD14" s="59">
        <v>2041</v>
      </c>
      <c r="AE14" s="59">
        <v>2042</v>
      </c>
      <c r="AF14" s="59">
        <v>2043</v>
      </c>
      <c r="AG14" s="59">
        <v>2044</v>
      </c>
      <c r="AH14" s="59">
        <v>2045</v>
      </c>
      <c r="AI14" s="59">
        <v>2046</v>
      </c>
      <c r="AJ14" s="59">
        <v>2047</v>
      </c>
      <c r="AK14" s="59">
        <v>2048</v>
      </c>
      <c r="AL14" s="59">
        <v>2049</v>
      </c>
      <c r="AM14" s="59">
        <v>2050</v>
      </c>
    </row>
    <row r="15" spans="1:39" outlineLevel="1" x14ac:dyDescent="0.25">
      <c r="A15" t="s">
        <v>169</v>
      </c>
      <c r="B15" s="72">
        <f>'Linéarisation mix'!B5*1000000</f>
        <v>0</v>
      </c>
      <c r="C15" s="72">
        <v>0</v>
      </c>
      <c r="D15" s="72">
        <v>0</v>
      </c>
      <c r="E15" s="72">
        <v>0</v>
      </c>
      <c r="F15" s="72">
        <v>0</v>
      </c>
      <c r="G15" s="72">
        <f>F15+($L15-$F15)/(2023-2017)</f>
        <v>1886331.3530997785</v>
      </c>
      <c r="H15" s="72">
        <f t="shared" ref="H15:J15" si="3">G15+($L15-$F15)/(2023-2017)</f>
        <v>3772662.7061995571</v>
      </c>
      <c r="I15" s="72">
        <f t="shared" si="3"/>
        <v>5658994.0592993358</v>
      </c>
      <c r="J15" s="72">
        <f t="shared" si="3"/>
        <v>7545325.4123991141</v>
      </c>
      <c r="K15" s="72">
        <f>J15+($L15-$F15)/(2023-2017)</f>
        <v>9431656.7654988933</v>
      </c>
      <c r="L15" s="72">
        <f>'Linéarisation mix'!L5*1000000</f>
        <v>11317988.118598672</v>
      </c>
      <c r="M15" s="72">
        <f>'Linéarisation mix'!M5*1000000</f>
        <v>12449786.930458544</v>
      </c>
      <c r="N15" s="72">
        <f>'Linéarisation mix'!N5*1000000</f>
        <v>13581585.742318418</v>
      </c>
      <c r="O15" s="72">
        <f>'Linéarisation mix'!O5*1000000</f>
        <v>14713384.554178292</v>
      </c>
      <c r="P15" s="72">
        <f>'Linéarisation mix'!P5*1000000</f>
        <v>15845183.366038168</v>
      </c>
      <c r="Q15" s="72">
        <f>'Linéarisation mix'!Q5*1000000</f>
        <v>16976982.177898046</v>
      </c>
      <c r="R15" s="72">
        <f>'Linéarisation mix'!R5*1000000</f>
        <v>18108780.989757925</v>
      </c>
      <c r="S15" s="72">
        <f>'Linéarisation mix'!S5*1000000</f>
        <v>19240579.801617809</v>
      </c>
      <c r="T15" s="72">
        <f>'Linéarisation mix'!T5*1000000</f>
        <v>20372378.613477692</v>
      </c>
      <c r="U15" s="72">
        <f>'Linéarisation mix'!U5*1000000</f>
        <v>21504177.425337579</v>
      </c>
      <c r="V15" s="72">
        <f>'Linéarisation mix'!V5*1000000</f>
        <v>22635976.23719747</v>
      </c>
      <c r="W15" s="72">
        <f>'Linéarisation mix'!W5*1000000</f>
        <v>23767775.049057361</v>
      </c>
      <c r="X15" s="72">
        <f>'Linéarisation mix'!X5*1000000</f>
        <v>24899573.860917252</v>
      </c>
      <c r="Y15" s="72">
        <f>'Linéarisation mix'!Y5*1000000</f>
        <v>26031372.672777146</v>
      </c>
      <c r="Z15" s="72">
        <f>'Linéarisation mix'!Z5*1000000</f>
        <v>27163171.484637044</v>
      </c>
      <c r="AA15" s="72">
        <f>'Linéarisation mix'!AA5*1000000</f>
        <v>28294970.296496943</v>
      </c>
      <c r="AB15" s="72">
        <f>'Linéarisation mix'!AB5*1000000</f>
        <v>29426769.108356845</v>
      </c>
      <c r="AC15" s="72">
        <f>'Linéarisation mix'!AC5*1000000</f>
        <v>30558567.92021675</v>
      </c>
      <c r="AD15" s="72">
        <f>'Linéarisation mix'!AD5*1000000</f>
        <v>31690366.732076656</v>
      </c>
      <c r="AE15" s="72">
        <f>'Linéarisation mix'!AE5*1000000</f>
        <v>32822165.543936562</v>
      </c>
      <c r="AF15" s="72">
        <f>'Linéarisation mix'!AF5*1000000</f>
        <v>33953964.355796479</v>
      </c>
      <c r="AG15" s="72">
        <f>'Linéarisation mix'!AG5*1000000</f>
        <v>35085763.167656392</v>
      </c>
      <c r="AH15" s="72">
        <f>'Linéarisation mix'!AH5*1000000</f>
        <v>36217561.97951632</v>
      </c>
      <c r="AI15" s="72">
        <f>'Linéarisation mix'!AI5*1000000</f>
        <v>37349360.791376248</v>
      </c>
      <c r="AJ15" s="72">
        <f>'Linéarisation mix'!AJ5*1000000</f>
        <v>38481159.603236176</v>
      </c>
      <c r="AK15" s="72">
        <f>'Linéarisation mix'!AK5*1000000</f>
        <v>39612958.415096119</v>
      </c>
      <c r="AL15" s="72">
        <f>'Linéarisation mix'!AL5*1000000</f>
        <v>40744757.226956055</v>
      </c>
      <c r="AM15" s="72">
        <f>'Linéarisation mix'!AM5*1000000</f>
        <v>41876556.038815998</v>
      </c>
    </row>
    <row r="16" spans="1:39" outlineLevel="1" x14ac:dyDescent="0.25">
      <c r="A16" t="s">
        <v>183</v>
      </c>
      <c r="B16" s="72">
        <f>LCOE!B11</f>
        <v>150</v>
      </c>
      <c r="C16" s="72">
        <f>LCOE!C11</f>
        <v>146.76470588235293</v>
      </c>
      <c r="D16" s="72">
        <f>LCOE!D11</f>
        <v>143.52941176470586</v>
      </c>
      <c r="E16" s="72">
        <f>LCOE!E11</f>
        <v>140.29411764705878</v>
      </c>
      <c r="F16" s="72">
        <f>LCOE!F11</f>
        <v>137.05882352941171</v>
      </c>
      <c r="G16" s="72">
        <f>LCOE!G11</f>
        <v>133.82352941176464</v>
      </c>
      <c r="H16" s="72">
        <f>LCOE!H11</f>
        <v>130.58823529411757</v>
      </c>
      <c r="I16" s="72">
        <f>LCOE!I11</f>
        <v>127.35294117647051</v>
      </c>
      <c r="J16" s="72">
        <f>LCOE!J11</f>
        <v>124.11764705882345</v>
      </c>
      <c r="K16" s="72">
        <f>LCOE!K11</f>
        <v>120.88235294117639</v>
      </c>
      <c r="L16" s="72">
        <f>LCOE!L11</f>
        <v>117.64705882352933</v>
      </c>
      <c r="M16" s="72">
        <f>LCOE!M11</f>
        <v>114.41176470588228</v>
      </c>
      <c r="N16" s="72">
        <f>LCOE!N11</f>
        <v>111.17647058823522</v>
      </c>
      <c r="O16" s="72">
        <f>LCOE!O11</f>
        <v>107.94117647058816</v>
      </c>
      <c r="P16" s="72">
        <f>LCOE!P11</f>
        <v>104.7058823529411</v>
      </c>
      <c r="Q16" s="72">
        <f>LCOE!Q11</f>
        <v>101.47058823529404</v>
      </c>
      <c r="R16" s="72">
        <f>LCOE!R11</f>
        <v>98.235294117646987</v>
      </c>
      <c r="S16" s="72">
        <f>LCOE!S11</f>
        <v>95</v>
      </c>
      <c r="T16" s="72">
        <f>LCOE!T11</f>
        <v>94.25</v>
      </c>
      <c r="U16" s="72">
        <f>LCOE!U11</f>
        <v>93.5</v>
      </c>
      <c r="V16" s="72">
        <f>LCOE!V11</f>
        <v>92.75</v>
      </c>
      <c r="W16" s="72">
        <f>LCOE!W11</f>
        <v>92</v>
      </c>
      <c r="X16" s="72">
        <f>LCOE!X11</f>
        <v>91.25</v>
      </c>
      <c r="Y16" s="72">
        <f>LCOE!Y11</f>
        <v>90.5</v>
      </c>
      <c r="Z16" s="72">
        <f>LCOE!Z11</f>
        <v>89.75</v>
      </c>
      <c r="AA16" s="72">
        <f>LCOE!AA11</f>
        <v>89</v>
      </c>
      <c r="AB16" s="72">
        <f>LCOE!AB11</f>
        <v>88.25</v>
      </c>
      <c r="AC16" s="72">
        <f>LCOE!AC11</f>
        <v>87.5</v>
      </c>
      <c r="AD16" s="72">
        <f>LCOE!AD11</f>
        <v>86.75</v>
      </c>
      <c r="AE16" s="72">
        <f>LCOE!AE11</f>
        <v>86</v>
      </c>
      <c r="AF16" s="72">
        <f>LCOE!AF11</f>
        <v>85.25</v>
      </c>
      <c r="AG16" s="72">
        <f>LCOE!AG11</f>
        <v>84.5</v>
      </c>
      <c r="AH16" s="72">
        <f>LCOE!AH11</f>
        <v>83.75</v>
      </c>
      <c r="AI16" s="72">
        <f>LCOE!AI11</f>
        <v>83</v>
      </c>
      <c r="AJ16" s="72">
        <f>LCOE!AJ11</f>
        <v>82.25</v>
      </c>
      <c r="AK16" s="72">
        <f>LCOE!AK11</f>
        <v>81.5</v>
      </c>
      <c r="AL16" s="72">
        <f>LCOE!AL11</f>
        <v>80.75</v>
      </c>
      <c r="AM16" s="72">
        <f>LCOE!AM11</f>
        <v>80</v>
      </c>
    </row>
    <row r="17" spans="1:39" outlineLevel="1" x14ac:dyDescent="0.25">
      <c r="A17" t="s">
        <v>127</v>
      </c>
      <c r="B17" s="60">
        <v>0</v>
      </c>
      <c r="C17" s="76">
        <f t="shared" ref="C17:AM17" si="4">B17+C15-B15</f>
        <v>0</v>
      </c>
      <c r="D17" s="76">
        <f t="shared" si="4"/>
        <v>0</v>
      </c>
      <c r="E17" s="76">
        <f t="shared" si="4"/>
        <v>0</v>
      </c>
      <c r="F17" s="76">
        <f t="shared" si="4"/>
        <v>0</v>
      </c>
      <c r="G17" s="76">
        <f t="shared" si="4"/>
        <v>1886331.3530997785</v>
      </c>
      <c r="H17" s="76">
        <f t="shared" si="4"/>
        <v>3772662.7061995575</v>
      </c>
      <c r="I17" s="76">
        <f t="shared" si="4"/>
        <v>5658994.0592993367</v>
      </c>
      <c r="J17" s="76">
        <f t="shared" si="4"/>
        <v>7545325.412399116</v>
      </c>
      <c r="K17" s="76">
        <f t="shared" si="4"/>
        <v>9431656.7654988952</v>
      </c>
      <c r="L17" s="76">
        <f t="shared" si="4"/>
        <v>11317988.118598675</v>
      </c>
      <c r="M17" s="76">
        <f t="shared" si="4"/>
        <v>12449786.930458548</v>
      </c>
      <c r="N17" s="76">
        <f t="shared" si="4"/>
        <v>13581585.742318423</v>
      </c>
      <c r="O17" s="76">
        <f t="shared" si="4"/>
        <v>14713384.554178298</v>
      </c>
      <c r="P17" s="76">
        <f t="shared" si="4"/>
        <v>15845183.366038172</v>
      </c>
      <c r="Q17" s="76">
        <f t="shared" si="4"/>
        <v>16976982.177898049</v>
      </c>
      <c r="R17" s="76">
        <f t="shared" si="4"/>
        <v>18108780.989757929</v>
      </c>
      <c r="S17" s="76">
        <f t="shared" si="4"/>
        <v>19240579.801617816</v>
      </c>
      <c r="T17" s="76">
        <f t="shared" si="4"/>
        <v>20372378.613477699</v>
      </c>
      <c r="U17" s="76">
        <f t="shared" si="4"/>
        <v>21504177.425337583</v>
      </c>
      <c r="V17" s="76">
        <f t="shared" si="4"/>
        <v>22635976.237197477</v>
      </c>
      <c r="W17" s="76">
        <f t="shared" si="4"/>
        <v>23767775.049057368</v>
      </c>
      <c r="X17" s="76">
        <f t="shared" si="4"/>
        <v>24899573.860917259</v>
      </c>
      <c r="Y17" s="76">
        <f t="shared" si="4"/>
        <v>26031372.67277715</v>
      </c>
      <c r="Z17" s="76">
        <f t="shared" si="4"/>
        <v>27163171.484637052</v>
      </c>
      <c r="AA17" s="76">
        <f t="shared" si="4"/>
        <v>28294970.29649695</v>
      </c>
      <c r="AB17" s="76">
        <f t="shared" si="4"/>
        <v>29426769.108356848</v>
      </c>
      <c r="AC17" s="76">
        <f t="shared" si="4"/>
        <v>30558567.920216758</v>
      </c>
      <c r="AD17" s="76">
        <f t="shared" si="4"/>
        <v>31690366.732076664</v>
      </c>
      <c r="AE17" s="76">
        <f t="shared" si="4"/>
        <v>32822165.543936569</v>
      </c>
      <c r="AF17" s="76">
        <f t="shared" si="4"/>
        <v>33953964.355796486</v>
      </c>
      <c r="AG17" s="76">
        <f t="shared" si="4"/>
        <v>35085763.167656399</v>
      </c>
      <c r="AH17" s="76">
        <f t="shared" si="4"/>
        <v>36217561.979516327</v>
      </c>
      <c r="AI17" s="76">
        <f t="shared" si="4"/>
        <v>37349360.791376255</v>
      </c>
      <c r="AJ17" s="76">
        <f t="shared" si="4"/>
        <v>38481159.603236184</v>
      </c>
      <c r="AK17" s="76">
        <f t="shared" si="4"/>
        <v>39612958.415096126</v>
      </c>
      <c r="AL17" s="76">
        <f t="shared" si="4"/>
        <v>40744757.226956055</v>
      </c>
      <c r="AM17" s="76">
        <f t="shared" si="4"/>
        <v>41876556.03881599</v>
      </c>
    </row>
    <row r="18" spans="1:39" outlineLevel="1" x14ac:dyDescent="0.25">
      <c r="A18" t="s">
        <v>186</v>
      </c>
      <c r="B18" s="117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61"/>
      <c r="N18" s="54"/>
      <c r="O18" s="54"/>
      <c r="P18" s="54"/>
      <c r="Q18" s="54"/>
      <c r="R18" s="54"/>
      <c r="S18" s="55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61"/>
      <c r="AF18" s="61"/>
      <c r="AG18" s="61"/>
      <c r="AH18" s="61"/>
      <c r="AI18" s="61"/>
      <c r="AJ18" s="61"/>
      <c r="AK18" s="61"/>
      <c r="AL18" s="54"/>
      <c r="AM18" s="116">
        <f>AM20/AM22</f>
        <v>0.39518517649413587</v>
      </c>
    </row>
    <row r="19" spans="1:39" outlineLevel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outlineLevel="1" x14ac:dyDescent="0.25">
      <c r="A20" t="s">
        <v>107</v>
      </c>
      <c r="B20" s="13">
        <f t="shared" ref="B20:AK20" si="5">$AM$18*B22</f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99.758775252655255</v>
      </c>
      <c r="H20" s="13">
        <f t="shared" si="5"/>
        <v>197.10579989480678</v>
      </c>
      <c r="I20" s="13">
        <f t="shared" si="5"/>
        <v>292.04107392645454</v>
      </c>
      <c r="J20" s="13">
        <f t="shared" si="5"/>
        <v>384.56459734759858</v>
      </c>
      <c r="K20" s="13">
        <f t="shared" si="5"/>
        <v>474.67637015823891</v>
      </c>
      <c r="L20" s="13">
        <f t="shared" si="5"/>
        <v>562.37639235837548</v>
      </c>
      <c r="M20" s="13">
        <f t="shared" si="5"/>
        <v>613.5493553121554</v>
      </c>
      <c r="N20" s="13">
        <f t="shared" si="5"/>
        <v>663.27526789963315</v>
      </c>
      <c r="O20" s="13">
        <f t="shared" si="5"/>
        <v>711.55413012080851</v>
      </c>
      <c r="P20" s="13">
        <f t="shared" si="5"/>
        <v>758.3859419756817</v>
      </c>
      <c r="Q20" s="13">
        <f t="shared" si="5"/>
        <v>803.77070346425262</v>
      </c>
      <c r="R20" s="13">
        <f t="shared" si="5"/>
        <v>847.70841458652137</v>
      </c>
      <c r="S20" s="13">
        <f t="shared" si="5"/>
        <v>890.19907534248807</v>
      </c>
      <c r="T20" s="13">
        <f t="shared" si="5"/>
        <v>932.35428351353914</v>
      </c>
      <c r="U20" s="13">
        <f t="shared" si="5"/>
        <v>974.17403909967493</v>
      </c>
      <c r="V20" s="13">
        <f t="shared" si="5"/>
        <v>1015.6583421008954</v>
      </c>
      <c r="W20" s="13">
        <f t="shared" si="5"/>
        <v>1056.8071925172003</v>
      </c>
      <c r="X20" s="13">
        <f t="shared" si="5"/>
        <v>1097.6205903485898</v>
      </c>
      <c r="Y20" s="13">
        <f t="shared" si="5"/>
        <v>1138.0985355950638</v>
      </c>
      <c r="Z20" s="13">
        <f t="shared" si="5"/>
        <v>1178.2410282566225</v>
      </c>
      <c r="AA20" s="13">
        <f t="shared" si="5"/>
        <v>1184.6343598750136</v>
      </c>
      <c r="AB20" s="13">
        <f t="shared" si="5"/>
        <v>1192.5449018774675</v>
      </c>
      <c r="AC20" s="13">
        <f t="shared" si="5"/>
        <v>1201.9726542639837</v>
      </c>
      <c r="AD20" s="13">
        <f t="shared" si="5"/>
        <v>1212.9176170345622</v>
      </c>
      <c r="AE20" s="13">
        <f t="shared" si="5"/>
        <v>1225.379790189203</v>
      </c>
      <c r="AF20" s="13">
        <f t="shared" si="5"/>
        <v>1239.3591737279066</v>
      </c>
      <c r="AG20" s="13">
        <f t="shared" si="5"/>
        <v>1263.7748599084262</v>
      </c>
      <c r="AH20" s="13">
        <f t="shared" si="5"/>
        <v>1288.9666912854175</v>
      </c>
      <c r="AI20" s="13">
        <f t="shared" si="5"/>
        <v>1314.9346678588799</v>
      </c>
      <c r="AJ20" s="13">
        <f t="shared" si="5"/>
        <v>1341.6787896288133</v>
      </c>
      <c r="AK20" s="13">
        <f t="shared" si="5"/>
        <v>1369.1990565952187</v>
      </c>
      <c r="AL20" s="13">
        <f>$AM$18*AL22</f>
        <v>1397.4954687580948</v>
      </c>
      <c r="AM20" s="13">
        <f>LCOE!AS11*1000*('Capacités installées'!B11+'Capacités installées'!B20)/1000000</f>
        <v>1426.5680261174423</v>
      </c>
    </row>
    <row r="21" spans="1:39" outlineLevel="1" x14ac:dyDescent="0.25">
      <c r="A21" t="s">
        <v>111</v>
      </c>
      <c r="B21" s="53">
        <f t="shared" ref="B21:AL21" si="6">B22-B20</f>
        <v>0</v>
      </c>
      <c r="C21" s="53">
        <f t="shared" si="6"/>
        <v>0</v>
      </c>
      <c r="D21" s="53">
        <f t="shared" si="6"/>
        <v>0</v>
      </c>
      <c r="E21" s="53">
        <f t="shared" si="6"/>
        <v>0</v>
      </c>
      <c r="F21" s="53">
        <f t="shared" si="6"/>
        <v>0</v>
      </c>
      <c r="G21" s="53">
        <f t="shared" si="6"/>
        <v>152.67674405922756</v>
      </c>
      <c r="H21" s="53">
        <f t="shared" si="6"/>
        <v>301.66240199834192</v>
      </c>
      <c r="I21" s="53">
        <f t="shared" si="6"/>
        <v>446.95697381734323</v>
      </c>
      <c r="J21" s="53">
        <f t="shared" si="6"/>
        <v>588.56045951623128</v>
      </c>
      <c r="K21" s="53">
        <f t="shared" si="6"/>
        <v>726.47285909500613</v>
      </c>
      <c r="L21" s="53">
        <f t="shared" si="6"/>
        <v>860.69417255366795</v>
      </c>
      <c r="M21" s="53">
        <f t="shared" si="6"/>
        <v>939.01230895679726</v>
      </c>
      <c r="N21" s="53">
        <f t="shared" si="6"/>
        <v>1015.1157936878589</v>
      </c>
      <c r="O21" s="53">
        <f t="shared" si="6"/>
        <v>1089.0046267468524</v>
      </c>
      <c r="P21" s="53">
        <f t="shared" si="6"/>
        <v>1160.6788081337781</v>
      </c>
      <c r="Q21" s="53">
        <f t="shared" si="6"/>
        <v>1230.1383378486362</v>
      </c>
      <c r="R21" s="53">
        <f t="shared" si="6"/>
        <v>1297.3832158914261</v>
      </c>
      <c r="S21" s="53">
        <f t="shared" si="6"/>
        <v>1362.4134422621487</v>
      </c>
      <c r="T21" s="53">
        <f t="shared" si="6"/>
        <v>1426.9302721088916</v>
      </c>
      <c r="U21" s="53">
        <f t="shared" si="6"/>
        <v>1490.9337054316554</v>
      </c>
      <c r="V21" s="53">
        <f t="shared" si="6"/>
        <v>1554.42374223044</v>
      </c>
      <c r="W21" s="53">
        <f t="shared" si="6"/>
        <v>1617.4003825052455</v>
      </c>
      <c r="X21" s="53">
        <f t="shared" si="6"/>
        <v>1679.8636262560713</v>
      </c>
      <c r="Y21" s="53">
        <f t="shared" si="6"/>
        <v>1741.8134734829182</v>
      </c>
      <c r="Z21" s="53">
        <f t="shared" si="6"/>
        <v>1803.2499241857859</v>
      </c>
      <c r="AA21" s="53">
        <f t="shared" si="6"/>
        <v>1813.0346579369243</v>
      </c>
      <c r="AB21" s="53">
        <f t="shared" si="6"/>
        <v>1825.1414204108978</v>
      </c>
      <c r="AC21" s="53">
        <f t="shared" si="6"/>
        <v>1839.5702116077064</v>
      </c>
      <c r="AD21" s="53">
        <f t="shared" si="6"/>
        <v>1856.3210315273495</v>
      </c>
      <c r="AE21" s="53">
        <f t="shared" si="6"/>
        <v>1875.3938801698278</v>
      </c>
      <c r="AF21" s="53">
        <f t="shared" si="6"/>
        <v>1896.788757535141</v>
      </c>
      <c r="AG21" s="53">
        <f t="shared" si="6"/>
        <v>1934.1559712020348</v>
      </c>
      <c r="AH21" s="53">
        <f t="shared" si="6"/>
        <v>1972.7110434930385</v>
      </c>
      <c r="AI21" s="53">
        <f t="shared" si="6"/>
        <v>2012.4539744081512</v>
      </c>
      <c r="AJ21" s="53">
        <f t="shared" si="6"/>
        <v>2053.3847639473729</v>
      </c>
      <c r="AK21" s="53">
        <f t="shared" si="6"/>
        <v>2095.5034121107051</v>
      </c>
      <c r="AL21" s="53">
        <f t="shared" si="6"/>
        <v>2138.809918898145</v>
      </c>
      <c r="AM21" s="53">
        <f>AM22-AM20</f>
        <v>2183.3042843096946</v>
      </c>
    </row>
    <row r="22" spans="1:39" outlineLevel="1" x14ac:dyDescent="0.25">
      <c r="A22" t="s">
        <v>184</v>
      </c>
      <c r="B22" s="123">
        <v>0</v>
      </c>
      <c r="C22" s="123">
        <v>0</v>
      </c>
      <c r="D22" s="123">
        <v>0</v>
      </c>
      <c r="E22" s="123">
        <v>0</v>
      </c>
      <c r="F22" s="123">
        <v>0</v>
      </c>
      <c r="G22" s="123">
        <v>252.43551931188281</v>
      </c>
      <c r="H22" s="123">
        <v>498.76820189314873</v>
      </c>
      <c r="I22" s="123">
        <v>738.99804774379777</v>
      </c>
      <c r="J22" s="123">
        <v>973.12505686382985</v>
      </c>
      <c r="K22" s="123">
        <v>1201.149229253245</v>
      </c>
      <c r="L22" s="123">
        <v>1423.0705649120434</v>
      </c>
      <c r="M22" s="123">
        <v>1552.5616642689527</v>
      </c>
      <c r="N22" s="123">
        <v>1678.391061587492</v>
      </c>
      <c r="O22" s="123">
        <v>1800.558756867661</v>
      </c>
      <c r="P22" s="123">
        <v>1919.06475010946</v>
      </c>
      <c r="Q22" s="123">
        <v>2033.9090413128888</v>
      </c>
      <c r="R22" s="123">
        <v>2145.0916304779475</v>
      </c>
      <c r="S22" s="123">
        <v>2252.6125176046367</v>
      </c>
      <c r="T22" s="123">
        <v>2359.2845556224306</v>
      </c>
      <c r="U22" s="123">
        <v>2465.1077445313304</v>
      </c>
      <c r="V22" s="123">
        <v>2570.0820843313354</v>
      </c>
      <c r="W22" s="123">
        <v>2674.2075750224458</v>
      </c>
      <c r="X22" s="123">
        <v>2777.484216604661</v>
      </c>
      <c r="Y22" s="123">
        <v>2879.912009077982</v>
      </c>
      <c r="Z22" s="123">
        <v>2981.4909524424083</v>
      </c>
      <c r="AA22" s="123">
        <v>2997.6690178119379</v>
      </c>
      <c r="AB22" s="123">
        <v>3017.6863222883653</v>
      </c>
      <c r="AC22" s="123">
        <v>3041.5428658716901</v>
      </c>
      <c r="AD22" s="123">
        <v>3069.2386485619118</v>
      </c>
      <c r="AE22" s="123">
        <v>3100.7736703590308</v>
      </c>
      <c r="AF22" s="123">
        <v>3136.1479312630477</v>
      </c>
      <c r="AG22" s="123">
        <v>3197.930831110461</v>
      </c>
      <c r="AH22" s="123">
        <v>3261.6777347784559</v>
      </c>
      <c r="AI22" s="123">
        <v>3327.3886422670312</v>
      </c>
      <c r="AJ22" s="123">
        <v>3395.0635535761862</v>
      </c>
      <c r="AK22" s="123">
        <v>3464.7024687059238</v>
      </c>
      <c r="AL22" s="123">
        <v>3536.3053876562399</v>
      </c>
      <c r="AM22" s="123">
        <v>3609.8723104271371</v>
      </c>
    </row>
    <row r="23" spans="1:39" outlineLevel="1" x14ac:dyDescent="0.25"/>
    <row r="25" spans="1:39" ht="30.75" customHeight="1" x14ac:dyDescent="0.25">
      <c r="A25" s="74" t="s">
        <v>122</v>
      </c>
      <c r="B25" t="s">
        <v>30</v>
      </c>
      <c r="C25">
        <v>25</v>
      </c>
    </row>
    <row r="26" spans="1:39" outlineLevel="1" x14ac:dyDescent="0.25"/>
    <row r="27" spans="1:39" outlineLevel="1" x14ac:dyDescent="0.25">
      <c r="A27" s="3" t="s">
        <v>170</v>
      </c>
      <c r="B27" s="59">
        <v>2013</v>
      </c>
      <c r="C27" s="59">
        <v>2014</v>
      </c>
      <c r="D27" s="59">
        <v>2015</v>
      </c>
      <c r="E27" s="59">
        <v>2016</v>
      </c>
      <c r="F27" s="59">
        <v>2017</v>
      </c>
      <c r="G27" s="59">
        <v>2018</v>
      </c>
      <c r="H27" s="59">
        <v>2019</v>
      </c>
      <c r="I27" s="59">
        <v>2020</v>
      </c>
      <c r="J27" s="59">
        <v>2021</v>
      </c>
      <c r="K27" s="59">
        <v>2022</v>
      </c>
      <c r="L27" s="59">
        <v>2023</v>
      </c>
      <c r="M27" s="59">
        <v>2024</v>
      </c>
      <c r="N27" s="59">
        <v>2025</v>
      </c>
      <c r="O27" s="59">
        <v>2026</v>
      </c>
      <c r="P27" s="59">
        <v>2027</v>
      </c>
      <c r="Q27" s="59">
        <v>2028</v>
      </c>
      <c r="R27" s="59">
        <v>2029</v>
      </c>
      <c r="S27" s="59">
        <v>2030</v>
      </c>
      <c r="T27" s="59">
        <v>2031</v>
      </c>
      <c r="U27" s="59">
        <v>2032</v>
      </c>
      <c r="V27" s="59">
        <v>2033</v>
      </c>
      <c r="W27" s="59">
        <v>2034</v>
      </c>
      <c r="X27" s="59">
        <v>2035</v>
      </c>
      <c r="Y27" s="59">
        <v>2036</v>
      </c>
      <c r="Z27" s="59">
        <v>2037</v>
      </c>
      <c r="AA27" s="59">
        <v>2038</v>
      </c>
      <c r="AB27" s="59">
        <v>2039</v>
      </c>
      <c r="AC27" s="59">
        <v>2040</v>
      </c>
      <c r="AD27" s="59">
        <v>2041</v>
      </c>
      <c r="AE27" s="59">
        <v>2042</v>
      </c>
      <c r="AF27" s="59">
        <v>2043</v>
      </c>
      <c r="AG27" s="59">
        <v>2044</v>
      </c>
      <c r="AH27" s="59">
        <v>2045</v>
      </c>
      <c r="AI27" s="59">
        <v>2046</v>
      </c>
      <c r="AJ27" s="59">
        <v>2047</v>
      </c>
      <c r="AK27" s="59">
        <v>2048</v>
      </c>
      <c r="AL27" s="59">
        <v>2049</v>
      </c>
      <c r="AM27" s="59">
        <v>2050</v>
      </c>
    </row>
    <row r="28" spans="1:39" outlineLevel="1" x14ac:dyDescent="0.25">
      <c r="A28" t="s">
        <v>169</v>
      </c>
      <c r="B28" s="72">
        <f>'Linéarisation mix'!B6*1000000</f>
        <v>4600000</v>
      </c>
      <c r="C28" s="72">
        <f>'Linéarisation mix'!C6*1000000</f>
        <v>6694189.4977472164</v>
      </c>
      <c r="D28" s="72">
        <f>'Linéarisation mix'!D6*1000000</f>
        <v>8788378.9954944327</v>
      </c>
      <c r="E28" s="72">
        <f>'Linéarisation mix'!E6*1000000</f>
        <v>10882568.493241649</v>
      </c>
      <c r="F28" s="72">
        <f>'Linéarisation mix'!F6*1000000</f>
        <v>12976757.990988867</v>
      </c>
      <c r="G28" s="72">
        <f>'Linéarisation mix'!G6*1000000</f>
        <v>15070947.488736086</v>
      </c>
      <c r="H28" s="72">
        <f>'Linéarisation mix'!H6*1000000</f>
        <v>17165136.986483306</v>
      </c>
      <c r="I28" s="72">
        <f>'Linéarisation mix'!I6*1000000</f>
        <v>19259326.484230526</v>
      </c>
      <c r="J28" s="72">
        <f>'Linéarisation mix'!J6*1000000</f>
        <v>21353515.981977753</v>
      </c>
      <c r="K28" s="72">
        <f>'Linéarisation mix'!K6*1000000</f>
        <v>23447705.479724981</v>
      </c>
      <c r="L28" s="72">
        <f>'Linéarisation mix'!L6*1000000</f>
        <v>25541894.977472212</v>
      </c>
      <c r="M28" s="72">
        <f>'Linéarisation mix'!M6*1000000</f>
        <v>27636084.47521944</v>
      </c>
      <c r="N28" s="72">
        <f>'Linéarisation mix'!N6*1000000</f>
        <v>29730273.972966675</v>
      </c>
      <c r="O28" s="72">
        <f>'Linéarisation mix'!O6*1000000</f>
        <v>31824463.47071391</v>
      </c>
      <c r="P28" s="72">
        <f>'Linéarisation mix'!P6*1000000</f>
        <v>33918652.968461148</v>
      </c>
      <c r="Q28" s="72">
        <f>'Linéarisation mix'!Q6*1000000</f>
        <v>36012842.466208391</v>
      </c>
      <c r="R28" s="72">
        <f>'Linéarisation mix'!R6*1000000</f>
        <v>38107031.963955633</v>
      </c>
      <c r="S28" s="72">
        <f>'Linéarisation mix'!S6*1000000</f>
        <v>40201221.461702883</v>
      </c>
      <c r="T28" s="72">
        <f>'Linéarisation mix'!T6*1000000</f>
        <v>42295410.959450148</v>
      </c>
      <c r="U28" s="72">
        <f>'Linéarisation mix'!U6*1000000</f>
        <v>44389600.457197405</v>
      </c>
      <c r="V28" s="72">
        <f>'Linéarisation mix'!V6*1000000</f>
        <v>46483789.95494467</v>
      </c>
      <c r="W28" s="72">
        <f>'Linéarisation mix'!W6*1000000</f>
        <v>48577979.452691942</v>
      </c>
      <c r="X28" s="72">
        <f>'Linéarisation mix'!X6*1000000</f>
        <v>50672168.950439215</v>
      </c>
      <c r="Y28" s="72">
        <f>'Linéarisation mix'!Y6*1000000</f>
        <v>52766358.448186494</v>
      </c>
      <c r="Z28" s="72">
        <f>'Linéarisation mix'!Z6*1000000</f>
        <v>54860547.945933782</v>
      </c>
      <c r="AA28" s="72">
        <f>'Linéarisation mix'!AA6*1000000</f>
        <v>56954737.443681069</v>
      </c>
      <c r="AB28" s="72">
        <f>'Linéarisation mix'!AB6*1000000</f>
        <v>59048926.941428363</v>
      </c>
      <c r="AC28" s="72">
        <f>'Linéarisation mix'!AC6*1000000</f>
        <v>61143116.439175665</v>
      </c>
      <c r="AD28" s="72">
        <f>'Linéarisation mix'!AD6*1000000</f>
        <v>63237305.936922967</v>
      </c>
      <c r="AE28" s="72">
        <f>'Linéarisation mix'!AE6*1000000</f>
        <v>65331495.434670277</v>
      </c>
      <c r="AF28" s="72">
        <f>'Linéarisation mix'!AF6*1000000</f>
        <v>67425684.932417601</v>
      </c>
      <c r="AG28" s="72">
        <f>'Linéarisation mix'!AG6*1000000</f>
        <v>69519874.430164918</v>
      </c>
      <c r="AH28" s="72">
        <f>'Linéarisation mix'!AH6*1000000</f>
        <v>71614063.92791225</v>
      </c>
      <c r="AI28" s="72">
        <f>'Linéarisation mix'!AI6*1000000</f>
        <v>73708253.425659597</v>
      </c>
      <c r="AJ28" s="72">
        <f>'Linéarisation mix'!AJ6*1000000</f>
        <v>75802442.923406944</v>
      </c>
      <c r="AK28" s="72">
        <f>'Linéarisation mix'!AK6*1000000</f>
        <v>77896632.421154305</v>
      </c>
      <c r="AL28" s="72">
        <f>'Linéarisation mix'!AL6*1000000</f>
        <v>79990821.918901667</v>
      </c>
      <c r="AM28" s="72">
        <f>'Linéarisation mix'!AM6*1000000</f>
        <v>82085011.416649058</v>
      </c>
    </row>
    <row r="29" spans="1:39" outlineLevel="1" x14ac:dyDescent="0.25">
      <c r="A29" t="s">
        <v>183</v>
      </c>
      <c r="B29" s="72">
        <f>LCOE!B15</f>
        <v>179.46998377501353</v>
      </c>
      <c r="C29" s="72">
        <f>LCOE!C15</f>
        <v>175.75540934960929</v>
      </c>
      <c r="D29" s="72">
        <f>LCOE!D15</f>
        <v>172.04083492420506</v>
      </c>
      <c r="E29" s="72">
        <f>LCOE!E15</f>
        <v>168.32626049880082</v>
      </c>
      <c r="F29" s="72">
        <f>LCOE!F15</f>
        <v>164.61168607339658</v>
      </c>
      <c r="G29" s="72">
        <f>LCOE!G15</f>
        <v>160.89711164799235</v>
      </c>
      <c r="H29" s="72">
        <f>LCOE!H15</f>
        <v>157.18253722258811</v>
      </c>
      <c r="I29" s="72">
        <f>LCOE!I15</f>
        <v>153.46796279718387</v>
      </c>
      <c r="J29" s="72">
        <f>LCOE!J15</f>
        <v>149.75338837177964</v>
      </c>
      <c r="K29" s="72">
        <f>LCOE!K15</f>
        <v>146.0388139463754</v>
      </c>
      <c r="L29" s="72">
        <f>LCOE!L15</f>
        <v>142.32423952097116</v>
      </c>
      <c r="M29" s="72">
        <f>LCOE!M15</f>
        <v>138.60966509556692</v>
      </c>
      <c r="N29" s="72">
        <f>LCOE!N15</f>
        <v>134.89509067016269</v>
      </c>
      <c r="O29" s="72">
        <f>LCOE!O15</f>
        <v>131.18051624475845</v>
      </c>
      <c r="P29" s="72">
        <f>LCOE!P15</f>
        <v>127.46594181935421</v>
      </c>
      <c r="Q29" s="72">
        <f>LCOE!Q15</f>
        <v>123.75136739394998</v>
      </c>
      <c r="R29" s="72">
        <f>LCOE!R15</f>
        <v>120.03679296854574</v>
      </c>
      <c r="S29" s="72">
        <f>LCOE!S15</f>
        <v>116.32221854314145</v>
      </c>
      <c r="T29" s="72">
        <f>LCOE!T15</f>
        <v>114.03786862651216</v>
      </c>
      <c r="U29" s="72">
        <f>LCOE!U15</f>
        <v>111.75351870988288</v>
      </c>
      <c r="V29" s="72">
        <f>LCOE!V15</f>
        <v>109.4691687932536</v>
      </c>
      <c r="W29" s="72">
        <f>LCOE!W15</f>
        <v>107.18481887662432</v>
      </c>
      <c r="X29" s="72">
        <f>LCOE!X15</f>
        <v>104.90046895999504</v>
      </c>
      <c r="Y29" s="72">
        <f>LCOE!Y15</f>
        <v>102.61611904336576</v>
      </c>
      <c r="Z29" s="72">
        <f>LCOE!Z15</f>
        <v>100.33176912673648</v>
      </c>
      <c r="AA29" s="72">
        <f>LCOE!AA15</f>
        <v>98.047419210107194</v>
      </c>
      <c r="AB29" s="72">
        <f>LCOE!AB15</f>
        <v>95.763069293477912</v>
      </c>
      <c r="AC29" s="72">
        <f>LCOE!AC15</f>
        <v>93.47871937684863</v>
      </c>
      <c r="AD29" s="72">
        <f>LCOE!AD15</f>
        <v>91.194369460219349</v>
      </c>
      <c r="AE29" s="72">
        <f>LCOE!AE15</f>
        <v>88.910019543590067</v>
      </c>
      <c r="AF29" s="72">
        <f>LCOE!AF15</f>
        <v>86.625669626960786</v>
      </c>
      <c r="AG29" s="72">
        <f>LCOE!AG15</f>
        <v>84.341319710331504</v>
      </c>
      <c r="AH29" s="72">
        <f>LCOE!AH15</f>
        <v>82.056969793702223</v>
      </c>
      <c r="AI29" s="72">
        <f>LCOE!AI15</f>
        <v>79.772619877072941</v>
      </c>
      <c r="AJ29" s="72">
        <f>LCOE!AJ15</f>
        <v>77.48826996044366</v>
      </c>
      <c r="AK29" s="72">
        <f>LCOE!AK15</f>
        <v>75.203920043814378</v>
      </c>
      <c r="AL29" s="72">
        <f>LCOE!AL15</f>
        <v>72.919570127185096</v>
      </c>
      <c r="AM29" s="72">
        <f>LCOE!AM15</f>
        <v>70.635220210555701</v>
      </c>
    </row>
    <row r="30" spans="1:39" outlineLevel="1" x14ac:dyDescent="0.25">
      <c r="A30" t="s">
        <v>127</v>
      </c>
      <c r="B30" s="60">
        <v>0</v>
      </c>
      <c r="C30" s="76">
        <f t="shared" ref="C30:AM30" si="7">B30+C28-B28</f>
        <v>2094189.4977472164</v>
      </c>
      <c r="D30" s="76">
        <f t="shared" si="7"/>
        <v>4188378.9954944327</v>
      </c>
      <c r="E30" s="76">
        <f t="shared" si="7"/>
        <v>6282568.4932416491</v>
      </c>
      <c r="F30" s="76">
        <f t="shared" si="7"/>
        <v>8376757.9909888692</v>
      </c>
      <c r="G30" s="76">
        <f t="shared" si="7"/>
        <v>10470947.488736087</v>
      </c>
      <c r="H30" s="76">
        <f t="shared" si="7"/>
        <v>12565136.986483306</v>
      </c>
      <c r="I30" s="76">
        <f t="shared" si="7"/>
        <v>14659326.484230526</v>
      </c>
      <c r="J30" s="76">
        <f t="shared" si="7"/>
        <v>16753515.981977753</v>
      </c>
      <c r="K30" s="76">
        <f t="shared" si="7"/>
        <v>18847705.479724981</v>
      </c>
      <c r="L30" s="76">
        <f t="shared" si="7"/>
        <v>20941894.977472208</v>
      </c>
      <c r="M30" s="76">
        <f t="shared" si="7"/>
        <v>23036084.475219432</v>
      </c>
      <c r="N30" s="76">
        <f t="shared" si="7"/>
        <v>25130273.972966667</v>
      </c>
      <c r="O30" s="76">
        <f t="shared" si="7"/>
        <v>27224463.470713902</v>
      </c>
      <c r="P30" s="76">
        <f t="shared" si="7"/>
        <v>29318652.968461145</v>
      </c>
      <c r="Q30" s="76">
        <f t="shared" si="7"/>
        <v>31412842.466208391</v>
      </c>
      <c r="R30" s="76">
        <f t="shared" si="7"/>
        <v>33507031.963955633</v>
      </c>
      <c r="S30" s="76">
        <f t="shared" si="7"/>
        <v>35601221.461702891</v>
      </c>
      <c r="T30" s="76">
        <f t="shared" si="7"/>
        <v>37695410.959450155</v>
      </c>
      <c r="U30" s="76">
        <f t="shared" si="7"/>
        <v>39789600.457197405</v>
      </c>
      <c r="V30" s="76">
        <f t="shared" si="7"/>
        <v>41883789.954944663</v>
      </c>
      <c r="W30" s="76">
        <f t="shared" si="7"/>
        <v>43977979.452691942</v>
      </c>
      <c r="X30" s="76">
        <f t="shared" si="7"/>
        <v>46072168.950439215</v>
      </c>
      <c r="Y30" s="76">
        <f t="shared" si="7"/>
        <v>48166358.448186487</v>
      </c>
      <c r="Z30" s="76">
        <f t="shared" si="7"/>
        <v>50260547.945933782</v>
      </c>
      <c r="AA30" s="76">
        <f t="shared" si="7"/>
        <v>52354737.443681069</v>
      </c>
      <c r="AB30" s="76">
        <f t="shared" si="7"/>
        <v>54448926.941428356</v>
      </c>
      <c r="AC30" s="76">
        <f t="shared" si="7"/>
        <v>56543116.439175665</v>
      </c>
      <c r="AD30" s="76">
        <f t="shared" si="7"/>
        <v>58637305.936922967</v>
      </c>
      <c r="AE30" s="76">
        <f t="shared" si="7"/>
        <v>60731495.434670269</v>
      </c>
      <c r="AF30" s="76">
        <f t="shared" si="7"/>
        <v>62825684.932417594</v>
      </c>
      <c r="AG30" s="76">
        <f t="shared" si="7"/>
        <v>64919874.430164903</v>
      </c>
      <c r="AH30" s="76">
        <f t="shared" si="7"/>
        <v>67014063.92791225</v>
      </c>
      <c r="AI30" s="76">
        <f t="shared" si="7"/>
        <v>69108253.425659582</v>
      </c>
      <c r="AJ30" s="76">
        <f t="shared" si="7"/>
        <v>71202442.923406929</v>
      </c>
      <c r="AK30" s="76">
        <f t="shared" si="7"/>
        <v>73296632.421154276</v>
      </c>
      <c r="AL30" s="76">
        <f t="shared" si="7"/>
        <v>75390821.918901637</v>
      </c>
      <c r="AM30" s="76">
        <f t="shared" si="7"/>
        <v>77485011.416649029</v>
      </c>
    </row>
    <row r="31" spans="1:39" outlineLevel="1" x14ac:dyDescent="0.25">
      <c r="A31" t="s">
        <v>186</v>
      </c>
      <c r="B31" s="7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61"/>
      <c r="N31" s="54"/>
      <c r="O31" s="54"/>
      <c r="P31" s="54"/>
      <c r="Q31" s="54"/>
      <c r="R31" s="54"/>
      <c r="S31" s="55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61"/>
      <c r="AF31" s="61"/>
      <c r="AG31" s="61"/>
      <c r="AH31" s="61"/>
      <c r="AI31" s="61"/>
      <c r="AJ31" s="61"/>
      <c r="AK31" s="61"/>
      <c r="AL31" s="54"/>
      <c r="AM31" s="116">
        <f>AM33/AM35</f>
        <v>0.16826489156019742</v>
      </c>
    </row>
    <row r="32" spans="1:39" outlineLevel="1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outlineLevel="1" x14ac:dyDescent="0.25">
      <c r="A33" t="s">
        <v>107</v>
      </c>
      <c r="B33" s="13">
        <f t="shared" ref="B33:AK33" si="8">$AM$31*B35</f>
        <v>138.91308784777999</v>
      </c>
      <c r="C33" s="13">
        <f t="shared" si="8"/>
        <v>200.73052147040585</v>
      </c>
      <c r="D33" s="13">
        <f t="shared" si="8"/>
        <v>261.12401270034081</v>
      </c>
      <c r="E33" s="13">
        <f t="shared" si="8"/>
        <v>320.09356153758489</v>
      </c>
      <c r="F33" s="13">
        <f t="shared" si="8"/>
        <v>377.63916798213813</v>
      </c>
      <c r="G33" s="13">
        <f t="shared" si="8"/>
        <v>433.76083203400032</v>
      </c>
      <c r="H33" s="13">
        <f t="shared" si="8"/>
        <v>488.45855369317167</v>
      </c>
      <c r="I33" s="13">
        <f t="shared" si="8"/>
        <v>541.73233295965201</v>
      </c>
      <c r="J33" s="13">
        <f t="shared" si="8"/>
        <v>593.58216983344175</v>
      </c>
      <c r="K33" s="13">
        <f t="shared" si="8"/>
        <v>644.00806431454032</v>
      </c>
      <c r="L33" s="13">
        <f t="shared" si="8"/>
        <v>693.01001640294817</v>
      </c>
      <c r="M33" s="13">
        <f t="shared" si="8"/>
        <v>740.58802609866484</v>
      </c>
      <c r="N33" s="13">
        <f t="shared" si="8"/>
        <v>786.74209340169091</v>
      </c>
      <c r="O33" s="13">
        <f t="shared" si="8"/>
        <v>831.47221831202557</v>
      </c>
      <c r="P33" s="13">
        <f t="shared" si="8"/>
        <v>874.77840082966964</v>
      </c>
      <c r="Q33" s="13">
        <f t="shared" si="8"/>
        <v>916.66064095462264</v>
      </c>
      <c r="R33" s="13">
        <f t="shared" si="8"/>
        <v>957.11893868688458</v>
      </c>
      <c r="S33" s="13">
        <f t="shared" si="8"/>
        <v>996.15329402645568</v>
      </c>
      <c r="T33" s="13">
        <f t="shared" si="8"/>
        <v>1034.3119682479473</v>
      </c>
      <c r="U33" s="13">
        <f t="shared" si="8"/>
        <v>1071.5949613513592</v>
      </c>
      <c r="V33" s="13">
        <f t="shared" si="8"/>
        <v>1108.0022733366914</v>
      </c>
      <c r="W33" s="13">
        <f t="shared" si="8"/>
        <v>1143.5339042039438</v>
      </c>
      <c r="X33" s="13">
        <f t="shared" si="8"/>
        <v>1178.1898539531164</v>
      </c>
      <c r="Y33" s="13">
        <f t="shared" si="8"/>
        <v>1211.9701225842095</v>
      </c>
      <c r="Z33" s="13">
        <f t="shared" si="8"/>
        <v>1244.874710097223</v>
      </c>
      <c r="AA33" s="13">
        <f t="shared" si="8"/>
        <v>1276.9036164921565</v>
      </c>
      <c r="AB33" s="13">
        <f t="shared" si="8"/>
        <v>1279.9842614426429</v>
      </c>
      <c r="AC33" s="13">
        <f t="shared" si="8"/>
        <v>1282.8082117136064</v>
      </c>
      <c r="AD33" s="13">
        <f t="shared" si="8"/>
        <v>1285.3754673050462</v>
      </c>
      <c r="AE33" s="13">
        <f t="shared" si="8"/>
        <v>1287.6860282169628</v>
      </c>
      <c r="AF33" s="13">
        <f t="shared" si="8"/>
        <v>1289.7398944493564</v>
      </c>
      <c r="AG33" s="13">
        <f t="shared" si="8"/>
        <v>1291.5370660022263</v>
      </c>
      <c r="AH33" s="13">
        <f t="shared" si="8"/>
        <v>1293.0775428755733</v>
      </c>
      <c r="AI33" s="13">
        <f t="shared" si="8"/>
        <v>1294.361325069397</v>
      </c>
      <c r="AJ33" s="13">
        <f t="shared" si="8"/>
        <v>1295.3884125836971</v>
      </c>
      <c r="AK33" s="13">
        <f t="shared" si="8"/>
        <v>1296.1588054184745</v>
      </c>
      <c r="AL33" s="13">
        <f>$AM$31*AL35</f>
        <v>1296.6725035737281</v>
      </c>
      <c r="AM33" s="13">
        <f>LCOE!AS15*1000*('Capacités installées'!B7+'Capacités installées'!B8+'Capacités installées'!B22)/1000000</f>
        <v>1296.9295070494588</v>
      </c>
    </row>
    <row r="34" spans="1:39" outlineLevel="1" x14ac:dyDescent="0.25">
      <c r="A34" t="s">
        <v>111</v>
      </c>
      <c r="B34" s="53">
        <f>B35-B33</f>
        <v>686.64883751728235</v>
      </c>
      <c r="C34" s="53">
        <f t="shared" ref="C34:AM34" si="9">C35-C33</f>
        <v>992.21305463259682</v>
      </c>
      <c r="D34" s="53">
        <f t="shared" si="9"/>
        <v>1290.7387096960465</v>
      </c>
      <c r="E34" s="53">
        <f t="shared" si="9"/>
        <v>1582.2258027076307</v>
      </c>
      <c r="F34" s="53">
        <f t="shared" si="9"/>
        <v>1866.6743336673503</v>
      </c>
      <c r="G34" s="53">
        <f t="shared" si="9"/>
        <v>2144.0843025752042</v>
      </c>
      <c r="H34" s="53">
        <f t="shared" si="9"/>
        <v>2414.4557094311931</v>
      </c>
      <c r="I34" s="53">
        <f t="shared" si="9"/>
        <v>2677.788554235317</v>
      </c>
      <c r="J34" s="53">
        <f t="shared" si="9"/>
        <v>2934.0828369875767</v>
      </c>
      <c r="K34" s="53">
        <f t="shared" si="9"/>
        <v>3183.33855768797</v>
      </c>
      <c r="L34" s="53">
        <f t="shared" si="9"/>
        <v>3425.5557163364992</v>
      </c>
      <c r="M34" s="53">
        <f t="shared" si="9"/>
        <v>3660.7343129331621</v>
      </c>
      <c r="N34" s="53">
        <f t="shared" si="9"/>
        <v>3888.8743474779612</v>
      </c>
      <c r="O34" s="53">
        <f t="shared" si="9"/>
        <v>4109.9758199708931</v>
      </c>
      <c r="P34" s="53">
        <f t="shared" si="9"/>
        <v>4324.0387304119613</v>
      </c>
      <c r="Q34" s="53">
        <f t="shared" si="9"/>
        <v>4531.0630788011631</v>
      </c>
      <c r="R34" s="53">
        <f t="shared" si="9"/>
        <v>4731.0488651384994</v>
      </c>
      <c r="S34" s="53">
        <f t="shared" si="9"/>
        <v>4923.9960894239712</v>
      </c>
      <c r="T34" s="53">
        <f t="shared" si="9"/>
        <v>5112.6148128382802</v>
      </c>
      <c r="U34" s="53">
        <f t="shared" si="9"/>
        <v>5296.9050353814227</v>
      </c>
      <c r="V34" s="53">
        <f t="shared" si="9"/>
        <v>5476.8667570534017</v>
      </c>
      <c r="W34" s="53">
        <f t="shared" si="9"/>
        <v>5652.499977854216</v>
      </c>
      <c r="X34" s="53">
        <f t="shared" si="9"/>
        <v>5823.8046977838658</v>
      </c>
      <c r="Y34" s="53">
        <f t="shared" si="9"/>
        <v>5990.7809168423519</v>
      </c>
      <c r="Z34" s="53">
        <f t="shared" si="9"/>
        <v>6153.4286350296725</v>
      </c>
      <c r="AA34" s="53">
        <f t="shared" si="9"/>
        <v>6311.7478523458294</v>
      </c>
      <c r="AB34" s="53">
        <f t="shared" si="9"/>
        <v>6326.9755123656905</v>
      </c>
      <c r="AC34" s="53">
        <f t="shared" si="9"/>
        <v>6340.9343279158011</v>
      </c>
      <c r="AD34" s="53">
        <f t="shared" si="9"/>
        <v>6353.624298996162</v>
      </c>
      <c r="AE34" s="53">
        <f t="shared" si="9"/>
        <v>6365.0454256067733</v>
      </c>
      <c r="AF34" s="53">
        <f t="shared" si="9"/>
        <v>6375.1977077476349</v>
      </c>
      <c r="AG34" s="53">
        <f t="shared" si="9"/>
        <v>6384.0811454187451</v>
      </c>
      <c r="AH34" s="53">
        <f t="shared" si="9"/>
        <v>6391.6957386201075</v>
      </c>
      <c r="AI34" s="53">
        <f t="shared" si="9"/>
        <v>6398.0414873517202</v>
      </c>
      <c r="AJ34" s="53">
        <f t="shared" si="9"/>
        <v>6403.1183916135815</v>
      </c>
      <c r="AK34" s="53">
        <f t="shared" si="9"/>
        <v>6406.9264514056958</v>
      </c>
      <c r="AL34" s="53">
        <f t="shared" si="9"/>
        <v>6409.4656667280578</v>
      </c>
      <c r="AM34" s="53">
        <f t="shared" si="9"/>
        <v>6410.7360375806711</v>
      </c>
    </row>
    <row r="35" spans="1:39" outlineLevel="1" x14ac:dyDescent="0.25">
      <c r="A35" t="s">
        <v>184</v>
      </c>
      <c r="B35" s="123">
        <v>825.56192536506228</v>
      </c>
      <c r="C35" s="123">
        <v>1192.9435761030027</v>
      </c>
      <c r="D35" s="123">
        <v>1551.8627223963872</v>
      </c>
      <c r="E35" s="123">
        <v>1902.3193642452156</v>
      </c>
      <c r="F35" s="123">
        <v>2244.3135016494884</v>
      </c>
      <c r="G35" s="123">
        <v>2577.8451346092047</v>
      </c>
      <c r="H35" s="123">
        <v>2902.9142631243649</v>
      </c>
      <c r="I35" s="123">
        <v>3219.520887194969</v>
      </c>
      <c r="J35" s="123">
        <v>3527.6650068210183</v>
      </c>
      <c r="K35" s="123">
        <v>3827.3466220025102</v>
      </c>
      <c r="L35" s="123">
        <v>4118.5657327394474</v>
      </c>
      <c r="M35" s="123">
        <v>4401.3223390318271</v>
      </c>
      <c r="N35" s="123">
        <v>4675.6164408796521</v>
      </c>
      <c r="O35" s="123">
        <v>4941.4480382829188</v>
      </c>
      <c r="P35" s="123">
        <v>5198.8171312416307</v>
      </c>
      <c r="Q35" s="123">
        <v>5447.7237197557861</v>
      </c>
      <c r="R35" s="123">
        <v>5688.167803825384</v>
      </c>
      <c r="S35" s="123">
        <v>5920.1493834504272</v>
      </c>
      <c r="T35" s="123">
        <v>6146.9267810862275</v>
      </c>
      <c r="U35" s="123">
        <v>6368.4999967327822</v>
      </c>
      <c r="V35" s="123">
        <v>6584.869030390093</v>
      </c>
      <c r="W35" s="123">
        <v>6796.0338820581601</v>
      </c>
      <c r="X35" s="123">
        <v>7001.9945517369824</v>
      </c>
      <c r="Y35" s="123">
        <v>7202.7510394265619</v>
      </c>
      <c r="Z35" s="123">
        <v>7398.3033451268957</v>
      </c>
      <c r="AA35" s="123">
        <v>7588.6514688379857</v>
      </c>
      <c r="AB35" s="123">
        <v>7606.959773808333</v>
      </c>
      <c r="AC35" s="123">
        <v>7623.7425396294075</v>
      </c>
      <c r="AD35" s="123">
        <v>7638.9997663012082</v>
      </c>
      <c r="AE35" s="123">
        <v>7652.731453823736</v>
      </c>
      <c r="AF35" s="123">
        <v>7664.9376021969911</v>
      </c>
      <c r="AG35" s="123">
        <v>7675.6182114209714</v>
      </c>
      <c r="AH35" s="123">
        <v>7684.7732814956807</v>
      </c>
      <c r="AI35" s="123">
        <v>7692.4028124211172</v>
      </c>
      <c r="AJ35" s="123">
        <v>7698.5068041972791</v>
      </c>
      <c r="AK35" s="123">
        <v>7703.0852568241698</v>
      </c>
      <c r="AL35" s="123">
        <v>7706.138170301786</v>
      </c>
      <c r="AM35" s="123">
        <v>7707.6655446301302</v>
      </c>
    </row>
    <row r="36" spans="1:39" outlineLevel="1" x14ac:dyDescent="0.25"/>
    <row r="38" spans="1:39" ht="23.25" x14ac:dyDescent="0.25">
      <c r="A38" s="74" t="s">
        <v>124</v>
      </c>
    </row>
    <row r="40" spans="1:39" outlineLevel="1" x14ac:dyDescent="0.25">
      <c r="A40" s="3" t="s">
        <v>125</v>
      </c>
      <c r="B40" s="59">
        <v>2013</v>
      </c>
      <c r="C40" s="59">
        <v>2014</v>
      </c>
      <c r="D40" s="59">
        <v>2015</v>
      </c>
      <c r="E40" s="59">
        <v>2016</v>
      </c>
      <c r="F40" s="59">
        <v>2017</v>
      </c>
      <c r="G40" s="59">
        <v>2018</v>
      </c>
      <c r="H40" s="59">
        <v>2019</v>
      </c>
      <c r="I40" s="59">
        <v>2020</v>
      </c>
      <c r="J40" s="59">
        <v>2021</v>
      </c>
      <c r="K40" s="59">
        <v>2022</v>
      </c>
      <c r="L40" s="59">
        <v>2023</v>
      </c>
      <c r="M40" s="59">
        <v>2024</v>
      </c>
      <c r="N40" s="59">
        <v>2025</v>
      </c>
      <c r="O40" s="59">
        <v>2026</v>
      </c>
      <c r="P40" s="59">
        <v>2027</v>
      </c>
      <c r="Q40" s="59">
        <v>2028</v>
      </c>
      <c r="R40" s="59">
        <v>2029</v>
      </c>
      <c r="S40" s="59">
        <v>2030</v>
      </c>
      <c r="T40" s="59">
        <v>2031</v>
      </c>
      <c r="U40" s="59">
        <v>2032</v>
      </c>
      <c r="V40" s="59">
        <v>2033</v>
      </c>
      <c r="W40" s="59">
        <v>2034</v>
      </c>
      <c r="X40" s="59">
        <v>2035</v>
      </c>
      <c r="Y40" s="59">
        <v>2036</v>
      </c>
      <c r="Z40" s="59">
        <v>2037</v>
      </c>
      <c r="AA40" s="59">
        <v>2038</v>
      </c>
      <c r="AB40" s="59">
        <v>2039</v>
      </c>
      <c r="AC40" s="59">
        <v>2040</v>
      </c>
      <c r="AD40" s="59">
        <v>2041</v>
      </c>
      <c r="AE40" s="59">
        <v>2042</v>
      </c>
      <c r="AF40" s="59">
        <v>2043</v>
      </c>
      <c r="AG40" s="59">
        <v>2044</v>
      </c>
      <c r="AH40" s="59">
        <v>2045</v>
      </c>
      <c r="AI40" s="59">
        <v>2046</v>
      </c>
      <c r="AJ40" s="59">
        <v>2047</v>
      </c>
      <c r="AK40" s="59">
        <v>2048</v>
      </c>
      <c r="AL40" s="59">
        <v>2049</v>
      </c>
      <c r="AM40" s="59">
        <v>2050</v>
      </c>
    </row>
    <row r="41" spans="1:39" outlineLevel="1" x14ac:dyDescent="0.25">
      <c r="A41" t="s">
        <v>169</v>
      </c>
      <c r="B41" s="72">
        <f>'Linéarisation mix'!B9*1000000</f>
        <v>1704132.2700000003</v>
      </c>
      <c r="C41" s="72">
        <f>'Linéarisation mix'!C9*1000000</f>
        <v>2267385.4424204673</v>
      </c>
      <c r="D41" s="72">
        <f>'Linéarisation mix'!D9*1000000</f>
        <v>2830638.6148409341</v>
      </c>
      <c r="E41" s="72">
        <f>'Linéarisation mix'!E9*1000000</f>
        <v>3393891.7872614008</v>
      </c>
      <c r="F41" s="72">
        <f>'Linéarisation mix'!F9*1000000</f>
        <v>3957144.9596818681</v>
      </c>
      <c r="G41" s="72">
        <f>'Linéarisation mix'!G9*1000000</f>
        <v>4520398.1321023358</v>
      </c>
      <c r="H41" s="72">
        <f>'Linéarisation mix'!H9*1000000</f>
        <v>5083651.3045228031</v>
      </c>
      <c r="I41" s="72">
        <f>'Linéarisation mix'!I9*1000000</f>
        <v>5646904.4769432712</v>
      </c>
      <c r="J41" s="72">
        <f>'Linéarisation mix'!J9*1000000</f>
        <v>6210157.6493637413</v>
      </c>
      <c r="K41" s="72">
        <f>'Linéarisation mix'!K9*1000000</f>
        <v>6773410.8217842104</v>
      </c>
      <c r="L41" s="72">
        <f>'Linéarisation mix'!L9*1000000</f>
        <v>7336663.9942046814</v>
      </c>
      <c r="M41" s="72">
        <f>'Linéarisation mix'!M9*1000000</f>
        <v>7899917.1666251523</v>
      </c>
      <c r="N41" s="72">
        <f>'Linéarisation mix'!N9*1000000</f>
        <v>8463170.3390456233</v>
      </c>
      <c r="O41" s="72">
        <f>'Linéarisation mix'!O9*1000000</f>
        <v>9026423.5114660952</v>
      </c>
      <c r="P41" s="72">
        <f>'Linéarisation mix'!P9*1000000</f>
        <v>9589676.683886569</v>
      </c>
      <c r="Q41" s="72">
        <f>'Linéarisation mix'!Q9*1000000</f>
        <v>10152929.856307045</v>
      </c>
      <c r="R41" s="72">
        <f>'Linéarisation mix'!R9*1000000</f>
        <v>10716183.02872752</v>
      </c>
      <c r="S41" s="72">
        <f>'Linéarisation mix'!S9*1000000</f>
        <v>11279436.201147998</v>
      </c>
      <c r="T41" s="72">
        <f>'Linéarisation mix'!T9*1000000</f>
        <v>11842689.373568475</v>
      </c>
      <c r="U41" s="72">
        <f>'Linéarisation mix'!U9*1000000</f>
        <v>12405942.545988955</v>
      </c>
      <c r="V41" s="72">
        <f>'Linéarisation mix'!V9*1000000</f>
        <v>12969195.718409434</v>
      </c>
      <c r="W41" s="72">
        <f>'Linéarisation mix'!W9*1000000</f>
        <v>13532448.890829915</v>
      </c>
      <c r="X41" s="72">
        <f>'Linéarisation mix'!X9*1000000</f>
        <v>14095702.063250398</v>
      </c>
      <c r="Y41" s="72">
        <f>'Linéarisation mix'!Y9*1000000</f>
        <v>14658955.235670881</v>
      </c>
      <c r="Z41" s="72">
        <f>'Linéarisation mix'!Z9*1000000</f>
        <v>15222208.408091364</v>
      </c>
      <c r="AA41" s="72">
        <f>'Linéarisation mix'!AA9*1000000</f>
        <v>15785461.580511851</v>
      </c>
      <c r="AB41" s="72">
        <f>'Linéarisation mix'!AB9*1000000</f>
        <v>16348714.752932338</v>
      </c>
      <c r="AC41" s="72">
        <f>'Linéarisation mix'!AC9*1000000</f>
        <v>16911967.925352827</v>
      </c>
      <c r="AD41" s="72">
        <f>'Linéarisation mix'!AD9*1000000</f>
        <v>17475221.097773317</v>
      </c>
      <c r="AE41" s="72">
        <f>'Linéarisation mix'!AE9*1000000</f>
        <v>18038474.270193808</v>
      </c>
      <c r="AF41" s="72">
        <f>'Linéarisation mix'!AF9*1000000</f>
        <v>18601727.442614306</v>
      </c>
      <c r="AG41" s="72">
        <f>'Linéarisation mix'!AG9*1000000</f>
        <v>19164980.615034804</v>
      </c>
      <c r="AH41" s="72">
        <f>'Linéarisation mix'!AH9*1000000</f>
        <v>19728233.787455302</v>
      </c>
      <c r="AI41" s="72">
        <f>'Linéarisation mix'!AI9*1000000</f>
        <v>20291486.959875803</v>
      </c>
      <c r="AJ41" s="72">
        <f>'Linéarisation mix'!AJ9*1000000</f>
        <v>20854740.132296309</v>
      </c>
      <c r="AK41" s="72">
        <f>'Linéarisation mix'!AK9*1000000</f>
        <v>21417993.304716818</v>
      </c>
      <c r="AL41" s="72">
        <f>'Linéarisation mix'!AL9*1000000</f>
        <v>21981246.477137327</v>
      </c>
      <c r="AM41" s="72">
        <f>'Linéarisation mix'!AM9*1000000</f>
        <v>22544499.649557836</v>
      </c>
    </row>
    <row r="42" spans="1:39" outlineLevel="1" x14ac:dyDescent="0.25">
      <c r="A42" t="s">
        <v>183</v>
      </c>
      <c r="B42" s="72">
        <f>LCOE!B3</f>
        <v>70</v>
      </c>
      <c r="C42" s="72">
        <f>LCOE!C3</f>
        <v>70</v>
      </c>
      <c r="D42" s="72">
        <f>LCOE!D3</f>
        <v>70</v>
      </c>
      <c r="E42" s="72">
        <f>LCOE!E3</f>
        <v>70</v>
      </c>
      <c r="F42" s="72">
        <f>LCOE!F3</f>
        <v>70</v>
      </c>
      <c r="G42" s="72">
        <f>LCOE!G3</f>
        <v>70</v>
      </c>
      <c r="H42" s="72">
        <f>LCOE!H3</f>
        <v>70</v>
      </c>
      <c r="I42" s="72">
        <f>LCOE!I3</f>
        <v>70</v>
      </c>
      <c r="J42" s="72">
        <f>LCOE!J3</f>
        <v>70</v>
      </c>
      <c r="K42" s="72">
        <f>LCOE!K3</f>
        <v>70</v>
      </c>
      <c r="L42" s="72">
        <f>LCOE!L3</f>
        <v>70</v>
      </c>
      <c r="M42" s="72">
        <f>LCOE!M3</f>
        <v>70</v>
      </c>
      <c r="N42" s="72">
        <f>LCOE!N3</f>
        <v>70</v>
      </c>
      <c r="O42" s="72">
        <f>LCOE!O3</f>
        <v>70</v>
      </c>
      <c r="P42" s="72">
        <f>LCOE!P3</f>
        <v>70</v>
      </c>
      <c r="Q42" s="72">
        <f>LCOE!Q3</f>
        <v>70</v>
      </c>
      <c r="R42" s="72">
        <f>LCOE!R3</f>
        <v>70</v>
      </c>
      <c r="S42" s="72">
        <f>LCOE!S3</f>
        <v>70</v>
      </c>
      <c r="T42" s="72">
        <f>LCOE!T3</f>
        <v>70</v>
      </c>
      <c r="U42" s="72">
        <f>LCOE!U3</f>
        <v>70</v>
      </c>
      <c r="V42" s="72">
        <f>LCOE!V3</f>
        <v>70</v>
      </c>
      <c r="W42" s="72">
        <f>LCOE!W3</f>
        <v>70</v>
      </c>
      <c r="X42" s="72">
        <f>LCOE!X3</f>
        <v>70</v>
      </c>
      <c r="Y42" s="72">
        <f>LCOE!Y3</f>
        <v>70</v>
      </c>
      <c r="Z42" s="72">
        <f>LCOE!Z3</f>
        <v>70</v>
      </c>
      <c r="AA42" s="72">
        <f>LCOE!AA3</f>
        <v>70</v>
      </c>
      <c r="AB42" s="72">
        <f>LCOE!AB3</f>
        <v>70</v>
      </c>
      <c r="AC42" s="72">
        <f>LCOE!AC3</f>
        <v>70</v>
      </c>
      <c r="AD42" s="72">
        <f>LCOE!AD3</f>
        <v>70</v>
      </c>
      <c r="AE42" s="72">
        <f>LCOE!AE3</f>
        <v>70</v>
      </c>
      <c r="AF42" s="72">
        <f>LCOE!AF3</f>
        <v>70</v>
      </c>
      <c r="AG42" s="72">
        <f>LCOE!AG3</f>
        <v>70</v>
      </c>
      <c r="AH42" s="72">
        <f>LCOE!AH3</f>
        <v>70</v>
      </c>
      <c r="AI42" s="72">
        <f>LCOE!AI3</f>
        <v>70</v>
      </c>
      <c r="AJ42" s="72">
        <f>LCOE!AJ3</f>
        <v>70</v>
      </c>
      <c r="AK42" s="72">
        <f>LCOE!AK3</f>
        <v>70</v>
      </c>
      <c r="AL42" s="72">
        <f>LCOE!AL3</f>
        <v>70</v>
      </c>
      <c r="AM42" s="72">
        <f>LCOE!AM3</f>
        <v>70</v>
      </c>
    </row>
    <row r="43" spans="1:39" outlineLevel="1" x14ac:dyDescent="0.25">
      <c r="A43" t="s">
        <v>127</v>
      </c>
      <c r="B43" s="60">
        <v>0</v>
      </c>
      <c r="C43" s="76">
        <f>B43+C41-B41</f>
        <v>563253.17242046702</v>
      </c>
      <c r="D43" s="76">
        <f t="shared" ref="D43:AM43" si="10">C43+D41-C41</f>
        <v>1126506.344840934</v>
      </c>
      <c r="E43" s="76">
        <f t="shared" si="10"/>
        <v>1689759.5172614008</v>
      </c>
      <c r="F43" s="76">
        <f t="shared" si="10"/>
        <v>2253012.6896818685</v>
      </c>
      <c r="G43" s="76">
        <f t="shared" si="10"/>
        <v>2816265.8621023358</v>
      </c>
      <c r="H43" s="76">
        <f t="shared" si="10"/>
        <v>3379519.0345228026</v>
      </c>
      <c r="I43" s="76">
        <f t="shared" si="10"/>
        <v>3942772.2069432717</v>
      </c>
      <c r="J43" s="76">
        <f t="shared" si="10"/>
        <v>4506025.3793637417</v>
      </c>
      <c r="K43" s="76">
        <f t="shared" si="10"/>
        <v>5069278.5517842099</v>
      </c>
      <c r="L43" s="76">
        <f t="shared" si="10"/>
        <v>5632531.7242046809</v>
      </c>
      <c r="M43" s="76">
        <f t="shared" si="10"/>
        <v>6195784.8966251519</v>
      </c>
      <c r="N43" s="76">
        <f t="shared" si="10"/>
        <v>6759038.0690456228</v>
      </c>
      <c r="O43" s="76">
        <f t="shared" si="10"/>
        <v>7322291.2414660957</v>
      </c>
      <c r="P43" s="76">
        <f t="shared" si="10"/>
        <v>7885544.4138865676</v>
      </c>
      <c r="Q43" s="76">
        <f t="shared" si="10"/>
        <v>8448797.5863070451</v>
      </c>
      <c r="R43" s="76">
        <f t="shared" si="10"/>
        <v>9012050.7587275207</v>
      </c>
      <c r="S43" s="76">
        <f t="shared" si="10"/>
        <v>9575303.9311479963</v>
      </c>
      <c r="T43" s="76">
        <f t="shared" si="10"/>
        <v>10138557.103568474</v>
      </c>
      <c r="U43" s="76">
        <f t="shared" si="10"/>
        <v>10701810.275988951</v>
      </c>
      <c r="V43" s="76">
        <f t="shared" si="10"/>
        <v>11265063.448409431</v>
      </c>
      <c r="W43" s="76">
        <f t="shared" si="10"/>
        <v>11828316.62082991</v>
      </c>
      <c r="X43" s="76">
        <f t="shared" si="10"/>
        <v>12391569.793250395</v>
      </c>
      <c r="Y43" s="76">
        <f t="shared" si="10"/>
        <v>12954822.965670878</v>
      </c>
      <c r="Z43" s="76">
        <f t="shared" si="10"/>
        <v>13518076.138091361</v>
      </c>
      <c r="AA43" s="76">
        <f t="shared" si="10"/>
        <v>14081329.310511848</v>
      </c>
      <c r="AB43" s="76">
        <f t="shared" si="10"/>
        <v>14644582.482932335</v>
      </c>
      <c r="AC43" s="76">
        <f t="shared" si="10"/>
        <v>15207835.655352825</v>
      </c>
      <c r="AD43" s="76">
        <f t="shared" si="10"/>
        <v>15771088.827773318</v>
      </c>
      <c r="AE43" s="76">
        <f t="shared" si="10"/>
        <v>16334342.000193808</v>
      </c>
      <c r="AF43" s="76">
        <f t="shared" si="10"/>
        <v>16897595.172614306</v>
      </c>
      <c r="AG43" s="76">
        <f t="shared" si="10"/>
        <v>17460848.345034804</v>
      </c>
      <c r="AH43" s="76">
        <f t="shared" si="10"/>
        <v>18024101.517455302</v>
      </c>
      <c r="AI43" s="76">
        <f t="shared" si="10"/>
        <v>18587354.6898758</v>
      </c>
      <c r="AJ43" s="76">
        <f t="shared" si="10"/>
        <v>19150607.862296302</v>
      </c>
      <c r="AK43" s="76">
        <f t="shared" si="10"/>
        <v>19713861.034716815</v>
      </c>
      <c r="AL43" s="76">
        <f t="shared" si="10"/>
        <v>20277114.207137324</v>
      </c>
      <c r="AM43" s="76">
        <f t="shared" si="10"/>
        <v>20840367.379557833</v>
      </c>
    </row>
    <row r="44" spans="1:39" outlineLevel="1" x14ac:dyDescent="0.25">
      <c r="A44" t="s">
        <v>186</v>
      </c>
      <c r="B44" s="60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61"/>
      <c r="N44" s="54"/>
      <c r="O44" s="54"/>
      <c r="P44" s="54"/>
      <c r="Q44" s="54"/>
      <c r="R44" s="54"/>
      <c r="S44" s="55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61"/>
      <c r="AF44" s="61"/>
      <c r="AG44" s="61"/>
      <c r="AH44" s="61"/>
      <c r="AI44" s="61"/>
      <c r="AJ44" s="61"/>
      <c r="AK44" s="61"/>
      <c r="AL44" s="54"/>
      <c r="AM44" s="116">
        <f>AM47/AM49</f>
        <v>0.20453375248013309</v>
      </c>
    </row>
    <row r="45" spans="1:39" outlineLevel="1" x14ac:dyDescent="0.25">
      <c r="A45" t="s">
        <v>143</v>
      </c>
      <c r="B45" s="13">
        <f>$AM$45</f>
        <v>16</v>
      </c>
      <c r="C45" s="13">
        <f t="shared" ref="C45:AL45" si="11">$AM$45</f>
        <v>16</v>
      </c>
      <c r="D45" s="13">
        <f t="shared" si="11"/>
        <v>16</v>
      </c>
      <c r="E45" s="13">
        <f t="shared" si="11"/>
        <v>16</v>
      </c>
      <c r="F45" s="13">
        <f t="shared" si="11"/>
        <v>16</v>
      </c>
      <c r="G45" s="13">
        <f t="shared" si="11"/>
        <v>16</v>
      </c>
      <c r="H45" s="13">
        <f t="shared" si="11"/>
        <v>16</v>
      </c>
      <c r="I45" s="13">
        <f t="shared" si="11"/>
        <v>16</v>
      </c>
      <c r="J45" s="13">
        <f t="shared" si="11"/>
        <v>16</v>
      </c>
      <c r="K45" s="13">
        <f t="shared" si="11"/>
        <v>16</v>
      </c>
      <c r="L45" s="13">
        <f t="shared" si="11"/>
        <v>16</v>
      </c>
      <c r="M45" s="13">
        <f t="shared" si="11"/>
        <v>16</v>
      </c>
      <c r="N45" s="13">
        <f t="shared" si="11"/>
        <v>16</v>
      </c>
      <c r="O45" s="13">
        <f t="shared" si="11"/>
        <v>16</v>
      </c>
      <c r="P45" s="13">
        <f t="shared" si="11"/>
        <v>16</v>
      </c>
      <c r="Q45" s="13">
        <f t="shared" si="11"/>
        <v>16</v>
      </c>
      <c r="R45" s="13">
        <f t="shared" si="11"/>
        <v>16</v>
      </c>
      <c r="S45" s="13">
        <f t="shared" si="11"/>
        <v>16</v>
      </c>
      <c r="T45" s="13">
        <f t="shared" si="11"/>
        <v>16</v>
      </c>
      <c r="U45" s="13">
        <f t="shared" si="11"/>
        <v>16</v>
      </c>
      <c r="V45" s="13">
        <f t="shared" si="11"/>
        <v>16</v>
      </c>
      <c r="W45" s="13">
        <f t="shared" si="11"/>
        <v>16</v>
      </c>
      <c r="X45" s="13">
        <f t="shared" si="11"/>
        <v>16</v>
      </c>
      <c r="Y45" s="13">
        <f t="shared" si="11"/>
        <v>16</v>
      </c>
      <c r="Z45" s="13">
        <f t="shared" si="11"/>
        <v>16</v>
      </c>
      <c r="AA45" s="13">
        <f t="shared" si="11"/>
        <v>16</v>
      </c>
      <c r="AB45" s="13">
        <f t="shared" si="11"/>
        <v>16</v>
      </c>
      <c r="AC45" s="13">
        <f t="shared" si="11"/>
        <v>16</v>
      </c>
      <c r="AD45" s="13">
        <f t="shared" si="11"/>
        <v>16</v>
      </c>
      <c r="AE45" s="13">
        <f t="shared" si="11"/>
        <v>16</v>
      </c>
      <c r="AF45" s="13">
        <f t="shared" si="11"/>
        <v>16</v>
      </c>
      <c r="AG45" s="13">
        <f t="shared" si="11"/>
        <v>16</v>
      </c>
      <c r="AH45" s="13">
        <f t="shared" si="11"/>
        <v>16</v>
      </c>
      <c r="AI45" s="13">
        <f t="shared" si="11"/>
        <v>16</v>
      </c>
      <c r="AJ45" s="13">
        <f t="shared" si="11"/>
        <v>16</v>
      </c>
      <c r="AK45" s="13">
        <f t="shared" si="11"/>
        <v>16</v>
      </c>
      <c r="AL45" s="13">
        <f t="shared" si="11"/>
        <v>16</v>
      </c>
      <c r="AM45" s="13">
        <f>LCOE!AT3*10</f>
        <v>16</v>
      </c>
    </row>
    <row r="46" spans="1:39" outlineLevel="1" x14ac:dyDescent="0.25">
      <c r="A46" t="s">
        <v>30</v>
      </c>
      <c r="B46" s="13">
        <v>25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outlineLevel="1" x14ac:dyDescent="0.25">
      <c r="A47" t="s">
        <v>107</v>
      </c>
      <c r="B47" s="13">
        <f t="shared" ref="B47:AK47" si="12">$AM$44*B49</f>
        <v>18.821838666901719</v>
      </c>
      <c r="C47" s="13">
        <f t="shared" si="12"/>
        <v>25.042870054282584</v>
      </c>
      <c r="D47" s="13">
        <f t="shared" si="12"/>
        <v>31.263901441663446</v>
      </c>
      <c r="E47" s="13">
        <f t="shared" si="12"/>
        <v>37.484932829044304</v>
      </c>
      <c r="F47" s="13">
        <f t="shared" si="12"/>
        <v>43.70596421642518</v>
      </c>
      <c r="G47" s="13">
        <f t="shared" si="12"/>
        <v>49.926995603806056</v>
      </c>
      <c r="H47" s="13">
        <f t="shared" si="12"/>
        <v>56.148026991186931</v>
      </c>
      <c r="I47" s="13">
        <f t="shared" si="12"/>
        <v>62.369058378567814</v>
      </c>
      <c r="J47" s="13">
        <f t="shared" si="12"/>
        <v>68.590089765948704</v>
      </c>
      <c r="K47" s="13">
        <f t="shared" si="12"/>
        <v>74.811121153329594</v>
      </c>
      <c r="L47" s="13">
        <f t="shared" si="12"/>
        <v>81.032152540710499</v>
      </c>
      <c r="M47" s="13">
        <f t="shared" si="12"/>
        <v>87.253183928091417</v>
      </c>
      <c r="N47" s="13">
        <f t="shared" si="12"/>
        <v>93.474215315472335</v>
      </c>
      <c r="O47" s="13">
        <f t="shared" si="12"/>
        <v>99.695246702853254</v>
      </c>
      <c r="P47" s="13">
        <f t="shared" si="12"/>
        <v>105.91627809023419</v>
      </c>
      <c r="Q47" s="13">
        <f t="shared" si="12"/>
        <v>112.13730947761515</v>
      </c>
      <c r="R47" s="13">
        <f t="shared" si="12"/>
        <v>118.35834086499612</v>
      </c>
      <c r="S47" s="13">
        <f t="shared" si="12"/>
        <v>124.5793722523771</v>
      </c>
      <c r="T47" s="13">
        <f t="shared" si="12"/>
        <v>130.80040363975809</v>
      </c>
      <c r="U47" s="13">
        <f t="shared" si="12"/>
        <v>137.02143502713909</v>
      </c>
      <c r="V47" s="13">
        <f t="shared" si="12"/>
        <v>143.24246641452009</v>
      </c>
      <c r="W47" s="13">
        <f t="shared" si="12"/>
        <v>149.46349780190116</v>
      </c>
      <c r="X47" s="13">
        <f t="shared" si="12"/>
        <v>155.68452918928216</v>
      </c>
      <c r="Y47" s="13">
        <f t="shared" si="12"/>
        <v>161.90556057666322</v>
      </c>
      <c r="Z47" s="13">
        <f t="shared" si="12"/>
        <v>168.12659196404428</v>
      </c>
      <c r="AA47" s="13">
        <f t="shared" si="12"/>
        <v>174.34762335142537</v>
      </c>
      <c r="AB47" s="13">
        <f t="shared" si="12"/>
        <v>180.56865473880649</v>
      </c>
      <c r="AC47" s="13">
        <f t="shared" si="12"/>
        <v>186.78968612618758</v>
      </c>
      <c r="AD47" s="13">
        <f t="shared" si="12"/>
        <v>193.01071751356872</v>
      </c>
      <c r="AE47" s="13">
        <f t="shared" si="12"/>
        <v>199.23174890094984</v>
      </c>
      <c r="AF47" s="13">
        <f t="shared" si="12"/>
        <v>205.45278028833104</v>
      </c>
      <c r="AG47" s="13">
        <f t="shared" si="12"/>
        <v>211.67381167571222</v>
      </c>
      <c r="AH47" s="13">
        <f t="shared" si="12"/>
        <v>217.89484306309342</v>
      </c>
      <c r="AI47" s="13">
        <f t="shared" si="12"/>
        <v>224.11587445047468</v>
      </c>
      <c r="AJ47" s="13">
        <f t="shared" si="12"/>
        <v>230.33690583785591</v>
      </c>
      <c r="AK47" s="13">
        <f t="shared" si="12"/>
        <v>236.55793722523728</v>
      </c>
      <c r="AL47" s="13">
        <f>$AM$44*AL49</f>
        <v>242.77896861261863</v>
      </c>
      <c r="AM47" s="13">
        <f>LCOE!AS3*1000*'Capacités installées'!B2/1000000</f>
        <v>249</v>
      </c>
    </row>
    <row r="48" spans="1:39" outlineLevel="1" x14ac:dyDescent="0.25">
      <c r="A48" t="s">
        <v>111</v>
      </c>
      <c r="B48" s="53">
        <f>B49-B47</f>
        <v>73.201303913098286</v>
      </c>
      <c r="C48" s="53">
        <f t="shared" ref="C48:AM48" si="13">C49-C47</f>
        <v>97.395943836422646</v>
      </c>
      <c r="D48" s="53">
        <f t="shared" si="13"/>
        <v>121.59058375974698</v>
      </c>
      <c r="E48" s="53">
        <f t="shared" si="13"/>
        <v>145.78522368307131</v>
      </c>
      <c r="F48" s="53">
        <f t="shared" si="13"/>
        <v>169.9798636063957</v>
      </c>
      <c r="G48" s="53">
        <f t="shared" si="13"/>
        <v>194.17450352972008</v>
      </c>
      <c r="H48" s="53">
        <f t="shared" si="13"/>
        <v>218.36914345304447</v>
      </c>
      <c r="I48" s="53">
        <f t="shared" si="13"/>
        <v>242.56378337636889</v>
      </c>
      <c r="J48" s="53">
        <f t="shared" si="13"/>
        <v>266.75842329969339</v>
      </c>
      <c r="K48" s="53">
        <f t="shared" si="13"/>
        <v>290.95306322301781</v>
      </c>
      <c r="L48" s="53">
        <f t="shared" si="13"/>
        <v>315.14770314634228</v>
      </c>
      <c r="M48" s="53">
        <f t="shared" si="13"/>
        <v>339.34234306966687</v>
      </c>
      <c r="N48" s="53">
        <f t="shared" si="13"/>
        <v>363.53698299299134</v>
      </c>
      <c r="O48" s="53">
        <f t="shared" si="13"/>
        <v>387.73162291631593</v>
      </c>
      <c r="P48" s="53">
        <f t="shared" si="13"/>
        <v>411.92626283964057</v>
      </c>
      <c r="Q48" s="53">
        <f t="shared" si="13"/>
        <v>436.12090276296527</v>
      </c>
      <c r="R48" s="53">
        <f t="shared" si="13"/>
        <v>460.31554268629003</v>
      </c>
      <c r="S48" s="53">
        <f t="shared" si="13"/>
        <v>484.51018260961484</v>
      </c>
      <c r="T48" s="53">
        <f t="shared" si="13"/>
        <v>508.70482253293972</v>
      </c>
      <c r="U48" s="53">
        <f t="shared" si="13"/>
        <v>532.89946245626459</v>
      </c>
      <c r="V48" s="53">
        <f t="shared" si="13"/>
        <v>557.09410237958946</v>
      </c>
      <c r="W48" s="53">
        <f t="shared" si="13"/>
        <v>581.28874230291444</v>
      </c>
      <c r="X48" s="53">
        <f t="shared" si="13"/>
        <v>605.48338222623943</v>
      </c>
      <c r="Y48" s="53">
        <f t="shared" si="13"/>
        <v>629.67802214956453</v>
      </c>
      <c r="Z48" s="53">
        <f t="shared" si="13"/>
        <v>653.87266207288963</v>
      </c>
      <c r="AA48" s="53">
        <f t="shared" si="13"/>
        <v>678.06730199621495</v>
      </c>
      <c r="AB48" s="53">
        <f t="shared" si="13"/>
        <v>702.26194191954016</v>
      </c>
      <c r="AC48" s="53">
        <f t="shared" si="13"/>
        <v>726.45658184286538</v>
      </c>
      <c r="AD48" s="53">
        <f t="shared" si="13"/>
        <v>750.65122176619082</v>
      </c>
      <c r="AE48" s="53">
        <f t="shared" si="13"/>
        <v>774.84586168951614</v>
      </c>
      <c r="AF48" s="53">
        <f t="shared" si="13"/>
        <v>799.04050161284181</v>
      </c>
      <c r="AG48" s="53">
        <f t="shared" si="13"/>
        <v>823.23514153616748</v>
      </c>
      <c r="AH48" s="53">
        <f t="shared" si="13"/>
        <v>847.42978145949303</v>
      </c>
      <c r="AI48" s="53">
        <f t="shared" si="13"/>
        <v>871.62442138281904</v>
      </c>
      <c r="AJ48" s="53">
        <f t="shared" si="13"/>
        <v>895.8190613061447</v>
      </c>
      <c r="AK48" s="53">
        <f t="shared" si="13"/>
        <v>920.01370122947105</v>
      </c>
      <c r="AL48" s="53">
        <f t="shared" si="13"/>
        <v>944.20834115279717</v>
      </c>
      <c r="AM48" s="53">
        <f t="shared" si="13"/>
        <v>968.40298107612352</v>
      </c>
    </row>
    <row r="49" spans="1:39" outlineLevel="1" x14ac:dyDescent="0.25">
      <c r="A49" t="s">
        <v>184</v>
      </c>
      <c r="B49" s="13">
        <f t="shared" ref="B49:AM49" si="14">B51-B50</f>
        <v>92.023142580000012</v>
      </c>
      <c r="C49" s="13">
        <f t="shared" si="14"/>
        <v>122.43881389070523</v>
      </c>
      <c r="D49" s="13">
        <f t="shared" si="14"/>
        <v>152.85448520141043</v>
      </c>
      <c r="E49" s="13">
        <f t="shared" si="14"/>
        <v>183.27015651211562</v>
      </c>
      <c r="F49" s="13">
        <f t="shared" si="14"/>
        <v>213.68582782282087</v>
      </c>
      <c r="G49" s="13">
        <f t="shared" si="14"/>
        <v>244.10149913352615</v>
      </c>
      <c r="H49" s="13">
        <f t="shared" si="14"/>
        <v>274.5171704442314</v>
      </c>
      <c r="I49" s="13">
        <f t="shared" si="14"/>
        <v>304.9328417549367</v>
      </c>
      <c r="J49" s="13">
        <f t="shared" si="14"/>
        <v>335.34851306564207</v>
      </c>
      <c r="K49" s="13">
        <f t="shared" si="14"/>
        <v>365.76418437634737</v>
      </c>
      <c r="L49" s="13">
        <f t="shared" si="14"/>
        <v>396.17985568705279</v>
      </c>
      <c r="M49" s="13">
        <f t="shared" si="14"/>
        <v>426.59552699775827</v>
      </c>
      <c r="N49" s="13">
        <f t="shared" si="14"/>
        <v>457.01119830846369</v>
      </c>
      <c r="O49" s="13">
        <f t="shared" si="14"/>
        <v>487.42686961916917</v>
      </c>
      <c r="P49" s="13">
        <f t="shared" si="14"/>
        <v>517.84254092987476</v>
      </c>
      <c r="Q49" s="13">
        <f t="shared" si="14"/>
        <v>548.25821224058041</v>
      </c>
      <c r="R49" s="13">
        <f t="shared" si="14"/>
        <v>578.67388355128617</v>
      </c>
      <c r="S49" s="13">
        <f t="shared" si="14"/>
        <v>609.08955486199193</v>
      </c>
      <c r="T49" s="13">
        <f t="shared" si="14"/>
        <v>639.5052261726978</v>
      </c>
      <c r="U49" s="13">
        <f t="shared" si="14"/>
        <v>669.92089748340368</v>
      </c>
      <c r="V49" s="13">
        <f t="shared" si="14"/>
        <v>700.33656879410955</v>
      </c>
      <c r="W49" s="13">
        <f t="shared" si="14"/>
        <v>730.75224010481566</v>
      </c>
      <c r="X49" s="13">
        <f t="shared" si="14"/>
        <v>761.16791141552164</v>
      </c>
      <c r="Y49" s="13">
        <f t="shared" si="14"/>
        <v>791.58358272622775</v>
      </c>
      <c r="Z49" s="13">
        <f t="shared" si="14"/>
        <v>821.99925403693396</v>
      </c>
      <c r="AA49" s="13">
        <f t="shared" si="14"/>
        <v>852.41492534764029</v>
      </c>
      <c r="AB49" s="13">
        <f t="shared" si="14"/>
        <v>882.83059665834662</v>
      </c>
      <c r="AC49" s="13">
        <f t="shared" si="14"/>
        <v>913.24626796905295</v>
      </c>
      <c r="AD49" s="13">
        <f t="shared" si="14"/>
        <v>943.66193927975951</v>
      </c>
      <c r="AE49" s="13">
        <f t="shared" si="14"/>
        <v>974.07761059046595</v>
      </c>
      <c r="AF49" s="13">
        <f t="shared" si="14"/>
        <v>1004.4932819011728</v>
      </c>
      <c r="AG49" s="13">
        <f t="shared" si="14"/>
        <v>1034.9089532118796</v>
      </c>
      <c r="AH49" s="13">
        <f t="shared" si="14"/>
        <v>1065.3246245225864</v>
      </c>
      <c r="AI49" s="13">
        <f t="shared" si="14"/>
        <v>1095.7402958332937</v>
      </c>
      <c r="AJ49" s="13">
        <f t="shared" si="14"/>
        <v>1126.1559671440007</v>
      </c>
      <c r="AK49" s="13">
        <f t="shared" si="14"/>
        <v>1156.5716384547084</v>
      </c>
      <c r="AL49" s="13">
        <f t="shared" si="14"/>
        <v>1186.9873097654158</v>
      </c>
      <c r="AM49" s="13">
        <f t="shared" si="14"/>
        <v>1217.4029810761235</v>
      </c>
    </row>
    <row r="50" spans="1:39" outlineLevel="1" x14ac:dyDescent="0.25">
      <c r="A50" t="s">
        <v>187</v>
      </c>
      <c r="B50" s="13">
        <f t="shared" ref="B50:AM50" si="15">B45*B41/1000000</f>
        <v>27.266116320000005</v>
      </c>
      <c r="C50" s="13">
        <f t="shared" si="15"/>
        <v>36.278167078727478</v>
      </c>
      <c r="D50" s="13">
        <f t="shared" si="15"/>
        <v>45.290217837454946</v>
      </c>
      <c r="E50" s="13">
        <f t="shared" si="15"/>
        <v>54.302268596182415</v>
      </c>
      <c r="F50" s="13">
        <f t="shared" si="15"/>
        <v>63.314319354909891</v>
      </c>
      <c r="G50" s="13">
        <f t="shared" si="15"/>
        <v>72.326370113637367</v>
      </c>
      <c r="H50" s="13">
        <f t="shared" si="15"/>
        <v>81.33842087236485</v>
      </c>
      <c r="I50" s="13">
        <f t="shared" si="15"/>
        <v>90.350471631092333</v>
      </c>
      <c r="J50" s="13">
        <f t="shared" si="15"/>
        <v>99.362522389819858</v>
      </c>
      <c r="K50" s="13">
        <f t="shared" si="15"/>
        <v>108.37457314854737</v>
      </c>
      <c r="L50" s="13">
        <f t="shared" si="15"/>
        <v>117.3866239072749</v>
      </c>
      <c r="M50" s="13">
        <f t="shared" si="15"/>
        <v>126.39867466600244</v>
      </c>
      <c r="N50" s="13">
        <f t="shared" si="15"/>
        <v>135.41072542472997</v>
      </c>
      <c r="O50" s="13">
        <f t="shared" si="15"/>
        <v>144.42277618345753</v>
      </c>
      <c r="P50" s="13">
        <f t="shared" si="15"/>
        <v>153.43482694218511</v>
      </c>
      <c r="Q50" s="13">
        <f t="shared" si="15"/>
        <v>162.44687770091272</v>
      </c>
      <c r="R50" s="13">
        <f t="shared" si="15"/>
        <v>171.45892845964033</v>
      </c>
      <c r="S50" s="13">
        <f t="shared" si="15"/>
        <v>180.47097921836797</v>
      </c>
      <c r="T50" s="13">
        <f t="shared" si="15"/>
        <v>189.48302997709561</v>
      </c>
      <c r="U50" s="13">
        <f t="shared" si="15"/>
        <v>198.49508073582328</v>
      </c>
      <c r="V50" s="13">
        <f t="shared" si="15"/>
        <v>207.50713149455095</v>
      </c>
      <c r="W50" s="13">
        <f t="shared" si="15"/>
        <v>216.51918225327864</v>
      </c>
      <c r="X50" s="13">
        <f t="shared" si="15"/>
        <v>225.53123301200637</v>
      </c>
      <c r="Y50" s="13">
        <f t="shared" si="15"/>
        <v>234.54328377073409</v>
      </c>
      <c r="Z50" s="13">
        <f t="shared" si="15"/>
        <v>243.55533452946182</v>
      </c>
      <c r="AA50" s="13">
        <f t="shared" si="15"/>
        <v>252.56738528818963</v>
      </c>
      <c r="AB50" s="13">
        <f t="shared" si="15"/>
        <v>261.57943604691741</v>
      </c>
      <c r="AC50" s="13">
        <f t="shared" si="15"/>
        <v>270.59148680564522</v>
      </c>
      <c r="AD50" s="13">
        <f t="shared" si="15"/>
        <v>279.60353756437308</v>
      </c>
      <c r="AE50" s="13">
        <f t="shared" si="15"/>
        <v>288.61558832310095</v>
      </c>
      <c r="AF50" s="13">
        <f t="shared" si="15"/>
        <v>297.62763908182887</v>
      </c>
      <c r="AG50" s="13">
        <f t="shared" si="15"/>
        <v>306.63968984055685</v>
      </c>
      <c r="AH50" s="13">
        <f t="shared" si="15"/>
        <v>315.65174059928484</v>
      </c>
      <c r="AI50" s="13">
        <f t="shared" si="15"/>
        <v>324.66379135801287</v>
      </c>
      <c r="AJ50" s="13">
        <f t="shared" si="15"/>
        <v>333.67584211674097</v>
      </c>
      <c r="AK50" s="13">
        <f t="shared" si="15"/>
        <v>342.68789287546906</v>
      </c>
      <c r="AL50" s="13">
        <f t="shared" si="15"/>
        <v>351.69994363419721</v>
      </c>
      <c r="AM50" s="13">
        <f t="shared" si="15"/>
        <v>360.71199439292536</v>
      </c>
    </row>
    <row r="51" spans="1:39" outlineLevel="1" x14ac:dyDescent="0.25">
      <c r="A51" t="s">
        <v>185</v>
      </c>
      <c r="B51" s="123">
        <v>119.28925890000002</v>
      </c>
      <c r="C51" s="123">
        <v>158.71698096943271</v>
      </c>
      <c r="D51" s="123">
        <v>198.14470303886537</v>
      </c>
      <c r="E51" s="123">
        <v>237.57242510829803</v>
      </c>
      <c r="F51" s="123">
        <v>277.00014717773075</v>
      </c>
      <c r="G51" s="123">
        <v>316.42786924716353</v>
      </c>
      <c r="H51" s="123">
        <v>355.85559131659625</v>
      </c>
      <c r="I51" s="123">
        <v>395.28331338602902</v>
      </c>
      <c r="J51" s="123">
        <v>434.71103545546191</v>
      </c>
      <c r="K51" s="123">
        <v>474.13875752489474</v>
      </c>
      <c r="L51" s="123">
        <v>513.56647959432769</v>
      </c>
      <c r="M51" s="123">
        <v>552.99420166376069</v>
      </c>
      <c r="N51" s="123">
        <v>592.42192373319369</v>
      </c>
      <c r="O51" s="123">
        <v>631.8496458026267</v>
      </c>
      <c r="P51" s="123">
        <v>671.27736787205981</v>
      </c>
      <c r="Q51" s="123">
        <v>710.70508994149316</v>
      </c>
      <c r="R51" s="123">
        <v>750.1328120109265</v>
      </c>
      <c r="S51" s="123">
        <v>789.56053408035996</v>
      </c>
      <c r="T51" s="123">
        <v>828.98825614979341</v>
      </c>
      <c r="U51" s="123">
        <v>868.41597821922699</v>
      </c>
      <c r="V51" s="123">
        <v>907.84370028866056</v>
      </c>
      <c r="W51" s="123">
        <v>947.27142235809424</v>
      </c>
      <c r="X51" s="123">
        <v>986.69914442752804</v>
      </c>
      <c r="Y51" s="123">
        <v>1026.1268664969618</v>
      </c>
      <c r="Z51" s="123">
        <v>1065.5545885663958</v>
      </c>
      <c r="AA51" s="123">
        <v>1104.9823106358299</v>
      </c>
      <c r="AB51" s="123">
        <v>1144.410032705264</v>
      </c>
      <c r="AC51" s="123">
        <v>1183.8377547746982</v>
      </c>
      <c r="AD51" s="123">
        <v>1223.2654768441325</v>
      </c>
      <c r="AE51" s="123">
        <v>1262.6931989135669</v>
      </c>
      <c r="AF51" s="123">
        <v>1302.1209209830017</v>
      </c>
      <c r="AG51" s="123">
        <v>1341.5486430524365</v>
      </c>
      <c r="AH51" s="123">
        <v>1380.9763651218714</v>
      </c>
      <c r="AI51" s="123">
        <v>1420.4040871913064</v>
      </c>
      <c r="AJ51" s="123">
        <v>1459.8318092607417</v>
      </c>
      <c r="AK51" s="123">
        <v>1499.2595313301774</v>
      </c>
      <c r="AL51" s="123">
        <v>1538.6872533996132</v>
      </c>
      <c r="AM51" s="123">
        <v>1578.1149754690489</v>
      </c>
    </row>
    <row r="52" spans="1:39" outlineLevel="1" x14ac:dyDescent="0.25"/>
    <row r="53" spans="1:39" outlineLevel="1" x14ac:dyDescent="0.25">
      <c r="A53" s="3" t="s">
        <v>21</v>
      </c>
      <c r="B53" s="59">
        <v>2013</v>
      </c>
      <c r="C53" s="59">
        <v>2014</v>
      </c>
      <c r="D53" s="59">
        <v>2015</v>
      </c>
      <c r="E53" s="59">
        <v>2016</v>
      </c>
      <c r="F53" s="59">
        <v>2017</v>
      </c>
      <c r="G53" s="59">
        <v>2018</v>
      </c>
      <c r="H53" s="59">
        <v>2019</v>
      </c>
      <c r="I53" s="59">
        <v>2020</v>
      </c>
      <c r="J53" s="59">
        <v>2021</v>
      </c>
      <c r="K53" s="59">
        <v>2022</v>
      </c>
      <c r="L53" s="59">
        <v>2023</v>
      </c>
      <c r="M53" s="59">
        <v>2024</v>
      </c>
      <c r="N53" s="59">
        <v>2025</v>
      </c>
      <c r="O53" s="59">
        <v>2026</v>
      </c>
      <c r="P53" s="59">
        <v>2027</v>
      </c>
      <c r="Q53" s="59">
        <v>2028</v>
      </c>
      <c r="R53" s="59">
        <v>2029</v>
      </c>
      <c r="S53" s="59">
        <v>2030</v>
      </c>
      <c r="T53" s="59">
        <v>2031</v>
      </c>
      <c r="U53" s="59">
        <v>2032</v>
      </c>
      <c r="V53" s="59">
        <v>2033</v>
      </c>
      <c r="W53" s="59">
        <v>2034</v>
      </c>
      <c r="X53" s="59">
        <v>2035</v>
      </c>
      <c r="Y53" s="59">
        <v>2036</v>
      </c>
      <c r="Z53" s="59">
        <v>2037</v>
      </c>
      <c r="AA53" s="59">
        <v>2038</v>
      </c>
      <c r="AB53" s="59">
        <v>2039</v>
      </c>
      <c r="AC53" s="59">
        <v>2040</v>
      </c>
      <c r="AD53" s="59">
        <v>2041</v>
      </c>
      <c r="AE53" s="59">
        <v>2042</v>
      </c>
      <c r="AF53" s="59">
        <v>2043</v>
      </c>
      <c r="AG53" s="59">
        <v>2044</v>
      </c>
      <c r="AH53" s="59">
        <v>2045</v>
      </c>
      <c r="AI53" s="59">
        <v>2046</v>
      </c>
      <c r="AJ53" s="59">
        <v>2047</v>
      </c>
      <c r="AK53" s="59">
        <v>2048</v>
      </c>
      <c r="AL53" s="59">
        <v>2049</v>
      </c>
      <c r="AM53" s="59">
        <v>2050</v>
      </c>
    </row>
    <row r="54" spans="1:39" outlineLevel="1" x14ac:dyDescent="0.25">
      <c r="A54" t="s">
        <v>169</v>
      </c>
      <c r="B54" s="72">
        <f>'Linéarisation mix'!B8*1000000</f>
        <v>2136367.0350000006</v>
      </c>
      <c r="C54" s="72">
        <f>'Linéarisation mix'!C8*1000000</f>
        <v>2180239.2772972928</v>
      </c>
      <c r="D54" s="72">
        <f>'Linéarisation mix'!D8*1000000</f>
        <v>2224111.5195945855</v>
      </c>
      <c r="E54" s="72">
        <f>'Linéarisation mix'!E8*1000000</f>
        <v>2267983.7618918787</v>
      </c>
      <c r="F54" s="72">
        <f>'Linéarisation mix'!F8*1000000</f>
        <v>2311856.0041891714</v>
      </c>
      <c r="G54" s="72">
        <f>'Linéarisation mix'!G8*1000000</f>
        <v>2355728.2464864645</v>
      </c>
      <c r="H54" s="72">
        <f>'Linéarisation mix'!H8*1000000</f>
        <v>2399600.4887837577</v>
      </c>
      <c r="I54" s="72">
        <f>'Linéarisation mix'!I8*1000000</f>
        <v>2443472.7310810518</v>
      </c>
      <c r="J54" s="72">
        <f>'Linéarisation mix'!J8*1000000</f>
        <v>2487344.9733783458</v>
      </c>
      <c r="K54" s="72">
        <f>'Linéarisation mix'!K8*1000000</f>
        <v>2531217.2156756399</v>
      </c>
      <c r="L54" s="72">
        <f>'Linéarisation mix'!L8*1000000</f>
        <v>2575089.4579729345</v>
      </c>
      <c r="M54" s="72">
        <f>'Linéarisation mix'!M8*1000000</f>
        <v>2618961.7002702295</v>
      </c>
      <c r="N54" s="72">
        <f>'Linéarisation mix'!N8*1000000</f>
        <v>2662833.9425675245</v>
      </c>
      <c r="O54" s="72">
        <f>'Linéarisation mix'!O8*1000000</f>
        <v>2706706.18486482</v>
      </c>
      <c r="P54" s="72">
        <f>'Linéarisation mix'!P8*1000000</f>
        <v>2750578.4271621159</v>
      </c>
      <c r="Q54" s="72">
        <f>'Linéarisation mix'!Q8*1000000</f>
        <v>2794450.6694594119</v>
      </c>
      <c r="R54" s="72">
        <f>'Linéarisation mix'!R8*1000000</f>
        <v>2838322.9117567083</v>
      </c>
      <c r="S54" s="72">
        <f>'Linéarisation mix'!S8*1000000</f>
        <v>2882195.1540540052</v>
      </c>
      <c r="T54" s="72">
        <f>'Linéarisation mix'!T8*1000000</f>
        <v>2926067.3963513016</v>
      </c>
      <c r="U54" s="72">
        <f>'Linéarisation mix'!U8*1000000</f>
        <v>2969939.6386485989</v>
      </c>
      <c r="V54" s="72">
        <f>'Linéarisation mix'!V8*1000000</f>
        <v>3013811.8809458967</v>
      </c>
      <c r="W54" s="72">
        <f>'Linéarisation mix'!W8*1000000</f>
        <v>3057684.1232431945</v>
      </c>
      <c r="X54" s="72">
        <f>'Linéarisation mix'!X8*1000000</f>
        <v>3101556.3655404923</v>
      </c>
      <c r="Y54" s="72">
        <f>'Linéarisation mix'!Y8*1000000</f>
        <v>3145428.6078377911</v>
      </c>
      <c r="Z54" s="72">
        <f>'Linéarisation mix'!Z8*1000000</f>
        <v>3189300.8501350898</v>
      </c>
      <c r="AA54" s="72">
        <f>'Linéarisation mix'!AA8*1000000</f>
        <v>3233173.0924323886</v>
      </c>
      <c r="AB54" s="72">
        <f>'Linéarisation mix'!AB8*1000000</f>
        <v>3277045.3347296882</v>
      </c>
      <c r="AC54" s="72">
        <f>'Linéarisation mix'!AC8*1000000</f>
        <v>3320917.5770269874</v>
      </c>
      <c r="AD54" s="72">
        <f>'Linéarisation mix'!AD8*1000000</f>
        <v>3364789.8193242876</v>
      </c>
      <c r="AE54" s="72">
        <f>'Linéarisation mix'!AE8*1000000</f>
        <v>3408662.0616215877</v>
      </c>
      <c r="AF54" s="72">
        <f>'Linéarisation mix'!AF8*1000000</f>
        <v>3452534.3039188883</v>
      </c>
      <c r="AG54" s="72">
        <f>'Linéarisation mix'!AG8*1000000</f>
        <v>3496406.5462161889</v>
      </c>
      <c r="AH54" s="72">
        <f>'Linéarisation mix'!AH8*1000000</f>
        <v>3540278.7885134905</v>
      </c>
      <c r="AI54" s="72">
        <f>'Linéarisation mix'!AI8*1000000</f>
        <v>3584151.0308107915</v>
      </c>
      <c r="AJ54" s="72">
        <f>'Linéarisation mix'!AJ8*1000000</f>
        <v>3628023.2731080931</v>
      </c>
      <c r="AK54" s="72">
        <f>'Linéarisation mix'!AK8*1000000</f>
        <v>3671895.5154053955</v>
      </c>
      <c r="AL54" s="72">
        <f>'Linéarisation mix'!AL8*1000000</f>
        <v>3715767.7577026975</v>
      </c>
      <c r="AM54" s="72">
        <f>'Linéarisation mix'!AM8*1000000</f>
        <v>3759640</v>
      </c>
    </row>
    <row r="55" spans="1:39" outlineLevel="1" x14ac:dyDescent="0.25">
      <c r="A55" t="s">
        <v>183</v>
      </c>
      <c r="B55" s="72">
        <f>LCOE!B4</f>
        <v>60</v>
      </c>
      <c r="C55" s="72">
        <f>LCOE!C4</f>
        <v>60</v>
      </c>
      <c r="D55" s="72">
        <f>LCOE!D4</f>
        <v>60</v>
      </c>
      <c r="E55" s="72">
        <f>LCOE!E4</f>
        <v>60</v>
      </c>
      <c r="F55" s="72">
        <f>LCOE!F4</f>
        <v>60</v>
      </c>
      <c r="G55" s="72">
        <f>LCOE!G4</f>
        <v>60</v>
      </c>
      <c r="H55" s="72">
        <f>LCOE!H4</f>
        <v>60</v>
      </c>
      <c r="I55" s="72">
        <f>LCOE!I4</f>
        <v>60</v>
      </c>
      <c r="J55" s="72">
        <f>LCOE!J4</f>
        <v>60</v>
      </c>
      <c r="K55" s="72">
        <f>LCOE!K4</f>
        <v>60</v>
      </c>
      <c r="L55" s="72">
        <f>LCOE!L4</f>
        <v>60</v>
      </c>
      <c r="M55" s="72">
        <f>LCOE!M4</f>
        <v>60</v>
      </c>
      <c r="N55" s="72">
        <f>LCOE!N4</f>
        <v>60</v>
      </c>
      <c r="O55" s="72">
        <f>LCOE!O4</f>
        <v>60</v>
      </c>
      <c r="P55" s="72">
        <f>LCOE!P4</f>
        <v>60</v>
      </c>
      <c r="Q55" s="72">
        <f>LCOE!Q4</f>
        <v>60</v>
      </c>
      <c r="R55" s="72">
        <f>LCOE!R4</f>
        <v>60</v>
      </c>
      <c r="S55" s="72">
        <f>LCOE!S4</f>
        <v>60</v>
      </c>
      <c r="T55" s="72">
        <f>LCOE!T4</f>
        <v>60</v>
      </c>
      <c r="U55" s="72">
        <f>LCOE!U4</f>
        <v>60</v>
      </c>
      <c r="V55" s="72">
        <f>LCOE!V4</f>
        <v>60</v>
      </c>
      <c r="W55" s="72">
        <f>LCOE!W4</f>
        <v>60</v>
      </c>
      <c r="X55" s="72">
        <f>LCOE!X4</f>
        <v>60</v>
      </c>
      <c r="Y55" s="72">
        <f>LCOE!Y4</f>
        <v>60</v>
      </c>
      <c r="Z55" s="72">
        <f>LCOE!Z4</f>
        <v>60</v>
      </c>
      <c r="AA55" s="72">
        <f>LCOE!AA4</f>
        <v>60</v>
      </c>
      <c r="AB55" s="72">
        <f>LCOE!AB4</f>
        <v>60</v>
      </c>
      <c r="AC55" s="72">
        <f>LCOE!AC4</f>
        <v>60</v>
      </c>
      <c r="AD55" s="72">
        <f>LCOE!AD4</f>
        <v>60</v>
      </c>
      <c r="AE55" s="72">
        <f>LCOE!AE4</f>
        <v>60</v>
      </c>
      <c r="AF55" s="72">
        <f>LCOE!AF4</f>
        <v>60</v>
      </c>
      <c r="AG55" s="72">
        <f>LCOE!AG4</f>
        <v>60</v>
      </c>
      <c r="AH55" s="72">
        <f>LCOE!AH4</f>
        <v>60</v>
      </c>
      <c r="AI55" s="72">
        <f>LCOE!AI4</f>
        <v>60</v>
      </c>
      <c r="AJ55" s="72">
        <f>LCOE!AJ4</f>
        <v>60</v>
      </c>
      <c r="AK55" s="72">
        <f>LCOE!AK4</f>
        <v>60</v>
      </c>
      <c r="AL55" s="72">
        <f>LCOE!AL4</f>
        <v>60</v>
      </c>
      <c r="AM55" s="72">
        <f>LCOE!AM4</f>
        <v>60</v>
      </c>
    </row>
    <row r="56" spans="1:39" outlineLevel="1" x14ac:dyDescent="0.25">
      <c r="A56" t="s">
        <v>127</v>
      </c>
      <c r="B56" s="60">
        <v>0</v>
      </c>
      <c r="C56" s="76">
        <f t="shared" ref="C56:AM56" si="16">B56+C54-B54</f>
        <v>43872.242297292221</v>
      </c>
      <c r="D56" s="76">
        <f t="shared" si="16"/>
        <v>87744.484594584908</v>
      </c>
      <c r="E56" s="76">
        <f t="shared" si="16"/>
        <v>131616.72689187806</v>
      </c>
      <c r="F56" s="76">
        <f t="shared" si="16"/>
        <v>175488.96918917075</v>
      </c>
      <c r="G56" s="76">
        <f t="shared" si="16"/>
        <v>219361.2114864639</v>
      </c>
      <c r="H56" s="76">
        <f t="shared" si="16"/>
        <v>263233.45378375705</v>
      </c>
      <c r="I56" s="76">
        <f t="shared" si="16"/>
        <v>307105.69608105114</v>
      </c>
      <c r="J56" s="76">
        <f t="shared" si="16"/>
        <v>350977.93837834522</v>
      </c>
      <c r="K56" s="76">
        <f t="shared" si="16"/>
        <v>394850.18067563931</v>
      </c>
      <c r="L56" s="76">
        <f t="shared" si="16"/>
        <v>438722.42297293385</v>
      </c>
      <c r="M56" s="76">
        <f t="shared" si="16"/>
        <v>482594.66527022887</v>
      </c>
      <c r="N56" s="76">
        <f t="shared" si="16"/>
        <v>526466.90756752389</v>
      </c>
      <c r="O56" s="76">
        <f t="shared" si="16"/>
        <v>570339.14986481937</v>
      </c>
      <c r="P56" s="76">
        <f t="shared" si="16"/>
        <v>614211.39216211531</v>
      </c>
      <c r="Q56" s="76">
        <f t="shared" si="16"/>
        <v>658083.63445941126</v>
      </c>
      <c r="R56" s="76">
        <f t="shared" si="16"/>
        <v>701955.87675670767</v>
      </c>
      <c r="S56" s="76">
        <f t="shared" si="16"/>
        <v>745828.11905400455</v>
      </c>
      <c r="T56" s="76">
        <f t="shared" si="16"/>
        <v>789700.36135130096</v>
      </c>
      <c r="U56" s="76">
        <f t="shared" si="16"/>
        <v>833572.60364859831</v>
      </c>
      <c r="V56" s="76">
        <f t="shared" si="16"/>
        <v>877444.84594589612</v>
      </c>
      <c r="W56" s="76">
        <f t="shared" si="16"/>
        <v>921317.08824319392</v>
      </c>
      <c r="X56" s="76">
        <f t="shared" si="16"/>
        <v>965189.33054049173</v>
      </c>
      <c r="Y56" s="76">
        <f t="shared" si="16"/>
        <v>1009061.5728377905</v>
      </c>
      <c r="Z56" s="76">
        <f t="shared" si="16"/>
        <v>1052933.8151350892</v>
      </c>
      <c r="AA56" s="76">
        <f t="shared" si="16"/>
        <v>1096806.057432388</v>
      </c>
      <c r="AB56" s="76">
        <f t="shared" si="16"/>
        <v>1140678.2997296876</v>
      </c>
      <c r="AC56" s="76">
        <f t="shared" si="16"/>
        <v>1184550.5420269873</v>
      </c>
      <c r="AD56" s="76">
        <f t="shared" si="16"/>
        <v>1228422.7843242874</v>
      </c>
      <c r="AE56" s="76">
        <f t="shared" si="16"/>
        <v>1272295.0266215876</v>
      </c>
      <c r="AF56" s="76">
        <f t="shared" si="16"/>
        <v>1316167.2689188886</v>
      </c>
      <c r="AG56" s="76">
        <f t="shared" si="16"/>
        <v>1360039.5112161892</v>
      </c>
      <c r="AH56" s="76">
        <f t="shared" si="16"/>
        <v>1403911.7535134908</v>
      </c>
      <c r="AI56" s="76">
        <f t="shared" si="16"/>
        <v>1447783.9958107923</v>
      </c>
      <c r="AJ56" s="76">
        <f t="shared" si="16"/>
        <v>1491656.2381080934</v>
      </c>
      <c r="AK56" s="76">
        <f t="shared" si="16"/>
        <v>1535528.4804053959</v>
      </c>
      <c r="AL56" s="76">
        <f t="shared" si="16"/>
        <v>1579400.7227026974</v>
      </c>
      <c r="AM56" s="76">
        <f t="shared" si="16"/>
        <v>1623272.9649999994</v>
      </c>
    </row>
    <row r="57" spans="1:39" outlineLevel="1" x14ac:dyDescent="0.25">
      <c r="A57" t="s">
        <v>186</v>
      </c>
      <c r="B57" s="6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61"/>
      <c r="N57" s="54"/>
      <c r="O57" s="54"/>
      <c r="P57" s="54"/>
      <c r="Q57" s="54"/>
      <c r="R57" s="54"/>
      <c r="S57" s="55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61"/>
      <c r="AF57" s="61"/>
      <c r="AG57" s="61"/>
      <c r="AH57" s="61"/>
      <c r="AI57" s="61"/>
      <c r="AJ57" s="61"/>
      <c r="AK57" s="61"/>
      <c r="AL57" s="54"/>
      <c r="AM57" s="116">
        <f>AM59/AM61</f>
        <v>0.18637422731963718</v>
      </c>
    </row>
    <row r="58" spans="1:39" outlineLevel="1" x14ac:dyDescent="0.25">
      <c r="A58" t="s">
        <v>30</v>
      </c>
      <c r="B58" s="13">
        <v>25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outlineLevel="1" x14ac:dyDescent="0.25">
      <c r="A59" t="s">
        <v>107</v>
      </c>
      <c r="B59" s="13">
        <f t="shared" ref="B59:AK59" si="17">$AM$57*B61</f>
        <v>23.889825325156163</v>
      </c>
      <c r="C59" s="13">
        <f t="shared" si="17"/>
        <v>24.380424640692429</v>
      </c>
      <c r="D59" s="13">
        <f t="shared" si="17"/>
        <v>24.871023956228694</v>
      </c>
      <c r="E59" s="13">
        <f t="shared" si="17"/>
        <v>25.361623271764966</v>
      </c>
      <c r="F59" s="13">
        <f t="shared" si="17"/>
        <v>25.852222587301235</v>
      </c>
      <c r="G59" s="13">
        <f t="shared" si="17"/>
        <v>26.342821902837507</v>
      </c>
      <c r="H59" s="13">
        <f t="shared" si="17"/>
        <v>26.833421218373783</v>
      </c>
      <c r="I59" s="13">
        <f t="shared" si="17"/>
        <v>27.324020533910065</v>
      </c>
      <c r="J59" s="13">
        <f t="shared" si="17"/>
        <v>27.814619849446348</v>
      </c>
      <c r="K59" s="13">
        <f t="shared" si="17"/>
        <v>28.305219164982631</v>
      </c>
      <c r="L59" s="13">
        <f t="shared" si="17"/>
        <v>28.795818480518921</v>
      </c>
      <c r="M59" s="13">
        <f t="shared" si="17"/>
        <v>29.286417796055215</v>
      </c>
      <c r="N59" s="13">
        <f t="shared" si="17"/>
        <v>29.777017111591508</v>
      </c>
      <c r="O59" s="13">
        <f t="shared" si="17"/>
        <v>30.267616427127809</v>
      </c>
      <c r="P59" s="13">
        <f t="shared" si="17"/>
        <v>30.758215742664113</v>
      </c>
      <c r="Q59" s="13">
        <f t="shared" si="17"/>
        <v>31.248815058200417</v>
      </c>
      <c r="R59" s="13">
        <f t="shared" si="17"/>
        <v>31.739414373736729</v>
      </c>
      <c r="S59" s="13">
        <f t="shared" si="17"/>
        <v>32.230013689273044</v>
      </c>
      <c r="T59" s="13">
        <f t="shared" si="17"/>
        <v>32.720613004809351</v>
      </c>
      <c r="U59" s="13">
        <f t="shared" si="17"/>
        <v>33.211212320345673</v>
      </c>
      <c r="V59" s="13">
        <f t="shared" si="17"/>
        <v>33.701811635882002</v>
      </c>
      <c r="W59" s="13">
        <f t="shared" si="17"/>
        <v>34.192410951418324</v>
      </c>
      <c r="X59" s="13">
        <f t="shared" si="17"/>
        <v>34.683010266954653</v>
      </c>
      <c r="Y59" s="13">
        <f t="shared" si="17"/>
        <v>35.17360958249099</v>
      </c>
      <c r="Z59" s="13">
        <f t="shared" si="17"/>
        <v>35.664208898027326</v>
      </c>
      <c r="AA59" s="13">
        <f t="shared" si="17"/>
        <v>36.154808213563662</v>
      </c>
      <c r="AB59" s="13">
        <f t="shared" si="17"/>
        <v>36.645407529100012</v>
      </c>
      <c r="AC59" s="13">
        <f t="shared" si="17"/>
        <v>37.136006844636356</v>
      </c>
      <c r="AD59" s="13">
        <f t="shared" si="17"/>
        <v>37.626606160172706</v>
      </c>
      <c r="AE59" s="13">
        <f t="shared" si="17"/>
        <v>38.117205475709056</v>
      </c>
      <c r="AF59" s="13">
        <f t="shared" si="17"/>
        <v>38.607804791245414</v>
      </c>
      <c r="AG59" s="13">
        <f t="shared" si="17"/>
        <v>39.098404106781771</v>
      </c>
      <c r="AH59" s="13">
        <f t="shared" si="17"/>
        <v>39.589003422318143</v>
      </c>
      <c r="AI59" s="13">
        <f t="shared" si="17"/>
        <v>40.079602737854508</v>
      </c>
      <c r="AJ59" s="13">
        <f t="shared" si="17"/>
        <v>40.570202053390872</v>
      </c>
      <c r="AK59" s="13">
        <f t="shared" si="17"/>
        <v>41.060801368927251</v>
      </c>
      <c r="AL59" s="13">
        <f>$AM$57*AL61</f>
        <v>41.551400684463623</v>
      </c>
      <c r="AM59" s="13">
        <f>LCOE!AS4*1000*'Capacités installées'!B4/1000000</f>
        <v>42.042000000000002</v>
      </c>
    </row>
    <row r="60" spans="1:39" outlineLevel="1" x14ac:dyDescent="0.25">
      <c r="A60" t="s">
        <v>111</v>
      </c>
      <c r="B60" s="53">
        <f>B61-B59</f>
        <v>104.29219677484387</v>
      </c>
      <c r="C60" s="53">
        <f t="shared" ref="C60:AM60" si="18">C61-C59</f>
        <v>106.43393199714514</v>
      </c>
      <c r="D60" s="53">
        <f t="shared" si="18"/>
        <v>108.57566721944642</v>
      </c>
      <c r="E60" s="53">
        <f t="shared" si="18"/>
        <v>110.71740244174772</v>
      </c>
      <c r="F60" s="53">
        <f t="shared" si="18"/>
        <v>112.859137664049</v>
      </c>
      <c r="G60" s="53">
        <f t="shared" si="18"/>
        <v>115.00087288635032</v>
      </c>
      <c r="H60" s="53">
        <f t="shared" si="18"/>
        <v>117.14260810865161</v>
      </c>
      <c r="I60" s="53">
        <f t="shared" si="18"/>
        <v>119.28434333095296</v>
      </c>
      <c r="J60" s="53">
        <f t="shared" si="18"/>
        <v>121.42607855325433</v>
      </c>
      <c r="K60" s="53">
        <f t="shared" si="18"/>
        <v>123.56781377555568</v>
      </c>
      <c r="L60" s="53">
        <f t="shared" si="18"/>
        <v>125.70954899785706</v>
      </c>
      <c r="M60" s="53">
        <f t="shared" si="18"/>
        <v>127.85128422015845</v>
      </c>
      <c r="N60" s="53">
        <f t="shared" si="18"/>
        <v>129.99301944245985</v>
      </c>
      <c r="O60" s="53">
        <f t="shared" si="18"/>
        <v>132.13475466476126</v>
      </c>
      <c r="P60" s="53">
        <f t="shared" si="18"/>
        <v>134.27648988706272</v>
      </c>
      <c r="Q60" s="53">
        <f t="shared" si="18"/>
        <v>136.41822510936416</v>
      </c>
      <c r="R60" s="53">
        <f t="shared" si="18"/>
        <v>138.55996033166562</v>
      </c>
      <c r="S60" s="53">
        <f t="shared" si="18"/>
        <v>140.70169555396711</v>
      </c>
      <c r="T60" s="53">
        <f t="shared" si="18"/>
        <v>142.84343077626858</v>
      </c>
      <c r="U60" s="53">
        <f t="shared" si="18"/>
        <v>144.9851659985701</v>
      </c>
      <c r="V60" s="53">
        <f t="shared" si="18"/>
        <v>147.12690122087164</v>
      </c>
      <c r="W60" s="53">
        <f t="shared" si="18"/>
        <v>149.26863644317319</v>
      </c>
      <c r="X60" s="53">
        <f t="shared" si="18"/>
        <v>151.41037166547471</v>
      </c>
      <c r="Y60" s="53">
        <f t="shared" si="18"/>
        <v>153.55210688777629</v>
      </c>
      <c r="Z60" s="53">
        <f t="shared" si="18"/>
        <v>155.69384211007787</v>
      </c>
      <c r="AA60" s="53">
        <f t="shared" si="18"/>
        <v>157.83557733237947</v>
      </c>
      <c r="AB60" s="53">
        <f t="shared" si="18"/>
        <v>159.97731255468108</v>
      </c>
      <c r="AC60" s="53">
        <f t="shared" si="18"/>
        <v>162.11904777698271</v>
      </c>
      <c r="AD60" s="53">
        <f t="shared" si="18"/>
        <v>164.26078299928434</v>
      </c>
      <c r="AE60" s="53">
        <f t="shared" si="18"/>
        <v>166.40251822158601</v>
      </c>
      <c r="AF60" s="53">
        <f t="shared" si="18"/>
        <v>168.54425344388767</v>
      </c>
      <c r="AG60" s="53">
        <f t="shared" si="18"/>
        <v>170.68598866618936</v>
      </c>
      <c r="AH60" s="53">
        <f t="shared" si="18"/>
        <v>172.82772388849108</v>
      </c>
      <c r="AI60" s="53">
        <f t="shared" si="18"/>
        <v>174.96945911079277</v>
      </c>
      <c r="AJ60" s="53">
        <f t="shared" si="18"/>
        <v>177.11119433309449</v>
      </c>
      <c r="AK60" s="53">
        <f t="shared" si="18"/>
        <v>179.25292955539626</v>
      </c>
      <c r="AL60" s="53">
        <f t="shared" si="18"/>
        <v>181.39466477769801</v>
      </c>
      <c r="AM60" s="53">
        <f t="shared" si="18"/>
        <v>183.53639999999979</v>
      </c>
    </row>
    <row r="61" spans="1:39" outlineLevel="1" x14ac:dyDescent="0.25">
      <c r="A61" t="s">
        <v>184</v>
      </c>
      <c r="B61" s="123">
        <v>128.18202210000004</v>
      </c>
      <c r="C61" s="123">
        <v>130.81435663783756</v>
      </c>
      <c r="D61" s="123">
        <v>133.44669117567511</v>
      </c>
      <c r="E61" s="123">
        <v>136.07902571351269</v>
      </c>
      <c r="F61" s="123">
        <v>138.71136025135024</v>
      </c>
      <c r="G61" s="123">
        <v>141.34369478918782</v>
      </c>
      <c r="H61" s="123">
        <v>143.9760293270254</v>
      </c>
      <c r="I61" s="123">
        <v>146.60836386486304</v>
      </c>
      <c r="J61" s="123">
        <v>149.24069840270067</v>
      </c>
      <c r="K61" s="123">
        <v>151.87303294053831</v>
      </c>
      <c r="L61" s="123">
        <v>154.50536747837597</v>
      </c>
      <c r="M61" s="123">
        <v>157.13770201621367</v>
      </c>
      <c r="N61" s="123">
        <v>159.77003655405136</v>
      </c>
      <c r="O61" s="123">
        <v>162.40237109188908</v>
      </c>
      <c r="P61" s="123">
        <v>165.03470562972683</v>
      </c>
      <c r="Q61" s="123">
        <v>167.66704016756458</v>
      </c>
      <c r="R61" s="123">
        <v>170.29937470540236</v>
      </c>
      <c r="S61" s="123">
        <v>172.93170924324016</v>
      </c>
      <c r="T61" s="123">
        <v>175.56404378107794</v>
      </c>
      <c r="U61" s="123">
        <v>178.19637831891578</v>
      </c>
      <c r="V61" s="123">
        <v>180.82871285675364</v>
      </c>
      <c r="W61" s="123">
        <v>183.4610473945915</v>
      </c>
      <c r="X61" s="123">
        <v>186.09338193242937</v>
      </c>
      <c r="Y61" s="123">
        <v>188.72571647026729</v>
      </c>
      <c r="Z61" s="123">
        <v>191.35805100810521</v>
      </c>
      <c r="AA61" s="123">
        <v>193.99038554594313</v>
      </c>
      <c r="AB61" s="123">
        <v>196.6227200837811</v>
      </c>
      <c r="AC61" s="123">
        <v>199.25505462161905</v>
      </c>
      <c r="AD61" s="123">
        <v>201.88738915945706</v>
      </c>
      <c r="AE61" s="123">
        <v>204.51972369729506</v>
      </c>
      <c r="AF61" s="123">
        <v>207.1520582351331</v>
      </c>
      <c r="AG61" s="123">
        <v>209.78439277297113</v>
      </c>
      <c r="AH61" s="123">
        <v>212.41672731080922</v>
      </c>
      <c r="AI61" s="123">
        <v>215.04906184864728</v>
      </c>
      <c r="AJ61" s="123">
        <v>217.68139638648537</v>
      </c>
      <c r="AK61" s="123">
        <v>220.31373092432352</v>
      </c>
      <c r="AL61" s="123">
        <v>222.94606546216164</v>
      </c>
      <c r="AM61" s="123">
        <v>225.57839999999979</v>
      </c>
    </row>
    <row r="62" spans="1:39" outlineLevel="1" x14ac:dyDescent="0.25"/>
    <row r="63" spans="1:39" outlineLevel="1" x14ac:dyDescent="0.25"/>
    <row r="64" spans="1:39" outlineLevel="1" x14ac:dyDescent="0.25">
      <c r="A64" s="3" t="s">
        <v>22</v>
      </c>
      <c r="B64" s="59">
        <v>2013</v>
      </c>
      <c r="C64" s="59">
        <v>2014</v>
      </c>
      <c r="D64" s="59">
        <v>2015</v>
      </c>
      <c r="E64" s="59">
        <v>2016</v>
      </c>
      <c r="F64" s="59">
        <v>2017</v>
      </c>
      <c r="G64" s="59">
        <v>2018</v>
      </c>
      <c r="H64" s="59">
        <v>2019</v>
      </c>
      <c r="I64" s="59">
        <v>2020</v>
      </c>
      <c r="J64" s="59">
        <v>2021</v>
      </c>
      <c r="K64" s="59">
        <v>2022</v>
      </c>
      <c r="L64" s="59">
        <v>2023</v>
      </c>
      <c r="M64" s="59">
        <v>2024</v>
      </c>
      <c r="N64" s="59">
        <v>2025</v>
      </c>
      <c r="O64" s="59">
        <v>2026</v>
      </c>
      <c r="P64" s="59">
        <v>2027</v>
      </c>
      <c r="Q64" s="59">
        <v>2028</v>
      </c>
      <c r="R64" s="59">
        <v>2029</v>
      </c>
      <c r="S64" s="59">
        <v>2030</v>
      </c>
      <c r="T64" s="59">
        <v>2031</v>
      </c>
      <c r="U64" s="59">
        <v>2032</v>
      </c>
      <c r="V64" s="59">
        <v>2033</v>
      </c>
      <c r="W64" s="59">
        <v>2034</v>
      </c>
      <c r="X64" s="59">
        <v>2035</v>
      </c>
      <c r="Y64" s="59">
        <v>2036</v>
      </c>
      <c r="Z64" s="59">
        <v>2037</v>
      </c>
      <c r="AA64" s="59">
        <v>2038</v>
      </c>
      <c r="AB64" s="59">
        <v>2039</v>
      </c>
      <c r="AC64" s="59">
        <v>2040</v>
      </c>
      <c r="AD64" s="59">
        <v>2041</v>
      </c>
      <c r="AE64" s="59">
        <v>2042</v>
      </c>
      <c r="AF64" s="59">
        <v>2043</v>
      </c>
      <c r="AG64" s="59">
        <v>2044</v>
      </c>
      <c r="AH64" s="59">
        <v>2045</v>
      </c>
      <c r="AI64" s="59">
        <v>2046</v>
      </c>
      <c r="AJ64" s="59">
        <v>2047</v>
      </c>
      <c r="AK64" s="59">
        <v>2048</v>
      </c>
      <c r="AL64" s="59">
        <v>2049</v>
      </c>
      <c r="AM64" s="59">
        <v>2050</v>
      </c>
    </row>
    <row r="65" spans="1:39" outlineLevel="1" x14ac:dyDescent="0.25">
      <c r="A65" t="s">
        <v>169</v>
      </c>
      <c r="B65" s="72">
        <f>'Linéarisation mix'!B7*1000000</f>
        <v>1500000</v>
      </c>
      <c r="C65" s="72">
        <f>'Linéarisation mix'!C7*1000000</f>
        <v>1676532.6100052658</v>
      </c>
      <c r="D65" s="72">
        <f>'Linéarisation mix'!D7*1000000</f>
        <v>1853065.2200105316</v>
      </c>
      <c r="E65" s="72">
        <f>'Linéarisation mix'!E7*1000000</f>
        <v>2029597.8300157974</v>
      </c>
      <c r="F65" s="72">
        <f>'Linéarisation mix'!F7*1000000</f>
        <v>2206130.4400210637</v>
      </c>
      <c r="G65" s="72">
        <f>'Linéarisation mix'!G7*1000000</f>
        <v>2382663.0500263297</v>
      </c>
      <c r="H65" s="72">
        <f>'Linéarisation mix'!H7*1000000</f>
        <v>2559195.6600315962</v>
      </c>
      <c r="I65" s="72">
        <f>'Linéarisation mix'!I7*1000000</f>
        <v>2735728.2700368636</v>
      </c>
      <c r="J65" s="72">
        <f>'Linéarisation mix'!J7*1000000</f>
        <v>2912260.8800421306</v>
      </c>
      <c r="K65" s="72">
        <f>'Linéarisation mix'!K7*1000000</f>
        <v>3088793.490047398</v>
      </c>
      <c r="L65" s="72">
        <f>'Linéarisation mix'!L7*1000000</f>
        <v>3265326.1000526659</v>
      </c>
      <c r="M65" s="72">
        <f>'Linéarisation mix'!M7*1000000</f>
        <v>3441858.7100579343</v>
      </c>
      <c r="N65" s="72">
        <f>'Linéarisation mix'!N7*1000000</f>
        <v>3618391.3200632026</v>
      </c>
      <c r="O65" s="72">
        <f>'Linéarisation mix'!O7*1000000</f>
        <v>3794923.9300684715</v>
      </c>
      <c r="P65" s="72">
        <f>'Linéarisation mix'!P7*1000000</f>
        <v>3971456.5400737403</v>
      </c>
      <c r="Q65" s="72">
        <f>'Linéarisation mix'!Q7*1000000</f>
        <v>4147989.1500790096</v>
      </c>
      <c r="R65" s="72">
        <f>'Linéarisation mix'!R7*1000000</f>
        <v>4324521.7600842798</v>
      </c>
      <c r="S65" s="72">
        <f>'Linéarisation mix'!S7*1000000</f>
        <v>4501054.3700895496</v>
      </c>
      <c r="T65" s="72">
        <f>'Linéarisation mix'!T7*1000000</f>
        <v>4677586.9800948212</v>
      </c>
      <c r="U65" s="72">
        <f>'Linéarisation mix'!U7*1000000</f>
        <v>4854119.5901000928</v>
      </c>
      <c r="V65" s="72">
        <f>'Linéarisation mix'!V7*1000000</f>
        <v>5030652.2001053654</v>
      </c>
      <c r="W65" s="72">
        <f>'Linéarisation mix'!W7*1000000</f>
        <v>5207184.8101106379</v>
      </c>
      <c r="X65" s="72">
        <f>'Linéarisation mix'!X7*1000000</f>
        <v>5383717.4201159105</v>
      </c>
      <c r="Y65" s="72">
        <f>'Linéarisation mix'!Y7*1000000</f>
        <v>5560250.0301211849</v>
      </c>
      <c r="Z65" s="72">
        <f>'Linéarisation mix'!Z7*1000000</f>
        <v>5736782.6401264584</v>
      </c>
      <c r="AA65" s="72">
        <f>'Linéarisation mix'!AA7*1000000</f>
        <v>5913315.2501317328</v>
      </c>
      <c r="AB65" s="72">
        <f>'Linéarisation mix'!AB7*1000000</f>
        <v>6089847.8601370081</v>
      </c>
      <c r="AC65" s="72">
        <f>'Linéarisation mix'!AC7*1000000</f>
        <v>6266380.4701422844</v>
      </c>
      <c r="AD65" s="72">
        <f>'Linéarisation mix'!AD7*1000000</f>
        <v>6442913.0801475607</v>
      </c>
      <c r="AE65" s="72">
        <f>'Linéarisation mix'!AE7*1000000</f>
        <v>6619445.6901528379</v>
      </c>
      <c r="AF65" s="72">
        <f>'Linéarisation mix'!AF7*1000000</f>
        <v>6795978.3001581151</v>
      </c>
      <c r="AG65" s="72">
        <f>'Linéarisation mix'!AG7*1000000</f>
        <v>6972510.9101633932</v>
      </c>
      <c r="AH65" s="72">
        <f>'Linéarisation mix'!AH7*1000000</f>
        <v>7149043.5201686723</v>
      </c>
      <c r="AI65" s="72">
        <f>'Linéarisation mix'!AI7*1000000</f>
        <v>7325576.1301739514</v>
      </c>
      <c r="AJ65" s="72">
        <f>'Linéarisation mix'!AJ7*1000000</f>
        <v>7502108.7401792314</v>
      </c>
      <c r="AK65" s="72">
        <f>'Linéarisation mix'!AK7*1000000</f>
        <v>7678641.3501845123</v>
      </c>
      <c r="AL65" s="72">
        <f>'Linéarisation mix'!AL7*1000000</f>
        <v>7855173.9601897933</v>
      </c>
      <c r="AM65" s="72">
        <f>'Linéarisation mix'!AM7*1000000</f>
        <v>8031706.5701950751</v>
      </c>
    </row>
    <row r="66" spans="1:39" outlineLevel="1" x14ac:dyDescent="0.25">
      <c r="A66" t="s">
        <v>183</v>
      </c>
      <c r="B66" s="72">
        <f>LCOE!B5</f>
        <v>150</v>
      </c>
      <c r="C66" s="72">
        <f>LCOE!C5</f>
        <v>147.05882352941177</v>
      </c>
      <c r="D66" s="72">
        <f>LCOE!D5</f>
        <v>144.11764705882354</v>
      </c>
      <c r="E66" s="72">
        <f>LCOE!E5</f>
        <v>141.1764705882353</v>
      </c>
      <c r="F66" s="72">
        <f>LCOE!F5</f>
        <v>138.23529411764707</v>
      </c>
      <c r="G66" s="72">
        <f>LCOE!G5</f>
        <v>135.29411764705884</v>
      </c>
      <c r="H66" s="72">
        <f>LCOE!H5</f>
        <v>132.35294117647061</v>
      </c>
      <c r="I66" s="72">
        <f>LCOE!I5</f>
        <v>129.41176470588238</v>
      </c>
      <c r="J66" s="72">
        <f>LCOE!J5</f>
        <v>126.47058823529414</v>
      </c>
      <c r="K66" s="72">
        <f>LCOE!K5</f>
        <v>123.52941176470591</v>
      </c>
      <c r="L66" s="72">
        <f>LCOE!L5</f>
        <v>120.58823529411768</v>
      </c>
      <c r="M66" s="72">
        <f>LCOE!M5</f>
        <v>117.64705882352945</v>
      </c>
      <c r="N66" s="72">
        <f>LCOE!N5</f>
        <v>114.70588235294122</v>
      </c>
      <c r="O66" s="72">
        <f>LCOE!O5</f>
        <v>111.76470588235298</v>
      </c>
      <c r="P66" s="72">
        <f>LCOE!P5</f>
        <v>108.82352941176475</v>
      </c>
      <c r="Q66" s="72">
        <f>LCOE!Q5</f>
        <v>105.88235294117652</v>
      </c>
      <c r="R66" s="72">
        <f>LCOE!R5</f>
        <v>102.94117647058829</v>
      </c>
      <c r="S66" s="72">
        <f>LCOE!S5</f>
        <v>100</v>
      </c>
      <c r="T66" s="72">
        <f>LCOE!T5</f>
        <v>97.5</v>
      </c>
      <c r="U66" s="72">
        <f>LCOE!U5</f>
        <v>95</v>
      </c>
      <c r="V66" s="72">
        <f>LCOE!V5</f>
        <v>92.5</v>
      </c>
      <c r="W66" s="72">
        <f>LCOE!W5</f>
        <v>90</v>
      </c>
      <c r="X66" s="72">
        <f>LCOE!X5</f>
        <v>87.5</v>
      </c>
      <c r="Y66" s="72">
        <f>LCOE!Y5</f>
        <v>85</v>
      </c>
      <c r="Z66" s="72">
        <f>LCOE!Z5</f>
        <v>82.5</v>
      </c>
      <c r="AA66" s="72">
        <f>LCOE!AA5</f>
        <v>80</v>
      </c>
      <c r="AB66" s="72">
        <f>LCOE!AB5</f>
        <v>77.5</v>
      </c>
      <c r="AC66" s="72">
        <f>LCOE!AC5</f>
        <v>75</v>
      </c>
      <c r="AD66" s="72">
        <f>LCOE!AD5</f>
        <v>72.5</v>
      </c>
      <c r="AE66" s="72">
        <f>LCOE!AE5</f>
        <v>70</v>
      </c>
      <c r="AF66" s="72">
        <f>LCOE!AF5</f>
        <v>67.5</v>
      </c>
      <c r="AG66" s="72">
        <f>LCOE!AG5</f>
        <v>65</v>
      </c>
      <c r="AH66" s="72">
        <f>LCOE!AH5</f>
        <v>62.5</v>
      </c>
      <c r="AI66" s="72">
        <f>LCOE!AI5</f>
        <v>60</v>
      </c>
      <c r="AJ66" s="72">
        <f>LCOE!AJ5</f>
        <v>57.5</v>
      </c>
      <c r="AK66" s="72">
        <f>LCOE!AK5</f>
        <v>55</v>
      </c>
      <c r="AL66" s="72">
        <f>LCOE!AL5</f>
        <v>52.5</v>
      </c>
      <c r="AM66" s="72">
        <f>LCOE!AM5</f>
        <v>50</v>
      </c>
    </row>
    <row r="67" spans="1:39" outlineLevel="1" x14ac:dyDescent="0.25">
      <c r="A67" t="s">
        <v>127</v>
      </c>
      <c r="B67" s="60">
        <v>0</v>
      </c>
      <c r="C67" s="76">
        <f t="shared" ref="C67:AM67" si="19">B67+C65-B65</f>
        <v>176532.6100052658</v>
      </c>
      <c r="D67" s="76">
        <f t="shared" si="19"/>
        <v>353065.2200105316</v>
      </c>
      <c r="E67" s="76">
        <f t="shared" si="19"/>
        <v>529597.83001579763</v>
      </c>
      <c r="F67" s="76">
        <f t="shared" si="19"/>
        <v>706130.4400210639</v>
      </c>
      <c r="G67" s="76">
        <f t="shared" si="19"/>
        <v>882663.0500263297</v>
      </c>
      <c r="H67" s="76">
        <f t="shared" si="19"/>
        <v>1059195.6600315962</v>
      </c>
      <c r="I67" s="76">
        <f t="shared" si="19"/>
        <v>1235728.2700368636</v>
      </c>
      <c r="J67" s="76">
        <f t="shared" si="19"/>
        <v>1412260.8800421306</v>
      </c>
      <c r="K67" s="76">
        <f t="shared" si="19"/>
        <v>1588793.4900473985</v>
      </c>
      <c r="L67" s="76">
        <f t="shared" si="19"/>
        <v>1765326.1000526669</v>
      </c>
      <c r="M67" s="76">
        <f t="shared" si="19"/>
        <v>1941858.7100579347</v>
      </c>
      <c r="N67" s="76">
        <f t="shared" si="19"/>
        <v>2118391.3200632031</v>
      </c>
      <c r="O67" s="76">
        <f t="shared" si="19"/>
        <v>2294923.9300684715</v>
      </c>
      <c r="P67" s="76">
        <f t="shared" si="19"/>
        <v>2471456.5400737403</v>
      </c>
      <c r="Q67" s="76">
        <f t="shared" si="19"/>
        <v>2647989.1500790091</v>
      </c>
      <c r="R67" s="76">
        <f t="shared" si="19"/>
        <v>2824521.7600842793</v>
      </c>
      <c r="S67" s="76">
        <f t="shared" si="19"/>
        <v>3001054.3700895486</v>
      </c>
      <c r="T67" s="76">
        <f t="shared" si="19"/>
        <v>3177586.9800948203</v>
      </c>
      <c r="U67" s="76">
        <f t="shared" si="19"/>
        <v>3354119.5901000919</v>
      </c>
      <c r="V67" s="76">
        <f t="shared" si="19"/>
        <v>3530652.2001053644</v>
      </c>
      <c r="W67" s="76">
        <f t="shared" si="19"/>
        <v>3707184.8101106361</v>
      </c>
      <c r="X67" s="76">
        <f t="shared" si="19"/>
        <v>3883717.4201159086</v>
      </c>
      <c r="Y67" s="76">
        <f t="shared" si="19"/>
        <v>4060250.030121183</v>
      </c>
      <c r="Z67" s="76">
        <f t="shared" si="19"/>
        <v>4236782.6401264556</v>
      </c>
      <c r="AA67" s="76">
        <f t="shared" si="19"/>
        <v>4413315.2501317309</v>
      </c>
      <c r="AB67" s="76">
        <f t="shared" si="19"/>
        <v>4589847.8601370053</v>
      </c>
      <c r="AC67" s="76">
        <f t="shared" si="19"/>
        <v>4766380.4701422825</v>
      </c>
      <c r="AD67" s="76">
        <f t="shared" si="19"/>
        <v>4942913.0801475588</v>
      </c>
      <c r="AE67" s="76">
        <f t="shared" si="19"/>
        <v>5119445.6901528351</v>
      </c>
      <c r="AF67" s="76">
        <f t="shared" si="19"/>
        <v>5295978.3001581123</v>
      </c>
      <c r="AG67" s="76">
        <f t="shared" si="19"/>
        <v>5472510.9101633895</v>
      </c>
      <c r="AH67" s="76">
        <f t="shared" si="19"/>
        <v>5649043.5201686677</v>
      </c>
      <c r="AI67" s="76">
        <f t="shared" si="19"/>
        <v>5825576.1301739467</v>
      </c>
      <c r="AJ67" s="76">
        <f t="shared" si="19"/>
        <v>6002108.7401792258</v>
      </c>
      <c r="AK67" s="76">
        <f t="shared" si="19"/>
        <v>6178641.3501845058</v>
      </c>
      <c r="AL67" s="76">
        <f t="shared" si="19"/>
        <v>6355173.9601897867</v>
      </c>
      <c r="AM67" s="76">
        <f t="shared" si="19"/>
        <v>6531706.5701950677</v>
      </c>
    </row>
    <row r="68" spans="1:39" outlineLevel="1" x14ac:dyDescent="0.25">
      <c r="A68" t="s">
        <v>186</v>
      </c>
      <c r="B68" s="60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61"/>
      <c r="N68" s="54"/>
      <c r="O68" s="54"/>
      <c r="P68" s="54"/>
      <c r="Q68" s="54"/>
      <c r="R68" s="54"/>
      <c r="S68" s="55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61"/>
      <c r="AF68" s="61"/>
      <c r="AG68" s="61"/>
      <c r="AH68" s="61"/>
      <c r="AI68" s="61"/>
      <c r="AJ68" s="61"/>
      <c r="AK68" s="61"/>
      <c r="AL68" s="54"/>
      <c r="AM68" s="116">
        <f>AM70/AM72</f>
        <v>0.28552262525510408</v>
      </c>
    </row>
    <row r="69" spans="1:39" outlineLevel="1" x14ac:dyDescent="0.25">
      <c r="A69" t="s">
        <v>30</v>
      </c>
      <c r="B69" s="13">
        <v>20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 outlineLevel="1" x14ac:dyDescent="0.25">
      <c r="A70" t="s">
        <v>107</v>
      </c>
      <c r="B70" s="13">
        <f t="shared" ref="B70:AK70" si="20">$AM$68*B72</f>
        <v>64.242590682398415</v>
      </c>
      <c r="C70" s="13">
        <f t="shared" si="20"/>
        <v>71.591968669744915</v>
      </c>
      <c r="D70" s="13">
        <f t="shared" si="20"/>
        <v>78.890722983368093</v>
      </c>
      <c r="E70" s="13">
        <f t="shared" si="20"/>
        <v>85.978247146561927</v>
      </c>
      <c r="F70" s="13">
        <f t="shared" si="20"/>
        <v>92.85454115932643</v>
      </c>
      <c r="G70" s="13">
        <f t="shared" si="20"/>
        <v>99.519605021661604</v>
      </c>
      <c r="H70" s="13">
        <f t="shared" si="20"/>
        <v>105.97343873356748</v>
      </c>
      <c r="I70" s="13">
        <f t="shared" si="20"/>
        <v>112.21604229504405</v>
      </c>
      <c r="J70" s="13">
        <f t="shared" si="20"/>
        <v>118.24741570609126</v>
      </c>
      <c r="K70" s="13">
        <f t="shared" si="20"/>
        <v>124.06755896670919</v>
      </c>
      <c r="L70" s="13">
        <f t="shared" si="20"/>
        <v>129.67647207689777</v>
      </c>
      <c r="M70" s="13">
        <f t="shared" si="20"/>
        <v>135.07415503665706</v>
      </c>
      <c r="N70" s="13">
        <f t="shared" si="20"/>
        <v>140.26060784598701</v>
      </c>
      <c r="O70" s="13">
        <f t="shared" si="20"/>
        <v>145.23583050488764</v>
      </c>
      <c r="P70" s="13">
        <f t="shared" si="20"/>
        <v>149.99982301335896</v>
      </c>
      <c r="Q70" s="13">
        <f t="shared" si="20"/>
        <v>154.55258537140099</v>
      </c>
      <c r="R70" s="13">
        <f t="shared" si="20"/>
        <v>158.89411757901371</v>
      </c>
      <c r="S70" s="13">
        <f t="shared" si="20"/>
        <v>163.02441963619705</v>
      </c>
      <c r="T70" s="13">
        <f t="shared" si="20"/>
        <v>166.97517606551554</v>
      </c>
      <c r="U70" s="13">
        <f t="shared" si="20"/>
        <v>170.74638686696906</v>
      </c>
      <c r="V70" s="13">
        <f t="shared" si="20"/>
        <v>171.28652898314377</v>
      </c>
      <c r="W70" s="13">
        <f t="shared" si="20"/>
        <v>171.72502894748047</v>
      </c>
      <c r="X70" s="13">
        <f t="shared" si="20"/>
        <v>172.06920329875194</v>
      </c>
      <c r="Y70" s="13">
        <f t="shared" si="20"/>
        <v>172.31905203695825</v>
      </c>
      <c r="Z70" s="13">
        <f t="shared" si="20"/>
        <v>172.47457516209931</v>
      </c>
      <c r="AA70" s="13">
        <f t="shared" si="20"/>
        <v>172.53577267417521</v>
      </c>
      <c r="AB70" s="13">
        <f t="shared" si="20"/>
        <v>172.50264457318593</v>
      </c>
      <c r="AC70" s="13">
        <f t="shared" si="20"/>
        <v>172.37519085913146</v>
      </c>
      <c r="AD70" s="13">
        <f t="shared" si="20"/>
        <v>172.15341153201177</v>
      </c>
      <c r="AE70" s="13">
        <f t="shared" si="20"/>
        <v>171.83730659182689</v>
      </c>
      <c r="AF70" s="13">
        <f t="shared" si="20"/>
        <v>171.42687603857681</v>
      </c>
      <c r="AG70" s="13">
        <f t="shared" si="20"/>
        <v>170.92211987226153</v>
      </c>
      <c r="AH70" s="13">
        <f t="shared" si="20"/>
        <v>170.32303809288109</v>
      </c>
      <c r="AI70" s="13">
        <f t="shared" si="20"/>
        <v>169.6296307004354</v>
      </c>
      <c r="AJ70" s="13">
        <f t="shared" si="20"/>
        <v>168.84189769492448</v>
      </c>
      <c r="AK70" s="13">
        <f t="shared" si="20"/>
        <v>167.95983907634843</v>
      </c>
      <c r="AL70" s="13">
        <f>$AM$68*AL72</f>
        <v>166.98345484470715</v>
      </c>
      <c r="AM70" s="13">
        <f>LCOE!AS5*1000*'Capacités installées'!B25/1000000</f>
        <v>165.91274500000071</v>
      </c>
    </row>
    <row r="71" spans="1:39" outlineLevel="1" x14ac:dyDescent="0.25">
      <c r="A71" t="s">
        <v>111</v>
      </c>
      <c r="B71" s="53">
        <f>B72-B70</f>
        <v>160.75740931760157</v>
      </c>
      <c r="C71" s="53">
        <f t="shared" ref="C71:AM71" si="21">C72-C70</f>
        <v>179.14812103691179</v>
      </c>
      <c r="D71" s="53">
        <f t="shared" si="21"/>
        <v>197.41215463581216</v>
      </c>
      <c r="E71" s="53">
        <f t="shared" si="21"/>
        <v>215.14761659100876</v>
      </c>
      <c r="F71" s="53">
        <f t="shared" si="21"/>
        <v>232.35450690250153</v>
      </c>
      <c r="G71" s="53">
        <f t="shared" si="21"/>
        <v>249.03282557029047</v>
      </c>
      <c r="H71" s="53">
        <f t="shared" si="21"/>
        <v>265.18257259437564</v>
      </c>
      <c r="I71" s="53">
        <f t="shared" si="21"/>
        <v>280.80374797475713</v>
      </c>
      <c r="J71" s="53">
        <f t="shared" si="21"/>
        <v>295.89635171143476</v>
      </c>
      <c r="K71" s="53">
        <f t="shared" si="21"/>
        <v>310.46038380440859</v>
      </c>
      <c r="L71" s="53">
        <f t="shared" si="21"/>
        <v>324.49584425367868</v>
      </c>
      <c r="M71" s="53">
        <f t="shared" si="21"/>
        <v>338.00273305924497</v>
      </c>
      <c r="N71" s="53">
        <f t="shared" si="21"/>
        <v>350.98105022110752</v>
      </c>
      <c r="O71" s="53">
        <f t="shared" si="21"/>
        <v>363.43079573926627</v>
      </c>
      <c r="P71" s="53">
        <f t="shared" si="21"/>
        <v>375.35196961372117</v>
      </c>
      <c r="Q71" s="53">
        <f t="shared" si="21"/>
        <v>386.74457184447243</v>
      </c>
      <c r="R71" s="53">
        <f t="shared" si="21"/>
        <v>397.6086024315199</v>
      </c>
      <c r="S71" s="53">
        <f t="shared" si="21"/>
        <v>407.94406137486351</v>
      </c>
      <c r="T71" s="53">
        <f t="shared" si="21"/>
        <v>417.83023442105906</v>
      </c>
      <c r="U71" s="53">
        <f t="shared" si="21"/>
        <v>427.26712157010627</v>
      </c>
      <c r="V71" s="53">
        <f t="shared" si="21"/>
        <v>428.61874587941918</v>
      </c>
      <c r="W71" s="53">
        <f t="shared" si="21"/>
        <v>429.7160260093741</v>
      </c>
      <c r="X71" s="53">
        <f t="shared" si="21"/>
        <v>430.57727049650111</v>
      </c>
      <c r="Y71" s="53">
        <f t="shared" si="21"/>
        <v>431.2024793408001</v>
      </c>
      <c r="Z71" s="53">
        <f t="shared" si="21"/>
        <v>431.59165254227105</v>
      </c>
      <c r="AA71" s="53">
        <f t="shared" si="21"/>
        <v>431.74479010091409</v>
      </c>
      <c r="AB71" s="53">
        <f t="shared" si="21"/>
        <v>431.66189201672915</v>
      </c>
      <c r="AC71" s="53">
        <f t="shared" si="21"/>
        <v>431.34295828971625</v>
      </c>
      <c r="AD71" s="53">
        <f t="shared" si="21"/>
        <v>430.78798891987526</v>
      </c>
      <c r="AE71" s="53">
        <f t="shared" si="21"/>
        <v>429.9969839072063</v>
      </c>
      <c r="AF71" s="53">
        <f t="shared" si="21"/>
        <v>428.96994325170931</v>
      </c>
      <c r="AG71" s="53">
        <f t="shared" si="21"/>
        <v>427.70686695338441</v>
      </c>
      <c r="AH71" s="53">
        <f t="shared" si="21"/>
        <v>426.20775501223147</v>
      </c>
      <c r="AI71" s="53">
        <f t="shared" si="21"/>
        <v>424.47260742825051</v>
      </c>
      <c r="AJ71" s="53">
        <f t="shared" si="21"/>
        <v>422.50142420144152</v>
      </c>
      <c r="AK71" s="53">
        <f t="shared" si="21"/>
        <v>420.29420533180462</v>
      </c>
      <c r="AL71" s="53">
        <f t="shared" si="21"/>
        <v>417.85095081933969</v>
      </c>
      <c r="AM71" s="53">
        <f t="shared" si="21"/>
        <v>415.17166066404678</v>
      </c>
    </row>
    <row r="72" spans="1:39" outlineLevel="1" x14ac:dyDescent="0.25">
      <c r="A72" t="s">
        <v>184</v>
      </c>
      <c r="B72" s="123">
        <v>225</v>
      </c>
      <c r="C72" s="123">
        <v>250.7400897066567</v>
      </c>
      <c r="D72" s="123">
        <v>276.30287761918026</v>
      </c>
      <c r="E72" s="123">
        <v>301.12586373757068</v>
      </c>
      <c r="F72" s="123">
        <v>325.20904806182796</v>
      </c>
      <c r="G72" s="123">
        <v>348.55243059195209</v>
      </c>
      <c r="H72" s="123">
        <v>371.15601132794313</v>
      </c>
      <c r="I72" s="123">
        <v>393.01979026980121</v>
      </c>
      <c r="J72" s="123">
        <v>414.14376741752602</v>
      </c>
      <c r="K72" s="123">
        <v>434.52794277111781</v>
      </c>
      <c r="L72" s="123">
        <v>454.17231633057645</v>
      </c>
      <c r="M72" s="123">
        <v>473.07688809590206</v>
      </c>
      <c r="N72" s="123">
        <v>491.24165806709453</v>
      </c>
      <c r="O72" s="123">
        <v>508.66662624415392</v>
      </c>
      <c r="P72" s="123">
        <v>525.35179262708016</v>
      </c>
      <c r="Q72" s="123">
        <v>541.29715721587343</v>
      </c>
      <c r="R72" s="123">
        <v>556.50272001053361</v>
      </c>
      <c r="S72" s="123">
        <v>570.96848101106059</v>
      </c>
      <c r="T72" s="123">
        <v>584.8054104865746</v>
      </c>
      <c r="U72" s="123">
        <v>598.0135084370753</v>
      </c>
      <c r="V72" s="123">
        <v>599.90527486256292</v>
      </c>
      <c r="W72" s="123">
        <v>601.4410549568546</v>
      </c>
      <c r="X72" s="123">
        <v>602.64647379525309</v>
      </c>
      <c r="Y72" s="123">
        <v>603.52153137775838</v>
      </c>
      <c r="Z72" s="123">
        <v>604.06622770437036</v>
      </c>
      <c r="AA72" s="123">
        <v>604.28056277508927</v>
      </c>
      <c r="AB72" s="123">
        <v>604.16453658991509</v>
      </c>
      <c r="AC72" s="123">
        <v>603.71814914884771</v>
      </c>
      <c r="AD72" s="123">
        <v>602.94140045188703</v>
      </c>
      <c r="AE72" s="123">
        <v>601.83429049903316</v>
      </c>
      <c r="AF72" s="123">
        <v>600.39681929028609</v>
      </c>
      <c r="AG72" s="123">
        <v>598.62898682564594</v>
      </c>
      <c r="AH72" s="123">
        <v>596.53079310511259</v>
      </c>
      <c r="AI72" s="123">
        <v>594.10223812868594</v>
      </c>
      <c r="AJ72" s="123">
        <v>591.34332189636598</v>
      </c>
      <c r="AK72" s="123">
        <v>588.25404440815305</v>
      </c>
      <c r="AL72" s="123">
        <v>584.83440566404681</v>
      </c>
      <c r="AM72" s="123">
        <v>581.08440566404749</v>
      </c>
    </row>
    <row r="74" spans="1:39" ht="23.25" x14ac:dyDescent="0.25">
      <c r="A74" s="74" t="s">
        <v>128</v>
      </c>
    </row>
    <row r="76" spans="1:39" outlineLevel="1" x14ac:dyDescent="0.25">
      <c r="A76" s="3" t="s">
        <v>170</v>
      </c>
      <c r="B76" s="59">
        <v>2013</v>
      </c>
      <c r="C76" s="59">
        <v>2014</v>
      </c>
      <c r="D76" s="59">
        <v>2015</v>
      </c>
      <c r="E76" s="59">
        <v>2016</v>
      </c>
      <c r="F76" s="59">
        <v>2017</v>
      </c>
      <c r="G76" s="59">
        <v>2018</v>
      </c>
      <c r="H76" s="59">
        <v>2019</v>
      </c>
      <c r="I76" s="59">
        <v>2020</v>
      </c>
      <c r="J76" s="59">
        <v>2021</v>
      </c>
      <c r="K76" s="59">
        <v>2022</v>
      </c>
      <c r="L76" s="59">
        <v>2023</v>
      </c>
      <c r="M76" s="59">
        <v>2024</v>
      </c>
      <c r="N76" s="59">
        <v>2025</v>
      </c>
      <c r="O76" s="59">
        <v>2026</v>
      </c>
      <c r="P76" s="59">
        <v>2027</v>
      </c>
      <c r="Q76" s="59">
        <v>2028</v>
      </c>
      <c r="R76" s="59">
        <v>2029</v>
      </c>
      <c r="S76" s="59">
        <v>2030</v>
      </c>
      <c r="T76" s="59">
        <v>2031</v>
      </c>
      <c r="U76" s="59">
        <v>2032</v>
      </c>
      <c r="V76" s="59">
        <v>2033</v>
      </c>
      <c r="W76" s="59">
        <v>2034</v>
      </c>
      <c r="X76" s="59">
        <v>2035</v>
      </c>
      <c r="Y76" s="59">
        <v>2036</v>
      </c>
      <c r="Z76" s="59">
        <v>2037</v>
      </c>
      <c r="AA76" s="59">
        <v>2038</v>
      </c>
      <c r="AB76" s="59">
        <v>2039</v>
      </c>
      <c r="AC76" s="59">
        <v>2040</v>
      </c>
      <c r="AD76" s="59">
        <v>2041</v>
      </c>
      <c r="AE76" s="59">
        <v>2042</v>
      </c>
      <c r="AF76" s="59">
        <v>2043</v>
      </c>
      <c r="AG76" s="59">
        <v>2044</v>
      </c>
      <c r="AH76" s="59">
        <v>2045</v>
      </c>
      <c r="AI76" s="59">
        <v>2046</v>
      </c>
      <c r="AJ76" s="59">
        <v>2047</v>
      </c>
      <c r="AK76" s="59">
        <v>2048</v>
      </c>
      <c r="AL76" s="59">
        <v>2049</v>
      </c>
      <c r="AM76" s="59">
        <v>2050</v>
      </c>
    </row>
    <row r="77" spans="1:39" outlineLevel="1" x14ac:dyDescent="0.25">
      <c r="A77" t="s">
        <v>169</v>
      </c>
      <c r="B77" s="61">
        <f>'Linéarisation mix'!B12*1000000</f>
        <v>418680</v>
      </c>
      <c r="C77" s="61">
        <f>'Linéarisation mix'!C12*1000000</f>
        <v>420442.68257898244</v>
      </c>
      <c r="D77" s="61">
        <f>'Linéarisation mix'!D12*1000000</f>
        <v>422205.36515796493</v>
      </c>
      <c r="E77" s="61">
        <f>'Linéarisation mix'!E12*1000000</f>
        <v>423968.04773694748</v>
      </c>
      <c r="F77" s="61">
        <f>'Linéarisation mix'!F12*1000000</f>
        <v>425730.73031592998</v>
      </c>
      <c r="G77" s="61">
        <f>'Linéarisation mix'!G12*1000000</f>
        <v>427493.41289491259</v>
      </c>
      <c r="H77" s="61">
        <f>'Linéarisation mix'!H12*1000000</f>
        <v>429256.09547389526</v>
      </c>
      <c r="I77" s="61">
        <f>'Linéarisation mix'!I12*1000000</f>
        <v>431018.77805287793</v>
      </c>
      <c r="J77" s="61">
        <f>'Linéarisation mix'!J12*1000000</f>
        <v>432781.46063186065</v>
      </c>
      <c r="K77" s="61">
        <f>'Linéarisation mix'!K12*1000000</f>
        <v>434544.14321084338</v>
      </c>
      <c r="L77" s="61">
        <f>'Linéarisation mix'!L12*1000000</f>
        <v>436306.82578982617</v>
      </c>
      <c r="M77" s="61">
        <f>'Linéarisation mix'!M12*1000000</f>
        <v>438069.50836880895</v>
      </c>
      <c r="N77" s="61">
        <f>'Linéarisation mix'!N12*1000000</f>
        <v>439832.19094779179</v>
      </c>
      <c r="O77" s="61">
        <f>'Linéarisation mix'!O12*1000000</f>
        <v>441594.8735267747</v>
      </c>
      <c r="P77" s="61">
        <f>'Linéarisation mix'!P12*1000000</f>
        <v>443357.55610575754</v>
      </c>
      <c r="Q77" s="61">
        <f>'Linéarisation mix'!Q12*1000000</f>
        <v>445120.2386847405</v>
      </c>
      <c r="R77" s="61">
        <f>'Linéarisation mix'!R12*1000000</f>
        <v>446882.92126372346</v>
      </c>
      <c r="S77" s="61">
        <f>'Linéarisation mix'!S12*1000000</f>
        <v>448645.60384270648</v>
      </c>
      <c r="T77" s="61">
        <f>'Linéarisation mix'!T12*1000000</f>
        <v>450408.2864216895</v>
      </c>
      <c r="U77" s="61">
        <f>'Linéarisation mix'!U12*1000000</f>
        <v>452170.96900067263</v>
      </c>
      <c r="V77" s="61">
        <f>'Linéarisation mix'!V12*1000000</f>
        <v>453933.65157965571</v>
      </c>
      <c r="W77" s="61">
        <f>'Linéarisation mix'!W12*1000000</f>
        <v>455696.33415863884</v>
      </c>
      <c r="X77" s="61">
        <f>'Linéarisation mix'!X12*1000000</f>
        <v>457459.01673762209</v>
      </c>
      <c r="Y77" s="61">
        <f>'Linéarisation mix'!Y12*1000000</f>
        <v>459221.69931660529</v>
      </c>
      <c r="Z77" s="61">
        <f>'Linéarisation mix'!Z12*1000000</f>
        <v>460984.38189558854</v>
      </c>
      <c r="AA77" s="61">
        <f>'Linéarisation mix'!AA12*1000000</f>
        <v>462747.06447457185</v>
      </c>
      <c r="AB77" s="61">
        <f>'Linéarisation mix'!AB12*1000000</f>
        <v>464509.74705355521</v>
      </c>
      <c r="AC77" s="61">
        <f>'Linéarisation mix'!AC12*1000000</f>
        <v>466272.42963253858</v>
      </c>
      <c r="AD77" s="61">
        <f>'Linéarisation mix'!AD12*1000000</f>
        <v>468035.11221152201</v>
      </c>
      <c r="AE77" s="61">
        <f>'Linéarisation mix'!AE12*1000000</f>
        <v>469797.79479050543</v>
      </c>
      <c r="AF77" s="61">
        <f>'Linéarisation mix'!AF12*1000000</f>
        <v>471560.47736948892</v>
      </c>
      <c r="AG77" s="61">
        <f>'Linéarisation mix'!AG12*1000000</f>
        <v>473323.15994847246</v>
      </c>
      <c r="AH77" s="61">
        <f>'Linéarisation mix'!AH12*1000000</f>
        <v>475085.842527456</v>
      </c>
      <c r="AI77" s="61">
        <f>'Linéarisation mix'!AI12*1000000</f>
        <v>476848.5251064396</v>
      </c>
      <c r="AJ77" s="61">
        <f>'Linéarisation mix'!AJ12*1000000</f>
        <v>478611.20768542326</v>
      </c>
      <c r="AK77" s="61">
        <f>'Linéarisation mix'!AK12*1000000</f>
        <v>480373.89026440692</v>
      </c>
      <c r="AL77" s="61">
        <f>'Linéarisation mix'!AL12*1000000</f>
        <v>482136.57284339063</v>
      </c>
      <c r="AM77" s="61">
        <f>'Linéarisation mix'!AM12*1000000</f>
        <v>483899.25542237441</v>
      </c>
    </row>
    <row r="78" spans="1:39" outlineLevel="1" x14ac:dyDescent="0.25">
      <c r="A78" t="s">
        <v>183</v>
      </c>
      <c r="B78" s="72">
        <f>LCOE!B16</f>
        <v>201.20834630956088</v>
      </c>
      <c r="C78" s="72">
        <f>LCOE!C16</f>
        <v>198.78432593841023</v>
      </c>
      <c r="D78" s="72">
        <f>LCOE!D16</f>
        <v>196.36030556725959</v>
      </c>
      <c r="E78" s="72">
        <f>LCOE!E16</f>
        <v>193.93628519610894</v>
      </c>
      <c r="F78" s="72">
        <f>LCOE!F16</f>
        <v>191.51226482495829</v>
      </c>
      <c r="G78" s="72">
        <f>LCOE!G16</f>
        <v>189.08824445380765</v>
      </c>
      <c r="H78" s="72">
        <f>LCOE!H16</f>
        <v>186.664224082657</v>
      </c>
      <c r="I78" s="72">
        <f>LCOE!I16</f>
        <v>184.24020371150635</v>
      </c>
      <c r="J78" s="72">
        <f>LCOE!J16</f>
        <v>181.81618334035571</v>
      </c>
      <c r="K78" s="72">
        <f>LCOE!K16</f>
        <v>179.39216296920506</v>
      </c>
      <c r="L78" s="72">
        <f>LCOE!L16</f>
        <v>176.96814259805441</v>
      </c>
      <c r="M78" s="72">
        <f>LCOE!M16</f>
        <v>174.54412222690377</v>
      </c>
      <c r="N78" s="72">
        <f>LCOE!N16</f>
        <v>172.12010185575312</v>
      </c>
      <c r="O78" s="72">
        <f>LCOE!O16</f>
        <v>169.69608148460247</v>
      </c>
      <c r="P78" s="72">
        <f>LCOE!P16</f>
        <v>167.27206111345183</v>
      </c>
      <c r="Q78" s="72">
        <f>LCOE!Q16</f>
        <v>164.84804074230118</v>
      </c>
      <c r="R78" s="72">
        <f>LCOE!R16</f>
        <v>162.42402037115053</v>
      </c>
      <c r="S78" s="72">
        <f>LCOE!S16</f>
        <v>160</v>
      </c>
      <c r="T78" s="72">
        <f>LCOE!T16</f>
        <v>160</v>
      </c>
      <c r="U78" s="72">
        <f>LCOE!U16</f>
        <v>160</v>
      </c>
      <c r="V78" s="72">
        <f>LCOE!V16</f>
        <v>160</v>
      </c>
      <c r="W78" s="72">
        <f>LCOE!W16</f>
        <v>160</v>
      </c>
      <c r="X78" s="72">
        <f>LCOE!X16</f>
        <v>160</v>
      </c>
      <c r="Y78" s="72">
        <f>LCOE!Y16</f>
        <v>160</v>
      </c>
      <c r="Z78" s="72">
        <f>LCOE!Z16</f>
        <v>160</v>
      </c>
      <c r="AA78" s="72">
        <f>LCOE!AA16</f>
        <v>160</v>
      </c>
      <c r="AB78" s="72">
        <f>LCOE!AB16</f>
        <v>160</v>
      </c>
      <c r="AC78" s="72">
        <f>LCOE!AC16</f>
        <v>160</v>
      </c>
      <c r="AD78" s="72">
        <f>LCOE!AD16</f>
        <v>160</v>
      </c>
      <c r="AE78" s="72">
        <f>LCOE!AE16</f>
        <v>160</v>
      </c>
      <c r="AF78" s="72">
        <f>LCOE!AF16</f>
        <v>160</v>
      </c>
      <c r="AG78" s="72">
        <f>LCOE!AG16</f>
        <v>160</v>
      </c>
      <c r="AH78" s="72">
        <f>LCOE!AH16</f>
        <v>160</v>
      </c>
      <c r="AI78" s="72">
        <f>LCOE!AI16</f>
        <v>160</v>
      </c>
      <c r="AJ78" s="72">
        <f>LCOE!AJ16</f>
        <v>160</v>
      </c>
      <c r="AK78" s="72">
        <f>LCOE!AK16</f>
        <v>160</v>
      </c>
      <c r="AL78" s="72">
        <f>LCOE!AL16</f>
        <v>160</v>
      </c>
      <c r="AM78" s="72">
        <f>LCOE!AM16</f>
        <v>160</v>
      </c>
    </row>
    <row r="79" spans="1:39" outlineLevel="1" x14ac:dyDescent="0.25">
      <c r="A79" t="s">
        <v>127</v>
      </c>
      <c r="B79" s="60">
        <v>0</v>
      </c>
      <c r="C79" s="76">
        <f t="shared" ref="C79:AM79" si="22">B79+C77-B77</f>
        <v>1762.6825789824361</v>
      </c>
      <c r="D79" s="76">
        <f t="shared" si="22"/>
        <v>3525.3651579649304</v>
      </c>
      <c r="E79" s="76">
        <f t="shared" si="22"/>
        <v>5288.0477369474829</v>
      </c>
      <c r="F79" s="76">
        <f t="shared" si="22"/>
        <v>7050.7303159299772</v>
      </c>
      <c r="G79" s="76">
        <f t="shared" si="22"/>
        <v>8813.4128949125879</v>
      </c>
      <c r="H79" s="76">
        <f t="shared" si="22"/>
        <v>10576.095473895257</v>
      </c>
      <c r="I79" s="76">
        <f t="shared" si="22"/>
        <v>12338.778052877926</v>
      </c>
      <c r="J79" s="76">
        <f t="shared" si="22"/>
        <v>14101.460631860653</v>
      </c>
      <c r="K79" s="76">
        <f t="shared" si="22"/>
        <v>15864.14321084338</v>
      </c>
      <c r="L79" s="76">
        <f t="shared" si="22"/>
        <v>17626.825789826165</v>
      </c>
      <c r="M79" s="76">
        <f t="shared" si="22"/>
        <v>19389.508368808951</v>
      </c>
      <c r="N79" s="76">
        <f t="shared" si="22"/>
        <v>21152.190947791794</v>
      </c>
      <c r="O79" s="76">
        <f t="shared" si="22"/>
        <v>22914.873526774696</v>
      </c>
      <c r="P79" s="76">
        <f t="shared" si="22"/>
        <v>24677.55610575754</v>
      </c>
      <c r="Q79" s="76">
        <f t="shared" si="22"/>
        <v>26440.2386847405</v>
      </c>
      <c r="R79" s="76">
        <f t="shared" si="22"/>
        <v>28202.92126372346</v>
      </c>
      <c r="S79" s="76">
        <f t="shared" si="22"/>
        <v>29965.603842706478</v>
      </c>
      <c r="T79" s="76">
        <f t="shared" si="22"/>
        <v>31728.286421689496</v>
      </c>
      <c r="U79" s="76">
        <f t="shared" si="22"/>
        <v>33490.969000672631</v>
      </c>
      <c r="V79" s="76">
        <f t="shared" si="22"/>
        <v>35253.651579655707</v>
      </c>
      <c r="W79" s="76">
        <f t="shared" si="22"/>
        <v>37016.334158638841</v>
      </c>
      <c r="X79" s="76">
        <f t="shared" si="22"/>
        <v>38779.016737622092</v>
      </c>
      <c r="Y79" s="76">
        <f t="shared" si="22"/>
        <v>40541.699316605285</v>
      </c>
      <c r="Z79" s="76">
        <f t="shared" si="22"/>
        <v>42304.381895588536</v>
      </c>
      <c r="AA79" s="76">
        <f t="shared" si="22"/>
        <v>44067.064474571845</v>
      </c>
      <c r="AB79" s="76">
        <f t="shared" si="22"/>
        <v>45829.747053555213</v>
      </c>
      <c r="AC79" s="76">
        <f t="shared" si="22"/>
        <v>47592.42963253858</v>
      </c>
      <c r="AD79" s="76">
        <f t="shared" si="22"/>
        <v>49355.112211522006</v>
      </c>
      <c r="AE79" s="76">
        <f t="shared" si="22"/>
        <v>51117.794790505432</v>
      </c>
      <c r="AF79" s="76">
        <f t="shared" si="22"/>
        <v>52880.477369488915</v>
      </c>
      <c r="AG79" s="76">
        <f t="shared" si="22"/>
        <v>54643.159948472399</v>
      </c>
      <c r="AH79" s="76">
        <f t="shared" si="22"/>
        <v>56405.842527455941</v>
      </c>
      <c r="AI79" s="76">
        <f t="shared" si="22"/>
        <v>58168.525106439483</v>
      </c>
      <c r="AJ79" s="76">
        <f t="shared" si="22"/>
        <v>59931.207685423084</v>
      </c>
      <c r="AK79" s="76">
        <f t="shared" si="22"/>
        <v>61693.890264406742</v>
      </c>
      <c r="AL79" s="76">
        <f t="shared" si="22"/>
        <v>63456.572843390401</v>
      </c>
      <c r="AM79" s="76">
        <f t="shared" si="22"/>
        <v>65219.255422374117</v>
      </c>
    </row>
    <row r="80" spans="1:39" outlineLevel="1" x14ac:dyDescent="0.25">
      <c r="A80" t="s">
        <v>186</v>
      </c>
      <c r="B80" s="60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61"/>
      <c r="N80" s="54"/>
      <c r="O80" s="54"/>
      <c r="P80" s="54"/>
      <c r="Q80" s="54"/>
      <c r="R80" s="54"/>
      <c r="S80" s="55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61"/>
      <c r="AF80" s="61"/>
      <c r="AG80" s="61"/>
      <c r="AH80" s="61"/>
      <c r="AI80" s="61"/>
      <c r="AJ80" s="61"/>
      <c r="AK80" s="61"/>
      <c r="AL80" s="54"/>
      <c r="AM80" s="116">
        <f>AM82/AM84</f>
        <v>0.38925371294494138</v>
      </c>
    </row>
    <row r="81" spans="1:39" outlineLevel="1" x14ac:dyDescent="0.25">
      <c r="A81" t="s">
        <v>30</v>
      </c>
      <c r="B81" s="13">
        <v>30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 outlineLevel="1" x14ac:dyDescent="0.25">
      <c r="A82" t="s">
        <v>107</v>
      </c>
      <c r="B82" s="53">
        <f t="shared" ref="B82:AK82" si="23">$AM$80*B84</f>
        <v>32.791476421576434</v>
      </c>
      <c r="C82" s="53">
        <f t="shared" si="23"/>
        <v>32.914700149533864</v>
      </c>
      <c r="D82" s="53">
        <f t="shared" si="23"/>
        <v>33.023092374180393</v>
      </c>
      <c r="E82" s="53">
        <f t="shared" si="23"/>
        <v>33.116653095516021</v>
      </c>
      <c r="F82" s="53">
        <f t="shared" si="23"/>
        <v>33.19538231354074</v>
      </c>
      <c r="G82" s="53">
        <f t="shared" si="23"/>
        <v>33.259280028254565</v>
      </c>
      <c r="H82" s="53">
        <f t="shared" si="23"/>
        <v>33.308346239657482</v>
      </c>
      <c r="I82" s="53">
        <f t="shared" si="23"/>
        <v>33.342580947749497</v>
      </c>
      <c r="J82" s="53">
        <f t="shared" si="23"/>
        <v>33.36198415253061</v>
      </c>
      <c r="K82" s="53">
        <f t="shared" si="23"/>
        <v>33.366555854000822</v>
      </c>
      <c r="L82" s="53">
        <f t="shared" si="23"/>
        <v>33.356296052160125</v>
      </c>
      <c r="M82" s="53">
        <f t="shared" si="23"/>
        <v>33.331204747008535</v>
      </c>
      <c r="N82" s="53">
        <f t="shared" si="23"/>
        <v>33.291281938546035</v>
      </c>
      <c r="O82" s="53">
        <f t="shared" si="23"/>
        <v>33.236527626772634</v>
      </c>
      <c r="P82" s="53">
        <f t="shared" si="23"/>
        <v>33.166941811688325</v>
      </c>
      <c r="Q82" s="53">
        <f t="shared" si="23"/>
        <v>33.082524493293121</v>
      </c>
      <c r="R82" s="53">
        <f t="shared" si="23"/>
        <v>32.983275671587016</v>
      </c>
      <c r="S82" s="53">
        <f t="shared" si="23"/>
        <v>32.86919534657001</v>
      </c>
      <c r="T82" s="53">
        <f t="shared" si="23"/>
        <v>32.755115021552996</v>
      </c>
      <c r="U82" s="53">
        <f t="shared" si="23"/>
        <v>32.641034696535989</v>
      </c>
      <c r="V82" s="53">
        <f t="shared" si="23"/>
        <v>32.526954371518983</v>
      </c>
      <c r="W82" s="53">
        <f t="shared" si="23"/>
        <v>32.412874046501976</v>
      </c>
      <c r="X82" s="53">
        <f t="shared" si="23"/>
        <v>32.298793721484969</v>
      </c>
      <c r="Y82" s="53">
        <f t="shared" si="23"/>
        <v>32.18471339646797</v>
      </c>
      <c r="Z82" s="53">
        <f t="shared" si="23"/>
        <v>32.07063307145097</v>
      </c>
      <c r="AA82" s="53">
        <f t="shared" si="23"/>
        <v>31.956552746433971</v>
      </c>
      <c r="AB82" s="53">
        <f t="shared" si="23"/>
        <v>31.842472421416975</v>
      </c>
      <c r="AC82" s="53">
        <f t="shared" si="23"/>
        <v>31.728392096399983</v>
      </c>
      <c r="AD82" s="53">
        <f t="shared" si="23"/>
        <v>31.614311771382994</v>
      </c>
      <c r="AE82" s="53">
        <f t="shared" si="23"/>
        <v>31.500231446366001</v>
      </c>
      <c r="AF82" s="53">
        <f t="shared" si="23"/>
        <v>31.386151121348998</v>
      </c>
      <c r="AG82" s="53">
        <f t="shared" si="23"/>
        <v>31.25862798655255</v>
      </c>
      <c r="AH82" s="53">
        <f t="shared" si="23"/>
        <v>31.21177789718319</v>
      </c>
      <c r="AI82" s="53">
        <f t="shared" si="23"/>
        <v>31.179759311124737</v>
      </c>
      <c r="AJ82" s="53">
        <f t="shared" si="23"/>
        <v>31.162572228377197</v>
      </c>
      <c r="AK82" s="53">
        <f t="shared" si="23"/>
        <v>31.160216648940551</v>
      </c>
      <c r="AL82" s="53">
        <f>$AM$80*AL84</f>
        <v>31.172692572814817</v>
      </c>
      <c r="AM82" s="53">
        <f>LCOE!AS16*1000*'Capacités installées'!B12/1000000</f>
        <v>31.2</v>
      </c>
    </row>
    <row r="83" spans="1:39" outlineLevel="1" x14ac:dyDescent="0.25">
      <c r="A83" t="s">
        <v>111</v>
      </c>
      <c r="B83" s="13">
        <f>B84-B82</f>
        <v>51.450434011310506</v>
      </c>
      <c r="C83" s="13">
        <f t="shared" ref="C83:AM83" si="24">C84-C82</f>
        <v>51.6437743233597</v>
      </c>
      <c r="D83" s="13">
        <f t="shared" si="24"/>
        <v>51.813843731940707</v>
      </c>
      <c r="E83" s="13">
        <f t="shared" si="24"/>
        <v>51.960642237053513</v>
      </c>
      <c r="F83" s="13">
        <f t="shared" si="24"/>
        <v>52.084169838698109</v>
      </c>
      <c r="G83" s="13">
        <f t="shared" si="24"/>
        <v>52.184426536874525</v>
      </c>
      <c r="H83" s="13">
        <f t="shared" si="24"/>
        <v>52.261412331582747</v>
      </c>
      <c r="I83" s="13">
        <f t="shared" si="24"/>
        <v>52.315127222822767</v>
      </c>
      <c r="J83" s="13">
        <f t="shared" si="24"/>
        <v>52.345571210594599</v>
      </c>
      <c r="K83" s="13">
        <f t="shared" si="24"/>
        <v>52.35274429489823</v>
      </c>
      <c r="L83" s="13">
        <f t="shared" si="24"/>
        <v>52.336646475733666</v>
      </c>
      <c r="M83" s="13">
        <f t="shared" si="24"/>
        <v>52.297277753100893</v>
      </c>
      <c r="N83" s="13">
        <f t="shared" si="24"/>
        <v>52.23463812699994</v>
      </c>
      <c r="O83" s="13">
        <f t="shared" si="24"/>
        <v>52.148727597430785</v>
      </c>
      <c r="P83" s="13">
        <f t="shared" si="24"/>
        <v>52.039546164393435</v>
      </c>
      <c r="Q83" s="13">
        <f t="shared" si="24"/>
        <v>51.907093827887891</v>
      </c>
      <c r="R83" s="13">
        <f t="shared" si="24"/>
        <v>51.751370587914145</v>
      </c>
      <c r="S83" s="13">
        <f t="shared" si="24"/>
        <v>51.572376444472212</v>
      </c>
      <c r="T83" s="13">
        <f t="shared" si="24"/>
        <v>51.393382301030272</v>
      </c>
      <c r="U83" s="13">
        <f t="shared" si="24"/>
        <v>51.214388157588338</v>
      </c>
      <c r="V83" s="13">
        <f t="shared" si="24"/>
        <v>51.035394014146405</v>
      </c>
      <c r="W83" s="13">
        <f t="shared" si="24"/>
        <v>50.856399870704472</v>
      </c>
      <c r="X83" s="13">
        <f t="shared" si="24"/>
        <v>50.677405727262553</v>
      </c>
      <c r="Y83" s="13">
        <f t="shared" si="24"/>
        <v>50.498411583820626</v>
      </c>
      <c r="Z83" s="13">
        <f t="shared" si="24"/>
        <v>50.3194174403787</v>
      </c>
      <c r="AA83" s="13">
        <f t="shared" si="24"/>
        <v>50.140423296936788</v>
      </c>
      <c r="AB83" s="13">
        <f t="shared" si="24"/>
        <v>49.961429153494876</v>
      </c>
      <c r="AC83" s="13">
        <f t="shared" si="24"/>
        <v>49.782435010052964</v>
      </c>
      <c r="AD83" s="13">
        <f t="shared" si="24"/>
        <v>49.603440866611059</v>
      </c>
      <c r="AE83" s="13">
        <f t="shared" si="24"/>
        <v>49.424446723169154</v>
      </c>
      <c r="AF83" s="13">
        <f t="shared" si="24"/>
        <v>49.245452579727228</v>
      </c>
      <c r="AG83" s="13">
        <f t="shared" si="24"/>
        <v>49.045366418695366</v>
      </c>
      <c r="AH83" s="13">
        <f t="shared" si="24"/>
        <v>48.971857760514418</v>
      </c>
      <c r="AI83" s="13">
        <f t="shared" si="24"/>
        <v>48.921620005801671</v>
      </c>
      <c r="AJ83" s="13">
        <f t="shared" si="24"/>
        <v>48.894653154557133</v>
      </c>
      <c r="AK83" s="13">
        <f t="shared" si="24"/>
        <v>48.890957206780797</v>
      </c>
      <c r="AL83" s="13">
        <f t="shared" si="24"/>
        <v>48.910532162472656</v>
      </c>
      <c r="AM83" s="13">
        <f t="shared" si="24"/>
        <v>48.95337802163273</v>
      </c>
    </row>
    <row r="84" spans="1:39" outlineLevel="1" x14ac:dyDescent="0.25">
      <c r="A84" t="s">
        <v>184</v>
      </c>
      <c r="B84" s="123">
        <v>84.241910432886939</v>
      </c>
      <c r="C84" s="123">
        <v>84.558474472893565</v>
      </c>
      <c r="D84" s="123">
        <v>84.836936106121101</v>
      </c>
      <c r="E84" s="123">
        <v>85.077295332569534</v>
      </c>
      <c r="F84" s="123">
        <v>85.27955215223885</v>
      </c>
      <c r="G84" s="123">
        <v>85.443706565129091</v>
      </c>
      <c r="H84" s="123">
        <v>85.569758571240229</v>
      </c>
      <c r="I84" s="123">
        <v>85.657708170572263</v>
      </c>
      <c r="J84" s="123">
        <v>85.707555363125209</v>
      </c>
      <c r="K84" s="123">
        <v>85.719300148899052</v>
      </c>
      <c r="L84" s="123">
        <v>85.692942527893791</v>
      </c>
      <c r="M84" s="123">
        <v>85.628482500109428</v>
      </c>
      <c r="N84" s="123">
        <v>85.525920065545975</v>
      </c>
      <c r="O84" s="123">
        <v>85.385255224203419</v>
      </c>
      <c r="P84" s="123">
        <v>85.20648797608176</v>
      </c>
      <c r="Q84" s="123">
        <v>84.989618321181013</v>
      </c>
      <c r="R84" s="123">
        <v>84.734646259501162</v>
      </c>
      <c r="S84" s="123">
        <v>84.441571791042222</v>
      </c>
      <c r="T84" s="123">
        <v>84.148497322583268</v>
      </c>
      <c r="U84" s="123">
        <v>83.855422854124328</v>
      </c>
      <c r="V84" s="123">
        <v>83.562348385665388</v>
      </c>
      <c r="W84" s="123">
        <v>83.269273917206448</v>
      </c>
      <c r="X84" s="123">
        <v>82.976199448747522</v>
      </c>
      <c r="Y84" s="123">
        <v>82.683124980288596</v>
      </c>
      <c r="Z84" s="123">
        <v>82.390050511829671</v>
      </c>
      <c r="AA84" s="123">
        <v>82.096976043370759</v>
      </c>
      <c r="AB84" s="123">
        <v>81.803901574911848</v>
      </c>
      <c r="AC84" s="123">
        <v>81.51082710645295</v>
      </c>
      <c r="AD84" s="123">
        <v>81.217752637994053</v>
      </c>
      <c r="AE84" s="123">
        <v>80.924678169535156</v>
      </c>
      <c r="AF84" s="123">
        <v>80.63160370107623</v>
      </c>
      <c r="AG84" s="123">
        <v>80.30399440524792</v>
      </c>
      <c r="AH84" s="123">
        <v>80.183635657697607</v>
      </c>
      <c r="AI84" s="123">
        <v>80.101379316926412</v>
      </c>
      <c r="AJ84" s="123">
        <v>80.057225382934334</v>
      </c>
      <c r="AK84" s="123">
        <v>80.051173855721345</v>
      </c>
      <c r="AL84" s="123">
        <v>80.083224735287473</v>
      </c>
      <c r="AM84" s="123">
        <v>80.153378021632733</v>
      </c>
    </row>
    <row r="85" spans="1:39" outlineLevel="1" x14ac:dyDescent="0.25"/>
    <row r="86" spans="1:39" ht="23.25" x14ac:dyDescent="0.25">
      <c r="A86" s="74" t="s">
        <v>18</v>
      </c>
    </row>
    <row r="88" spans="1:39" outlineLevel="1" x14ac:dyDescent="0.25">
      <c r="A88" s="3" t="s">
        <v>130</v>
      </c>
      <c r="B88" s="59">
        <v>2013</v>
      </c>
      <c r="C88" s="59">
        <v>2014</v>
      </c>
      <c r="D88" s="59">
        <v>2015</v>
      </c>
      <c r="E88" s="59">
        <v>2016</v>
      </c>
      <c r="F88" s="59">
        <v>2017</v>
      </c>
      <c r="G88" s="59">
        <v>2018</v>
      </c>
      <c r="H88" s="59">
        <v>2019</v>
      </c>
      <c r="I88" s="59">
        <v>2020</v>
      </c>
      <c r="J88" s="59">
        <v>2021</v>
      </c>
      <c r="K88" s="59">
        <v>2022</v>
      </c>
      <c r="L88" s="59">
        <v>2023</v>
      </c>
      <c r="M88" s="59">
        <v>2024</v>
      </c>
      <c r="N88" s="59">
        <v>2025</v>
      </c>
      <c r="O88" s="59">
        <v>2026</v>
      </c>
      <c r="P88" s="59">
        <v>2027</v>
      </c>
      <c r="Q88" s="59">
        <v>2028</v>
      </c>
      <c r="R88" s="59">
        <v>2029</v>
      </c>
      <c r="S88" s="59">
        <v>2030</v>
      </c>
      <c r="T88" s="59">
        <v>2031</v>
      </c>
      <c r="U88" s="59">
        <v>2032</v>
      </c>
      <c r="V88" s="59">
        <v>2033</v>
      </c>
      <c r="W88" s="59">
        <v>2034</v>
      </c>
      <c r="X88" s="59">
        <v>2035</v>
      </c>
      <c r="Y88" s="59">
        <v>2036</v>
      </c>
      <c r="Z88" s="59">
        <v>2037</v>
      </c>
      <c r="AA88" s="59">
        <v>2038</v>
      </c>
      <c r="AB88" s="59">
        <v>2039</v>
      </c>
      <c r="AC88" s="59">
        <v>2040</v>
      </c>
      <c r="AD88" s="59">
        <v>2041</v>
      </c>
      <c r="AE88" s="59">
        <v>2042</v>
      </c>
      <c r="AF88" s="59">
        <v>2043</v>
      </c>
      <c r="AG88" s="59">
        <v>2044</v>
      </c>
      <c r="AH88" s="59">
        <v>2045</v>
      </c>
      <c r="AI88" s="59">
        <v>2046</v>
      </c>
      <c r="AJ88" s="59">
        <v>2047</v>
      </c>
      <c r="AK88" s="59">
        <v>2048</v>
      </c>
      <c r="AL88" s="59">
        <v>2049</v>
      </c>
      <c r="AM88" s="59">
        <v>2050</v>
      </c>
    </row>
    <row r="89" spans="1:39" outlineLevel="1" x14ac:dyDescent="0.25">
      <c r="A89" t="s">
        <v>169</v>
      </c>
      <c r="B89" s="61">
        <f>'Linéarisation mix'!B11*1000000</f>
        <v>12025.420000000004</v>
      </c>
      <c r="C89" s="61">
        <f>'Linéarisation mix'!C11*1000000</f>
        <v>43670.678918918187</v>
      </c>
      <c r="D89" s="61">
        <f>'Linéarisation mix'!D11*1000000</f>
        <v>75315.937837836376</v>
      </c>
      <c r="E89" s="61">
        <f>'Linéarisation mix'!E11*1000000</f>
        <v>106961.19675675455</v>
      </c>
      <c r="F89" s="61">
        <f>'Linéarisation mix'!F11*1000000</f>
        <v>138606.45567567277</v>
      </c>
      <c r="G89" s="61">
        <f>'Linéarisation mix'!G11*1000000</f>
        <v>170251.71459459097</v>
      </c>
      <c r="H89" s="61">
        <f>'Linéarisation mix'!H11*1000000</f>
        <v>201896.97351350923</v>
      </c>
      <c r="I89" s="61">
        <f>'Linéarisation mix'!I11*1000000</f>
        <v>233542.2324324275</v>
      </c>
      <c r="J89" s="61">
        <f>'Linéarisation mix'!J11*1000000</f>
        <v>265187.49135134579</v>
      </c>
      <c r="K89" s="61">
        <f>'Linéarisation mix'!K11*1000000</f>
        <v>296832.75027026411</v>
      </c>
      <c r="L89" s="61">
        <f>'Linéarisation mix'!L11*1000000</f>
        <v>328478.00918918248</v>
      </c>
      <c r="M89" s="61">
        <f>'Linéarisation mix'!M11*1000000</f>
        <v>360123.26810810086</v>
      </c>
      <c r="N89" s="61">
        <f>'Linéarisation mix'!N11*1000000</f>
        <v>391768.52702701924</v>
      </c>
      <c r="O89" s="61">
        <f>'Linéarisation mix'!O11*1000000</f>
        <v>423413.78594593768</v>
      </c>
      <c r="P89" s="61">
        <f>'Linéarisation mix'!P11*1000000</f>
        <v>455059.04486485623</v>
      </c>
      <c r="Q89" s="61">
        <f>'Linéarisation mix'!Q11*1000000</f>
        <v>486704.30378377473</v>
      </c>
      <c r="R89" s="61">
        <f>'Linéarisation mix'!R11*1000000</f>
        <v>518349.56270269328</v>
      </c>
      <c r="S89" s="61">
        <f>'Linéarisation mix'!S11*1000000</f>
        <v>549994.82162161195</v>
      </c>
      <c r="T89" s="61">
        <f>'Linéarisation mix'!T11*1000000</f>
        <v>581640.08054053062</v>
      </c>
      <c r="U89" s="61">
        <f>'Linéarisation mix'!U11*1000000</f>
        <v>613285.3394594494</v>
      </c>
      <c r="V89" s="61">
        <f>'Linéarisation mix'!V11*1000000</f>
        <v>644930.59837836819</v>
      </c>
      <c r="W89" s="61">
        <f>'Linéarisation mix'!W11*1000000</f>
        <v>676575.85729728709</v>
      </c>
      <c r="X89" s="61">
        <f>'Linéarisation mix'!X11*1000000</f>
        <v>708221.11621620611</v>
      </c>
      <c r="Y89" s="61">
        <f>'Linéarisation mix'!Y11*1000000</f>
        <v>739866.37513512513</v>
      </c>
      <c r="Z89" s="61">
        <f>'Linéarisation mix'!Z11*1000000</f>
        <v>771511.63405404426</v>
      </c>
      <c r="AA89" s="61">
        <f>'Linéarisation mix'!AA11*1000000</f>
        <v>803156.8929729634</v>
      </c>
      <c r="AB89" s="61">
        <f>'Linéarisation mix'!AB11*1000000</f>
        <v>834802.15189188265</v>
      </c>
      <c r="AC89" s="61">
        <f>'Linéarisation mix'!AC11*1000000</f>
        <v>866447.41081080202</v>
      </c>
      <c r="AD89" s="61">
        <f>'Linéarisation mix'!AD11*1000000</f>
        <v>898092.6697297215</v>
      </c>
      <c r="AE89" s="61">
        <f>'Linéarisation mix'!AE11*1000000</f>
        <v>929737.92864864087</v>
      </c>
      <c r="AF89" s="61">
        <f>'Linéarisation mix'!AF11*1000000</f>
        <v>961383.18756756047</v>
      </c>
      <c r="AG89" s="61">
        <f>'Linéarisation mix'!AG11*1000000</f>
        <v>993028.44648648018</v>
      </c>
      <c r="AH89" s="61">
        <f>'Linéarisation mix'!AH11*1000000</f>
        <v>1024673.7054053998</v>
      </c>
      <c r="AI89" s="61">
        <f>'Linéarisation mix'!AI11*1000000</f>
        <v>1056318.9643243195</v>
      </c>
      <c r="AJ89" s="61">
        <f>'Linéarisation mix'!AJ11*1000000</f>
        <v>1087964.2232432396</v>
      </c>
      <c r="AK89" s="61">
        <f>'Linéarisation mix'!AK11*1000000</f>
        <v>1119609.4821621596</v>
      </c>
      <c r="AL89" s="61">
        <f>'Linéarisation mix'!AL11*1000000</f>
        <v>1151254.7410810799</v>
      </c>
      <c r="AM89" s="61">
        <f>'Linéarisation mix'!AM11*1000000</f>
        <v>1182900</v>
      </c>
    </row>
    <row r="90" spans="1:39" outlineLevel="1" x14ac:dyDescent="0.25">
      <c r="A90" t="s">
        <v>183</v>
      </c>
      <c r="B90" s="72">
        <f>LCOE!B17</f>
        <v>58</v>
      </c>
      <c r="C90" s="72">
        <f>LCOE!C17</f>
        <v>58</v>
      </c>
      <c r="D90" s="72">
        <f>LCOE!D17</f>
        <v>58</v>
      </c>
      <c r="E90" s="72">
        <f>LCOE!E17</f>
        <v>58</v>
      </c>
      <c r="F90" s="72">
        <f>LCOE!F17</f>
        <v>58</v>
      </c>
      <c r="G90" s="72">
        <f>LCOE!G17</f>
        <v>58</v>
      </c>
      <c r="H90" s="72">
        <f>LCOE!H17</f>
        <v>58</v>
      </c>
      <c r="I90" s="72">
        <f>LCOE!I17</f>
        <v>58</v>
      </c>
      <c r="J90" s="72">
        <f>LCOE!J17</f>
        <v>58</v>
      </c>
      <c r="K90" s="72">
        <f>LCOE!K17</f>
        <v>58</v>
      </c>
      <c r="L90" s="72">
        <f>LCOE!L17</f>
        <v>58</v>
      </c>
      <c r="M90" s="72">
        <f>LCOE!M17</f>
        <v>58</v>
      </c>
      <c r="N90" s="72">
        <f>LCOE!N17</f>
        <v>58</v>
      </c>
      <c r="O90" s="72">
        <f>LCOE!O17</f>
        <v>58</v>
      </c>
      <c r="P90" s="72">
        <f>LCOE!P17</f>
        <v>58</v>
      </c>
      <c r="Q90" s="72">
        <f>LCOE!Q17</f>
        <v>58</v>
      </c>
      <c r="R90" s="72">
        <f>LCOE!R17</f>
        <v>58</v>
      </c>
      <c r="S90" s="72">
        <f>LCOE!S17</f>
        <v>58</v>
      </c>
      <c r="T90" s="72">
        <f>LCOE!T17</f>
        <v>58</v>
      </c>
      <c r="U90" s="72">
        <f>LCOE!U17</f>
        <v>58</v>
      </c>
      <c r="V90" s="72">
        <f>LCOE!V17</f>
        <v>58</v>
      </c>
      <c r="W90" s="72">
        <f>LCOE!W17</f>
        <v>58</v>
      </c>
      <c r="X90" s="72">
        <f>LCOE!X17</f>
        <v>58</v>
      </c>
      <c r="Y90" s="72">
        <f>LCOE!Y17</f>
        <v>58</v>
      </c>
      <c r="Z90" s="72">
        <f>LCOE!Z17</f>
        <v>58</v>
      </c>
      <c r="AA90" s="72">
        <f>LCOE!AA17</f>
        <v>58</v>
      </c>
      <c r="AB90" s="72">
        <f>LCOE!AB17</f>
        <v>58</v>
      </c>
      <c r="AC90" s="72">
        <f>LCOE!AC17</f>
        <v>58</v>
      </c>
      <c r="AD90" s="72">
        <f>LCOE!AD17</f>
        <v>58</v>
      </c>
      <c r="AE90" s="72">
        <f>LCOE!AE17</f>
        <v>58</v>
      </c>
      <c r="AF90" s="72">
        <f>LCOE!AF17</f>
        <v>58</v>
      </c>
      <c r="AG90" s="72">
        <f>LCOE!AG17</f>
        <v>58</v>
      </c>
      <c r="AH90" s="72">
        <f>LCOE!AH17</f>
        <v>58</v>
      </c>
      <c r="AI90" s="72">
        <f>LCOE!AI17</f>
        <v>58</v>
      </c>
      <c r="AJ90" s="72">
        <f>LCOE!AJ17</f>
        <v>58</v>
      </c>
      <c r="AK90" s="72">
        <f>LCOE!AK17</f>
        <v>58</v>
      </c>
      <c r="AL90" s="72">
        <f>LCOE!AL17</f>
        <v>58</v>
      </c>
      <c r="AM90" s="72">
        <f>LCOE!AM17</f>
        <v>58</v>
      </c>
    </row>
    <row r="91" spans="1:39" outlineLevel="1" x14ac:dyDescent="0.25">
      <c r="A91" t="s">
        <v>127</v>
      </c>
      <c r="B91" s="60">
        <v>0</v>
      </c>
      <c r="C91" s="76">
        <f t="shared" ref="C91:AM91" si="25">B91+C89-B89</f>
        <v>31645.258918918182</v>
      </c>
      <c r="D91" s="76">
        <f t="shared" si="25"/>
        <v>63290.517837836378</v>
      </c>
      <c r="E91" s="76">
        <f t="shared" si="25"/>
        <v>94935.776756754567</v>
      </c>
      <c r="F91" s="76">
        <f t="shared" si="25"/>
        <v>126581.0356756728</v>
      </c>
      <c r="G91" s="76">
        <f t="shared" si="25"/>
        <v>158226.29459459099</v>
      </c>
      <c r="H91" s="76">
        <f t="shared" si="25"/>
        <v>189871.55351350925</v>
      </c>
      <c r="I91" s="76">
        <f t="shared" si="25"/>
        <v>221516.81243242751</v>
      </c>
      <c r="J91" s="76">
        <f t="shared" si="25"/>
        <v>253162.07135134583</v>
      </c>
      <c r="K91" s="76">
        <f t="shared" si="25"/>
        <v>284807.33027026418</v>
      </c>
      <c r="L91" s="76">
        <f t="shared" si="25"/>
        <v>316452.58918918262</v>
      </c>
      <c r="M91" s="76">
        <f t="shared" si="25"/>
        <v>348097.848108101</v>
      </c>
      <c r="N91" s="76">
        <f t="shared" si="25"/>
        <v>379743.10702701937</v>
      </c>
      <c r="O91" s="76">
        <f t="shared" si="25"/>
        <v>411388.36594593787</v>
      </c>
      <c r="P91" s="76">
        <f t="shared" si="25"/>
        <v>443033.62486485642</v>
      </c>
      <c r="Q91" s="76">
        <f t="shared" si="25"/>
        <v>474678.88378377486</v>
      </c>
      <c r="R91" s="76">
        <f t="shared" si="25"/>
        <v>506324.14270269347</v>
      </c>
      <c r="S91" s="76">
        <f t="shared" si="25"/>
        <v>537969.40162161202</v>
      </c>
      <c r="T91" s="76">
        <f t="shared" si="25"/>
        <v>569614.66054053069</v>
      </c>
      <c r="U91" s="76">
        <f t="shared" si="25"/>
        <v>601259.91945944936</v>
      </c>
      <c r="V91" s="76">
        <f t="shared" si="25"/>
        <v>632905.17837836815</v>
      </c>
      <c r="W91" s="76">
        <f t="shared" si="25"/>
        <v>664550.43729728693</v>
      </c>
      <c r="X91" s="76">
        <f t="shared" si="25"/>
        <v>696195.69621620583</v>
      </c>
      <c r="Y91" s="76">
        <f t="shared" si="25"/>
        <v>727840.95513512485</v>
      </c>
      <c r="Z91" s="76">
        <f t="shared" si="25"/>
        <v>759486.21405404387</v>
      </c>
      <c r="AA91" s="76">
        <f t="shared" si="25"/>
        <v>791131.47297296301</v>
      </c>
      <c r="AB91" s="76">
        <f t="shared" si="25"/>
        <v>822776.73189188214</v>
      </c>
      <c r="AC91" s="76">
        <f t="shared" si="25"/>
        <v>854421.99081080162</v>
      </c>
      <c r="AD91" s="76">
        <f t="shared" si="25"/>
        <v>886067.24972972099</v>
      </c>
      <c r="AE91" s="76">
        <f t="shared" si="25"/>
        <v>917712.50864864024</v>
      </c>
      <c r="AF91" s="76">
        <f t="shared" si="25"/>
        <v>949357.76756755984</v>
      </c>
      <c r="AG91" s="76">
        <f t="shared" si="25"/>
        <v>981003.02648647968</v>
      </c>
      <c r="AH91" s="76">
        <f t="shared" si="25"/>
        <v>1012648.2854053992</v>
      </c>
      <c r="AI91" s="76">
        <f t="shared" si="25"/>
        <v>1044293.5443243188</v>
      </c>
      <c r="AJ91" s="76">
        <f t="shared" si="25"/>
        <v>1075938.8032432387</v>
      </c>
      <c r="AK91" s="76">
        <f t="shared" si="25"/>
        <v>1107584.0621621588</v>
      </c>
      <c r="AL91" s="76">
        <f t="shared" si="25"/>
        <v>1139229.3210810788</v>
      </c>
      <c r="AM91" s="76">
        <f t="shared" si="25"/>
        <v>1170874.5799999987</v>
      </c>
    </row>
    <row r="92" spans="1:39" outlineLevel="1" x14ac:dyDescent="0.25">
      <c r="A92" t="s">
        <v>186</v>
      </c>
      <c r="B92" s="60">
        <f>LCOE!AN17*1000</f>
        <v>3550000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61"/>
      <c r="N92" s="54"/>
      <c r="O92" s="54"/>
      <c r="P92" s="54"/>
      <c r="Q92" s="54"/>
      <c r="R92" s="54"/>
      <c r="S92" s="55">
        <f>LCOE!AO17*1000</f>
        <v>3550000</v>
      </c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61"/>
      <c r="AF92" s="61"/>
      <c r="AG92" s="61"/>
      <c r="AH92" s="61"/>
      <c r="AI92" s="61"/>
      <c r="AJ92" s="61"/>
      <c r="AK92" s="61"/>
      <c r="AL92" s="54"/>
      <c r="AM92" s="116">
        <f>AM94/AM96</f>
        <v>0.24399415813270184</v>
      </c>
    </row>
    <row r="93" spans="1:39" outlineLevel="1" x14ac:dyDescent="0.25">
      <c r="A93" t="s">
        <v>30</v>
      </c>
      <c r="B93" s="13">
        <v>20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 outlineLevel="1" x14ac:dyDescent="0.25">
      <c r="A94" t="s">
        <v>107</v>
      </c>
      <c r="B94" s="53">
        <f t="shared" ref="B94:AK94" si="26">$AM$92*B96</f>
        <v>0.17017966928734504</v>
      </c>
      <c r="C94" s="53">
        <f t="shared" si="26"/>
        <v>0.61801265119848803</v>
      </c>
      <c r="D94" s="53">
        <f t="shared" si="26"/>
        <v>1.0662710822828494</v>
      </c>
      <c r="E94" s="53">
        <f t="shared" si="26"/>
        <v>1.5145295133672101</v>
      </c>
      <c r="F94" s="53">
        <f t="shared" si="26"/>
        <v>1.9627879444515715</v>
      </c>
      <c r="G94" s="53">
        <f t="shared" si="26"/>
        <v>2.4110463755359324</v>
      </c>
      <c r="H94" s="53">
        <f t="shared" si="26"/>
        <v>2.859304806620294</v>
      </c>
      <c r="I94" s="53">
        <f t="shared" si="26"/>
        <v>3.3075632377046555</v>
      </c>
      <c r="J94" s="53">
        <f t="shared" si="26"/>
        <v>3.7558216687890171</v>
      </c>
      <c r="K94" s="53">
        <f t="shared" si="26"/>
        <v>4.2040800998733792</v>
      </c>
      <c r="L94" s="53">
        <f t="shared" si="26"/>
        <v>4.652338530957743</v>
      </c>
      <c r="M94" s="53">
        <f t="shared" si="26"/>
        <v>5.1005969620421059</v>
      </c>
      <c r="N94" s="53">
        <f t="shared" si="26"/>
        <v>5.5488553931264697</v>
      </c>
      <c r="O94" s="53">
        <f t="shared" si="26"/>
        <v>5.9971138242108335</v>
      </c>
      <c r="P94" s="53">
        <f t="shared" si="26"/>
        <v>6.4453722552951991</v>
      </c>
      <c r="Q94" s="53">
        <f t="shared" si="26"/>
        <v>6.8936306863795647</v>
      </c>
      <c r="R94" s="53">
        <f t="shared" si="26"/>
        <v>7.341889117463932</v>
      </c>
      <c r="S94" s="53">
        <f t="shared" si="26"/>
        <v>7.7901475485483012</v>
      </c>
      <c r="T94" s="53">
        <f t="shared" si="26"/>
        <v>8.2384059796326685</v>
      </c>
      <c r="U94" s="53">
        <f t="shared" si="26"/>
        <v>8.6866644107170394</v>
      </c>
      <c r="V94" s="53">
        <f t="shared" si="26"/>
        <v>9.1268393075102594</v>
      </c>
      <c r="W94" s="53">
        <f t="shared" si="26"/>
        <v>9.5746722894214109</v>
      </c>
      <c r="X94" s="53">
        <f t="shared" si="26"/>
        <v>10.022505271332564</v>
      </c>
      <c r="Y94" s="53">
        <f t="shared" si="26"/>
        <v>10.470338253243717</v>
      </c>
      <c r="Z94" s="53">
        <f t="shared" si="26"/>
        <v>10.918171235154873</v>
      </c>
      <c r="AA94" s="53">
        <f t="shared" si="26"/>
        <v>11.366004217066026</v>
      </c>
      <c r="AB94" s="53">
        <f t="shared" si="26"/>
        <v>11.813837198977183</v>
      </c>
      <c r="AC94" s="53">
        <f t="shared" si="26"/>
        <v>12.261670180888341</v>
      </c>
      <c r="AD94" s="53">
        <f t="shared" si="26"/>
        <v>12.709503162799502</v>
      </c>
      <c r="AE94" s="53">
        <f t="shared" si="26"/>
        <v>13.15733614471066</v>
      </c>
      <c r="AF94" s="53">
        <f t="shared" si="26"/>
        <v>13.605169126621822</v>
      </c>
      <c r="AG94" s="53">
        <f t="shared" si="26"/>
        <v>14.053002108532986</v>
      </c>
      <c r="AH94" s="53">
        <f t="shared" si="26"/>
        <v>14.500835090444149</v>
      </c>
      <c r="AI94" s="53">
        <f t="shared" si="26"/>
        <v>14.948668072355312</v>
      </c>
      <c r="AJ94" s="53">
        <f t="shared" si="26"/>
        <v>15.396501054266482</v>
      </c>
      <c r="AK94" s="53">
        <f t="shared" si="26"/>
        <v>15.844334036177653</v>
      </c>
      <c r="AL94" s="53">
        <f>$AM$92*AL96</f>
        <v>16.292167018088829</v>
      </c>
      <c r="AM94" s="53">
        <f>LCOE!AS17*1000*'Capacités installées'!B18/1000000</f>
        <v>16.739999999999998</v>
      </c>
    </row>
    <row r="95" spans="1:39" outlineLevel="1" x14ac:dyDescent="0.25">
      <c r="A95" t="s">
        <v>111</v>
      </c>
      <c r="B95" s="13">
        <f t="shared" ref="B95:AL95" si="27">B96-B94</f>
        <v>0.52729469071265511</v>
      </c>
      <c r="C95" s="13">
        <f t="shared" si="27"/>
        <v>1.9148867260987654</v>
      </c>
      <c r="D95" s="13">
        <f t="shared" si="27"/>
        <v>3.3037969982116575</v>
      </c>
      <c r="E95" s="13">
        <f t="shared" si="27"/>
        <v>4.6927072703245472</v>
      </c>
      <c r="F95" s="13">
        <f t="shared" si="27"/>
        <v>6.0816175424374386</v>
      </c>
      <c r="G95" s="13">
        <f t="shared" si="27"/>
        <v>7.47052781455033</v>
      </c>
      <c r="H95" s="13">
        <f t="shared" si="27"/>
        <v>8.8594380866632214</v>
      </c>
      <c r="I95" s="13">
        <f t="shared" si="27"/>
        <v>10.248348358776113</v>
      </c>
      <c r="J95" s="13">
        <f t="shared" si="27"/>
        <v>11.637258630889008</v>
      </c>
      <c r="K95" s="13">
        <f t="shared" si="27"/>
        <v>13.026168903001899</v>
      </c>
      <c r="L95" s="13">
        <f t="shared" si="27"/>
        <v>14.415079175114801</v>
      </c>
      <c r="M95" s="13">
        <f t="shared" si="27"/>
        <v>15.803989447227698</v>
      </c>
      <c r="N95" s="13">
        <f t="shared" si="27"/>
        <v>17.192899719340595</v>
      </c>
      <c r="O95" s="13">
        <f t="shared" si="27"/>
        <v>18.581809991453497</v>
      </c>
      <c r="P95" s="13">
        <f t="shared" si="27"/>
        <v>19.970720263566399</v>
      </c>
      <c r="Q95" s="13">
        <f t="shared" si="27"/>
        <v>21.359630535679308</v>
      </c>
      <c r="R95" s="13">
        <f t="shared" si="27"/>
        <v>22.748540807792217</v>
      </c>
      <c r="S95" s="13">
        <f t="shared" si="27"/>
        <v>24.13745107990513</v>
      </c>
      <c r="T95" s="13">
        <f t="shared" si="27"/>
        <v>25.526361352018043</v>
      </c>
      <c r="U95" s="13">
        <f t="shared" si="27"/>
        <v>26.915271624130963</v>
      </c>
      <c r="V95" s="13">
        <f t="shared" si="27"/>
        <v>28.279135398435024</v>
      </c>
      <c r="W95" s="13">
        <f t="shared" si="27"/>
        <v>29.666727433821162</v>
      </c>
      <c r="X95" s="13">
        <f t="shared" si="27"/>
        <v>31.054319469207307</v>
      </c>
      <c r="Y95" s="13">
        <f t="shared" si="27"/>
        <v>32.441911504593449</v>
      </c>
      <c r="Z95" s="13">
        <f t="shared" si="27"/>
        <v>33.829503539979598</v>
      </c>
      <c r="AA95" s="13">
        <f t="shared" si="27"/>
        <v>35.217095575365732</v>
      </c>
      <c r="AB95" s="13">
        <f t="shared" si="27"/>
        <v>36.604687610751888</v>
      </c>
      <c r="AC95" s="13">
        <f t="shared" si="27"/>
        <v>37.992279646138044</v>
      </c>
      <c r="AD95" s="13">
        <f t="shared" si="27"/>
        <v>39.379871681524214</v>
      </c>
      <c r="AE95" s="13">
        <f t="shared" si="27"/>
        <v>40.76746371691037</v>
      </c>
      <c r="AF95" s="13">
        <f t="shared" si="27"/>
        <v>42.155055752296541</v>
      </c>
      <c r="AG95" s="13">
        <f t="shared" si="27"/>
        <v>43.542647787682718</v>
      </c>
      <c r="AH95" s="13">
        <f t="shared" si="27"/>
        <v>44.930239823068888</v>
      </c>
      <c r="AI95" s="13">
        <f t="shared" si="27"/>
        <v>46.317831858455065</v>
      </c>
      <c r="AJ95" s="13">
        <f t="shared" si="27"/>
        <v>47.705423893841257</v>
      </c>
      <c r="AK95" s="13">
        <f t="shared" si="27"/>
        <v>49.093015929227448</v>
      </c>
      <c r="AL95" s="13">
        <f t="shared" si="27"/>
        <v>50.480607964613654</v>
      </c>
      <c r="AM95" s="13">
        <f>AM96-AM94</f>
        <v>51.86819999999986</v>
      </c>
    </row>
    <row r="96" spans="1:39" outlineLevel="1" x14ac:dyDescent="0.25">
      <c r="A96" t="s">
        <v>184</v>
      </c>
      <c r="B96" s="123">
        <v>0.69747436000000018</v>
      </c>
      <c r="C96" s="123">
        <v>2.5328993772972535</v>
      </c>
      <c r="D96" s="123">
        <v>4.3700680804945069</v>
      </c>
      <c r="E96" s="123">
        <v>6.2072367836917568</v>
      </c>
      <c r="F96" s="123">
        <v>8.0444054868890102</v>
      </c>
      <c r="G96" s="123">
        <v>9.8815741900862619</v>
      </c>
      <c r="H96" s="123">
        <v>11.718742893283515</v>
      </c>
      <c r="I96" s="123">
        <v>13.555911596480769</v>
      </c>
      <c r="J96" s="123">
        <v>15.393080299678024</v>
      </c>
      <c r="K96" s="123">
        <v>17.230249002875279</v>
      </c>
      <c r="L96" s="123">
        <v>19.067417706072543</v>
      </c>
      <c r="M96" s="123">
        <v>20.904586409269804</v>
      </c>
      <c r="N96" s="123">
        <v>22.741755112467064</v>
      </c>
      <c r="O96" s="123">
        <v>24.578923815664329</v>
      </c>
      <c r="P96" s="123">
        <v>26.4160925188616</v>
      </c>
      <c r="Q96" s="123">
        <v>28.253261222058871</v>
      </c>
      <c r="R96" s="123">
        <v>30.090429925256149</v>
      </c>
      <c r="S96" s="123">
        <v>31.927598628453431</v>
      </c>
      <c r="T96" s="123">
        <v>33.76476733165071</v>
      </c>
      <c r="U96" s="123">
        <v>35.601936034848002</v>
      </c>
      <c r="V96" s="123">
        <v>37.405974705945283</v>
      </c>
      <c r="W96" s="123">
        <v>39.241399723242573</v>
      </c>
      <c r="X96" s="123">
        <v>41.07682474053987</v>
      </c>
      <c r="Y96" s="123">
        <v>42.912249757837166</v>
      </c>
      <c r="Z96" s="123">
        <v>44.74767477513447</v>
      </c>
      <c r="AA96" s="123">
        <v>46.58309979243176</v>
      </c>
      <c r="AB96" s="123">
        <v>48.418524809729071</v>
      </c>
      <c r="AC96" s="123">
        <v>50.253949827026389</v>
      </c>
      <c r="AD96" s="123">
        <v>52.089374844323714</v>
      </c>
      <c r="AE96" s="123">
        <v>53.924799861621032</v>
      </c>
      <c r="AF96" s="123">
        <v>55.760224878918365</v>
      </c>
      <c r="AG96" s="123">
        <v>57.595649896215704</v>
      </c>
      <c r="AH96" s="123">
        <v>59.431074913513037</v>
      </c>
      <c r="AI96" s="123">
        <v>61.266499930810376</v>
      </c>
      <c r="AJ96" s="123">
        <v>63.101924948107737</v>
      </c>
      <c r="AK96" s="123">
        <v>64.937349965405105</v>
      </c>
      <c r="AL96" s="123">
        <v>66.772774982702487</v>
      </c>
      <c r="AM96" s="123">
        <v>68.608199999999854</v>
      </c>
    </row>
    <row r="99" spans="1:39" ht="23.25" x14ac:dyDescent="0.25">
      <c r="A99" s="74" t="s">
        <v>146</v>
      </c>
    </row>
    <row r="101" spans="1:39" outlineLevel="1" x14ac:dyDescent="0.25">
      <c r="A101" s="3" t="s">
        <v>173</v>
      </c>
      <c r="B101" s="59">
        <v>2013</v>
      </c>
      <c r="C101" s="59">
        <v>2014</v>
      </c>
      <c r="D101" s="59">
        <v>2015</v>
      </c>
      <c r="E101" s="59">
        <v>2016</v>
      </c>
      <c r="F101" s="59">
        <v>2017</v>
      </c>
      <c r="G101" s="59">
        <v>2018</v>
      </c>
      <c r="H101" s="59">
        <v>2019</v>
      </c>
      <c r="I101" s="59">
        <v>2020</v>
      </c>
      <c r="J101" s="59">
        <v>2021</v>
      </c>
      <c r="K101" s="59">
        <v>2022</v>
      </c>
      <c r="L101" s="59">
        <v>2023</v>
      </c>
      <c r="M101" s="59">
        <v>2024</v>
      </c>
      <c r="N101" s="59">
        <v>2025</v>
      </c>
      <c r="O101" s="59">
        <v>2026</v>
      </c>
      <c r="P101" s="59">
        <v>2027</v>
      </c>
      <c r="Q101" s="59">
        <v>2028</v>
      </c>
      <c r="R101" s="59">
        <v>2029</v>
      </c>
      <c r="S101" s="59">
        <v>2030</v>
      </c>
      <c r="T101" s="59">
        <v>2031</v>
      </c>
      <c r="U101" s="59">
        <v>2032</v>
      </c>
      <c r="V101" s="59">
        <v>2033</v>
      </c>
      <c r="W101" s="59">
        <v>2034</v>
      </c>
      <c r="X101" s="59">
        <v>2035</v>
      </c>
      <c r="Y101" s="59">
        <v>2036</v>
      </c>
      <c r="Z101" s="59">
        <v>2037</v>
      </c>
      <c r="AA101" s="59">
        <v>2038</v>
      </c>
      <c r="AB101" s="59">
        <v>2039</v>
      </c>
      <c r="AC101" s="59">
        <v>2040</v>
      </c>
      <c r="AD101" s="59">
        <v>2041</v>
      </c>
      <c r="AE101" s="59">
        <v>2042</v>
      </c>
      <c r="AF101" s="59">
        <v>2043</v>
      </c>
      <c r="AG101" s="59">
        <v>2044</v>
      </c>
      <c r="AH101" s="59">
        <v>2045</v>
      </c>
      <c r="AI101" s="59">
        <v>2046</v>
      </c>
      <c r="AJ101" s="59">
        <v>2047</v>
      </c>
      <c r="AK101" s="59">
        <v>2048</v>
      </c>
      <c r="AL101" s="59">
        <v>2049</v>
      </c>
      <c r="AM101" s="59">
        <v>2050</v>
      </c>
    </row>
    <row r="102" spans="1:39" outlineLevel="1" x14ac:dyDescent="0.25">
      <c r="A102" t="s">
        <v>169</v>
      </c>
      <c r="B102" s="61">
        <f>'Linéarisation mix'!B10*1000000</f>
        <v>68521000.000000015</v>
      </c>
      <c r="C102" s="61">
        <f>'Linéarisation mix'!C10*1000000</f>
        <v>68324903.802879766</v>
      </c>
      <c r="D102" s="61">
        <f>'Linéarisation mix'!D10*1000000</f>
        <v>68128807.605759501</v>
      </c>
      <c r="E102" s="61">
        <f>'Linéarisation mix'!E10*1000000</f>
        <v>67932711.408639237</v>
      </c>
      <c r="F102" s="61">
        <f>'Linéarisation mix'!F10*1000000</f>
        <v>67736615.211518973</v>
      </c>
      <c r="G102" s="61">
        <f>'Linéarisation mix'!G10*1000000</f>
        <v>67540519.014398679</v>
      </c>
      <c r="H102" s="61">
        <f>'Linéarisation mix'!H10*1000000</f>
        <v>67344422.817278385</v>
      </c>
      <c r="I102" s="61">
        <f>'Linéarisation mix'!I10*1000000</f>
        <v>67148326.620158091</v>
      </c>
      <c r="J102" s="61">
        <f>'Linéarisation mix'!J10*1000000</f>
        <v>66952230.423037775</v>
      </c>
      <c r="K102" s="61">
        <f>'Linéarisation mix'!K10*1000000</f>
        <v>66756134.225917451</v>
      </c>
      <c r="L102" s="61">
        <f>'Linéarisation mix'!L10*1000000</f>
        <v>66560038.02879712</v>
      </c>
      <c r="M102" s="61">
        <f>'Linéarisation mix'!M10*1000000</f>
        <v>66363941.831676781</v>
      </c>
      <c r="N102" s="61">
        <f>'Linéarisation mix'!N10*1000000</f>
        <v>66167845.634556428</v>
      </c>
      <c r="O102" s="61">
        <f>'Linéarisation mix'!O10*1000000</f>
        <v>65971749.437436074</v>
      </c>
      <c r="P102" s="61">
        <f>'Linéarisation mix'!P10*1000000</f>
        <v>65775653.240315706</v>
      </c>
      <c r="Q102" s="61">
        <f>'Linéarisation mix'!Q10*1000000</f>
        <v>65579557.043195337</v>
      </c>
      <c r="R102" s="61">
        <f>'Linéarisation mix'!R10*1000000</f>
        <v>65383460.846074954</v>
      </c>
      <c r="S102" s="61">
        <f>'Linéarisation mix'!S10*1000000</f>
        <v>65187364.64895457</v>
      </c>
      <c r="T102" s="61">
        <f>'Linéarisation mix'!T10*1000000</f>
        <v>64991268.451834172</v>
      </c>
      <c r="U102" s="61">
        <f>'Linéarisation mix'!U10*1000000</f>
        <v>64795172.254713759</v>
      </c>
      <c r="V102" s="61">
        <f>'Linéarisation mix'!V10*1000000</f>
        <v>64599076.057593353</v>
      </c>
      <c r="W102" s="61">
        <f>'Linéarisation mix'!W10*1000000</f>
        <v>64402979.860472925</v>
      </c>
      <c r="X102" s="61">
        <f>'Linéarisation mix'!X10*1000000</f>
        <v>64206883.663352482</v>
      </c>
      <c r="Y102" s="61">
        <f>'Linéarisation mix'!Y10*1000000</f>
        <v>64010787.466232046</v>
      </c>
      <c r="Z102" s="61">
        <f>'Linéarisation mix'!Z10*1000000</f>
        <v>63814691.269111589</v>
      </c>
      <c r="AA102" s="61">
        <f>'Linéarisation mix'!AA10*1000000</f>
        <v>63618595.071991131</v>
      </c>
      <c r="AB102" s="61">
        <f>'Linéarisation mix'!AB10*1000000</f>
        <v>63422498.874870673</v>
      </c>
      <c r="AC102" s="61">
        <f>'Linéarisation mix'!AC10*1000000</f>
        <v>63226402.6777502</v>
      </c>
      <c r="AD102" s="61">
        <f>'Linéarisation mix'!AD10*1000000</f>
        <v>63030306.480629727</v>
      </c>
      <c r="AE102" s="61">
        <f>'Linéarisation mix'!AE10*1000000</f>
        <v>62834210.283509247</v>
      </c>
      <c r="AF102" s="61">
        <f>'Linéarisation mix'!AF10*1000000</f>
        <v>62638114.086388767</v>
      </c>
      <c r="AG102" s="61">
        <f>'Linéarisation mix'!AG10*1000000</f>
        <v>62442017.889268279</v>
      </c>
      <c r="AH102" s="61">
        <f>'Linéarisation mix'!AH10*1000000</f>
        <v>62245921.692147791</v>
      </c>
      <c r="AI102" s="61">
        <f>'Linéarisation mix'!AI10*1000000</f>
        <v>62049825.495027289</v>
      </c>
      <c r="AJ102" s="61">
        <f>'Linéarisation mix'!AJ10*1000000</f>
        <v>61853729.297906786</v>
      </c>
      <c r="AK102" s="61">
        <f>'Linéarisation mix'!AK10*1000000</f>
        <v>61657633.100786284</v>
      </c>
      <c r="AL102" s="61">
        <f>'Linéarisation mix'!AL10*1000000</f>
        <v>61461536.903665774</v>
      </c>
      <c r="AM102" s="61">
        <f>'Linéarisation mix'!AM10*1000000</f>
        <v>61265440.706545264</v>
      </c>
    </row>
    <row r="103" spans="1:39" outlineLevel="1" x14ac:dyDescent="0.25">
      <c r="A103" t="s">
        <v>183</v>
      </c>
      <c r="B103" s="72">
        <f>LCOE!B18</f>
        <v>75.410840013942135</v>
      </c>
      <c r="C103" s="72">
        <f>LCOE!C18</f>
        <v>74.980790601357299</v>
      </c>
      <c r="D103" s="72">
        <f>LCOE!D18</f>
        <v>74.550741188772463</v>
      </c>
      <c r="E103" s="72">
        <f>LCOE!E18</f>
        <v>74.120691776187627</v>
      </c>
      <c r="F103" s="72">
        <f>LCOE!F18</f>
        <v>73.690642363602791</v>
      </c>
      <c r="G103" s="72">
        <f>LCOE!G18</f>
        <v>73.260592951017955</v>
      </c>
      <c r="H103" s="72">
        <f>LCOE!H18</f>
        <v>72.830543538433119</v>
      </c>
      <c r="I103" s="72">
        <f>LCOE!I18</f>
        <v>72.400494125848283</v>
      </c>
      <c r="J103" s="72">
        <f>LCOE!J18</f>
        <v>71.970444713263447</v>
      </c>
      <c r="K103" s="72">
        <f>LCOE!K18</f>
        <v>71.540395300678611</v>
      </c>
      <c r="L103" s="72">
        <f>LCOE!L18</f>
        <v>71.110345888093775</v>
      </c>
      <c r="M103" s="72">
        <f>LCOE!M18</f>
        <v>70.680296475508939</v>
      </c>
      <c r="N103" s="72">
        <f>LCOE!N18</f>
        <v>70.250247062924103</v>
      </c>
      <c r="O103" s="72">
        <f>LCOE!O18</f>
        <v>69.820197650339267</v>
      </c>
      <c r="P103" s="72">
        <f>LCOE!P18</f>
        <v>69.390148237754431</v>
      </c>
      <c r="Q103" s="72">
        <f>LCOE!Q18</f>
        <v>68.960098825169595</v>
      </c>
      <c r="R103" s="72">
        <f>LCOE!R18</f>
        <v>68.530049412584759</v>
      </c>
      <c r="S103" s="72">
        <f>LCOE!S18</f>
        <v>68.099999999999994</v>
      </c>
      <c r="T103" s="72">
        <f>LCOE!T18</f>
        <v>68.099999999999994</v>
      </c>
      <c r="U103" s="72">
        <f>LCOE!U18</f>
        <v>68.099999999999994</v>
      </c>
      <c r="V103" s="72">
        <f>LCOE!V18</f>
        <v>68.099999999999994</v>
      </c>
      <c r="W103" s="72">
        <f>LCOE!W18</f>
        <v>68.099999999999994</v>
      </c>
      <c r="X103" s="72">
        <f>LCOE!X18</f>
        <v>68.099999999999994</v>
      </c>
      <c r="Y103" s="72">
        <f>LCOE!Y18</f>
        <v>68.099999999999994</v>
      </c>
      <c r="Z103" s="72">
        <f>LCOE!Z18</f>
        <v>68.099999999999994</v>
      </c>
      <c r="AA103" s="72">
        <f>LCOE!AA18</f>
        <v>68.099999999999994</v>
      </c>
      <c r="AB103" s="72">
        <f>LCOE!AB18</f>
        <v>68.099999999999994</v>
      </c>
      <c r="AC103" s="72">
        <f>LCOE!AC18</f>
        <v>68.099999999999994</v>
      </c>
      <c r="AD103" s="72">
        <f>LCOE!AD18</f>
        <v>68.099999999999994</v>
      </c>
      <c r="AE103" s="72">
        <f>LCOE!AE18</f>
        <v>68.099999999999994</v>
      </c>
      <c r="AF103" s="72">
        <f>LCOE!AF18</f>
        <v>68.099999999999994</v>
      </c>
      <c r="AG103" s="72">
        <f>LCOE!AG18</f>
        <v>68.099999999999994</v>
      </c>
      <c r="AH103" s="72">
        <f>LCOE!AH18</f>
        <v>68.099999999999994</v>
      </c>
      <c r="AI103" s="72">
        <f>LCOE!AI18</f>
        <v>68.099999999999994</v>
      </c>
      <c r="AJ103" s="72">
        <f>LCOE!AJ18</f>
        <v>68.099999999999994</v>
      </c>
      <c r="AK103" s="72">
        <f>LCOE!AK18</f>
        <v>68.099999999999994</v>
      </c>
      <c r="AL103" s="72">
        <f>LCOE!AL18</f>
        <v>68.099999999999994</v>
      </c>
      <c r="AM103" s="72">
        <f>LCOE!AM18</f>
        <v>68.099999999999994</v>
      </c>
    </row>
    <row r="104" spans="1:39" outlineLevel="1" x14ac:dyDescent="0.25">
      <c r="A104" t="s">
        <v>127</v>
      </c>
      <c r="B104" s="60">
        <v>0</v>
      </c>
      <c r="C104" s="76">
        <f t="shared" ref="C104:AM104" si="28">B104+C102-B102</f>
        <v>-196096.19712024927</v>
      </c>
      <c r="D104" s="76">
        <f t="shared" si="28"/>
        <v>-392192.39424051344</v>
      </c>
      <c r="E104" s="76">
        <f t="shared" si="28"/>
        <v>-588288.59136077762</v>
      </c>
      <c r="F104" s="76">
        <f t="shared" si="28"/>
        <v>-784384.78848104179</v>
      </c>
      <c r="G104" s="76">
        <f t="shared" si="28"/>
        <v>-980480.98560133576</v>
      </c>
      <c r="H104" s="76">
        <f t="shared" si="28"/>
        <v>-1176577.1827216297</v>
      </c>
      <c r="I104" s="76">
        <f t="shared" si="28"/>
        <v>-1372673.3798419237</v>
      </c>
      <c r="J104" s="76">
        <f t="shared" si="28"/>
        <v>-1568769.57696224</v>
      </c>
      <c r="K104" s="76">
        <f t="shared" si="28"/>
        <v>-1764865.7740825638</v>
      </c>
      <c r="L104" s="76">
        <f t="shared" si="28"/>
        <v>-1960961.971202895</v>
      </c>
      <c r="M104" s="76">
        <f t="shared" si="28"/>
        <v>-2157058.1683232337</v>
      </c>
      <c r="N104" s="76">
        <f t="shared" si="28"/>
        <v>-2353154.3654435873</v>
      </c>
      <c r="O104" s="76">
        <f t="shared" si="28"/>
        <v>-2549250.5625639409</v>
      </c>
      <c r="P104" s="76">
        <f t="shared" si="28"/>
        <v>-2745346.7596843094</v>
      </c>
      <c r="Q104" s="76">
        <f t="shared" si="28"/>
        <v>-2941442.9568046778</v>
      </c>
      <c r="R104" s="76">
        <f t="shared" si="28"/>
        <v>-3137539.1539250612</v>
      </c>
      <c r="S104" s="76">
        <f t="shared" si="28"/>
        <v>-3333635.3510454446</v>
      </c>
      <c r="T104" s="76">
        <f t="shared" si="28"/>
        <v>-3529731.5481658429</v>
      </c>
      <c r="U104" s="76">
        <f t="shared" si="28"/>
        <v>-3725827.7452862561</v>
      </c>
      <c r="V104" s="76">
        <f t="shared" si="28"/>
        <v>-3921923.9424066618</v>
      </c>
      <c r="W104" s="76">
        <f t="shared" si="28"/>
        <v>-4118020.1395270899</v>
      </c>
      <c r="X104" s="76">
        <f t="shared" si="28"/>
        <v>-4314116.3366475329</v>
      </c>
      <c r="Y104" s="76">
        <f t="shared" si="28"/>
        <v>-4510212.5337679684</v>
      </c>
      <c r="Z104" s="76">
        <f t="shared" si="28"/>
        <v>-4706308.7308884263</v>
      </c>
      <c r="AA104" s="76">
        <f t="shared" si="28"/>
        <v>-4902404.9280088842</v>
      </c>
      <c r="AB104" s="76">
        <f t="shared" si="28"/>
        <v>-5098501.1251293421</v>
      </c>
      <c r="AC104" s="76">
        <f t="shared" si="28"/>
        <v>-5294597.3222498149</v>
      </c>
      <c r="AD104" s="76">
        <f t="shared" si="28"/>
        <v>-5490693.5193702877</v>
      </c>
      <c r="AE104" s="76">
        <f t="shared" si="28"/>
        <v>-5686789.7164907679</v>
      </c>
      <c r="AF104" s="76">
        <f t="shared" si="28"/>
        <v>-5882885.9136112481</v>
      </c>
      <c r="AG104" s="76">
        <f t="shared" si="28"/>
        <v>-6078982.1107317358</v>
      </c>
      <c r="AH104" s="76">
        <f t="shared" si="28"/>
        <v>-6275078.3078522235</v>
      </c>
      <c r="AI104" s="76">
        <f t="shared" si="28"/>
        <v>-6471174.5049727261</v>
      </c>
      <c r="AJ104" s="76">
        <f t="shared" si="28"/>
        <v>-6667270.7020932287</v>
      </c>
      <c r="AK104" s="76">
        <f t="shared" si="28"/>
        <v>-6863366.8992137313</v>
      </c>
      <c r="AL104" s="76">
        <f t="shared" si="28"/>
        <v>-7059463.0963342413</v>
      </c>
      <c r="AM104" s="76">
        <f t="shared" si="28"/>
        <v>-7255559.2934547514</v>
      </c>
    </row>
    <row r="105" spans="1:39" outlineLevel="1" x14ac:dyDescent="0.25">
      <c r="A105" t="s">
        <v>186</v>
      </c>
      <c r="B105" s="60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61"/>
      <c r="N105" s="54"/>
      <c r="O105" s="54"/>
      <c r="P105" s="54"/>
      <c r="Q105" s="54"/>
      <c r="R105" s="54"/>
      <c r="S105" s="55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61"/>
      <c r="AF105" s="61"/>
      <c r="AG105" s="61"/>
      <c r="AH105" s="61"/>
      <c r="AI105" s="61"/>
      <c r="AJ105" s="61"/>
      <c r="AK105" s="61"/>
      <c r="AL105" s="54"/>
      <c r="AM105" s="116">
        <f>AM107/AM109</f>
        <v>0.21138180548455521</v>
      </c>
    </row>
    <row r="106" spans="1:39" outlineLevel="1" x14ac:dyDescent="0.25">
      <c r="A106" t="s">
        <v>30</v>
      </c>
      <c r="B106" s="70">
        <v>30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 outlineLevel="1" x14ac:dyDescent="0.25">
      <c r="A107" t="s">
        <v>107</v>
      </c>
      <c r="B107" s="53">
        <f t="shared" ref="B107:AK107" si="29">$AM$105*B109</f>
        <v>1092.2575968647216</v>
      </c>
      <c r="C107" s="53">
        <f t="shared" si="29"/>
        <v>1088.9419213885205</v>
      </c>
      <c r="D107" s="53">
        <f t="shared" si="29"/>
        <v>1085.4364381821342</v>
      </c>
      <c r="E107" s="53">
        <f t="shared" si="29"/>
        <v>1081.7411477222918</v>
      </c>
      <c r="F107" s="53">
        <f t="shared" si="29"/>
        <v>1077.8560506086933</v>
      </c>
      <c r="G107" s="53">
        <f t="shared" si="29"/>
        <v>1073.7811475396102</v>
      </c>
      <c r="H107" s="53">
        <f t="shared" si="29"/>
        <v>1069.5164392849808</v>
      </c>
      <c r="I107" s="53">
        <f t="shared" si="29"/>
        <v>1065.0619266579956</v>
      </c>
      <c r="J107" s="53">
        <f t="shared" si="29"/>
        <v>1060.4176104861776</v>
      </c>
      <c r="K107" s="53">
        <f t="shared" si="29"/>
        <v>1055.5834915829603</v>
      </c>
      <c r="L107" s="53">
        <f t="shared" si="29"/>
        <v>1050.5595707206987</v>
      </c>
      <c r="M107" s="53">
        <f t="shared" si="29"/>
        <v>1045.3458486059774</v>
      </c>
      <c r="N107" s="53">
        <f t="shared" si="29"/>
        <v>1039.9423258579745</v>
      </c>
      <c r="O107" s="53">
        <f t="shared" si="29"/>
        <v>1034.3490029905083</v>
      </c>
      <c r="P107" s="53">
        <f t="shared" si="29"/>
        <v>1028.565880398244</v>
      </c>
      <c r="Q107" s="53">
        <f t="shared" si="29"/>
        <v>1022.5929583473923</v>
      </c>
      <c r="R107" s="53">
        <f t="shared" si="29"/>
        <v>1016.4302369710593</v>
      </c>
      <c r="S107" s="53">
        <f t="shared" si="29"/>
        <v>1010.0777162692453</v>
      </c>
      <c r="T107" s="53">
        <f t="shared" si="29"/>
        <v>1003.7249872341207</v>
      </c>
      <c r="U107" s="53">
        <f t="shared" si="29"/>
        <v>997.37206006224324</v>
      </c>
      <c r="V107" s="53">
        <f t="shared" si="29"/>
        <v>991.01894954939553</v>
      </c>
      <c r="W107" s="53">
        <f t="shared" si="29"/>
        <v>984.66567461595309</v>
      </c>
      <c r="X107" s="53">
        <f t="shared" si="29"/>
        <v>978.31225774293625</v>
      </c>
      <c r="Y107" s="53">
        <f t="shared" si="29"/>
        <v>971.95872433472414</v>
      </c>
      <c r="Z107" s="53">
        <f t="shared" si="29"/>
        <v>965.60510202582509</v>
      </c>
      <c r="AA107" s="53">
        <f t="shared" si="29"/>
        <v>959.25141995003821</v>
      </c>
      <c r="AB107" s="53">
        <f t="shared" si="29"/>
        <v>952.8977079908077</v>
      </c>
      <c r="AC107" s="53">
        <f t="shared" si="29"/>
        <v>946.54399603157697</v>
      </c>
      <c r="AD107" s="53">
        <f t="shared" si="29"/>
        <v>940.1903132244903</v>
      </c>
      <c r="AE107" s="53">
        <f t="shared" si="29"/>
        <v>933.83668729488352</v>
      </c>
      <c r="AF107" s="53">
        <f t="shared" si="29"/>
        <v>927.48314389771576</v>
      </c>
      <c r="AG107" s="53">
        <f t="shared" si="29"/>
        <v>921.62264310045623</v>
      </c>
      <c r="AH107" s="53">
        <f t="shared" si="29"/>
        <v>916.99022462176572</v>
      </c>
      <c r="AI107" s="53">
        <f t="shared" si="29"/>
        <v>912.54773773886404</v>
      </c>
      <c r="AJ107" s="53">
        <f t="shared" si="29"/>
        <v>908.295192889806</v>
      </c>
      <c r="AK107" s="53">
        <f t="shared" si="29"/>
        <v>904.23259687301811</v>
      </c>
      <c r="AL107" s="53">
        <f>$AM$105*AL109</f>
        <v>900.35995277673533</v>
      </c>
      <c r="AM107" s="53">
        <f>LCOE!AS18*1000*('Capacités installées'!B16+'Capacités installées'!B17)/1000000</f>
        <v>896.67726000000005</v>
      </c>
    </row>
    <row r="108" spans="1:39" outlineLevel="1" x14ac:dyDescent="0.25">
      <c r="A108" t="s">
        <v>111</v>
      </c>
      <c r="B108" s="13">
        <f t="shared" ref="B108:AM108" si="30">B109-B107</f>
        <v>4074.9685717306083</v>
      </c>
      <c r="C108" s="13">
        <f t="shared" si="30"/>
        <v>4062.5985288045076</v>
      </c>
      <c r="D108" s="13">
        <f t="shared" si="30"/>
        <v>4049.5203557290743</v>
      </c>
      <c r="E108" s="13">
        <f t="shared" si="30"/>
        <v>4035.7340542828783</v>
      </c>
      <c r="F108" s="13">
        <f t="shared" si="30"/>
        <v>4021.2396267032682</v>
      </c>
      <c r="G108" s="13">
        <f t="shared" si="30"/>
        <v>4006.0370755953363</v>
      </c>
      <c r="H108" s="13">
        <f t="shared" si="30"/>
        <v>3990.1264038315521</v>
      </c>
      <c r="I108" s="13">
        <f t="shared" si="30"/>
        <v>3973.5076144457457</v>
      </c>
      <c r="J108" s="13">
        <f t="shared" si="30"/>
        <v>3956.1807105252205</v>
      </c>
      <c r="K108" s="13">
        <f t="shared" si="30"/>
        <v>3938.1456951047157</v>
      </c>
      <c r="L108" s="13">
        <f t="shared" si="30"/>
        <v>3919.4025710657133</v>
      </c>
      <c r="M108" s="13">
        <f t="shared" si="30"/>
        <v>3899.9513410443233</v>
      </c>
      <c r="N108" s="13">
        <f t="shared" si="30"/>
        <v>3879.7920073505611</v>
      </c>
      <c r="O108" s="13">
        <f t="shared" si="30"/>
        <v>3858.9245719013666</v>
      </c>
      <c r="P108" s="13">
        <f t="shared" si="30"/>
        <v>3837.3490361691465</v>
      </c>
      <c r="Q108" s="13">
        <f t="shared" si="30"/>
        <v>3815.0654011470765</v>
      </c>
      <c r="R108" s="13">
        <f t="shared" si="30"/>
        <v>3792.0736673317433</v>
      </c>
      <c r="S108" s="13">
        <f t="shared" si="30"/>
        <v>3768.3738347231488</v>
      </c>
      <c r="T108" s="13">
        <f t="shared" si="30"/>
        <v>3744.6732248696107</v>
      </c>
      <c r="U108" s="13">
        <f t="shared" si="30"/>
        <v>3720.9718758122049</v>
      </c>
      <c r="V108" s="13">
        <f t="shared" si="30"/>
        <v>3697.2698427506834</v>
      </c>
      <c r="W108" s="13">
        <f t="shared" si="30"/>
        <v>3673.5671962727311</v>
      </c>
      <c r="X108" s="13">
        <f t="shared" si="30"/>
        <v>3649.8640202500033</v>
      </c>
      <c r="Y108" s="13">
        <f t="shared" si="30"/>
        <v>3626.16040946055</v>
      </c>
      <c r="Z108" s="13">
        <f t="shared" si="30"/>
        <v>3602.4564670025361</v>
      </c>
      <c r="AA108" s="13">
        <f t="shared" si="30"/>
        <v>3578.7523015676434</v>
      </c>
      <c r="AB108" s="13">
        <f t="shared" si="30"/>
        <v>3555.0480246443126</v>
      </c>
      <c r="AC108" s="13">
        <f t="shared" si="30"/>
        <v>3531.3437477209809</v>
      </c>
      <c r="AD108" s="13">
        <f t="shared" si="30"/>
        <v>3507.6395795577723</v>
      </c>
      <c r="AE108" s="13">
        <f t="shared" si="30"/>
        <v>3483.9356235917085</v>
      </c>
      <c r="AF108" s="13">
        <f t="shared" si="30"/>
        <v>3460.231975535698</v>
      </c>
      <c r="AG108" s="13">
        <f t="shared" si="30"/>
        <v>3438.3677590431917</v>
      </c>
      <c r="AH108" s="13">
        <f t="shared" si="30"/>
        <v>3421.0852427522054</v>
      </c>
      <c r="AI108" s="13">
        <f t="shared" si="30"/>
        <v>3404.5113187253883</v>
      </c>
      <c r="AJ108" s="13">
        <f t="shared" si="30"/>
        <v>3388.6460259047858</v>
      </c>
      <c r="AK108" s="13">
        <f t="shared" si="30"/>
        <v>3373.4893896538051</v>
      </c>
      <c r="AL108" s="13">
        <f t="shared" si="30"/>
        <v>3359.0414214939601</v>
      </c>
      <c r="AM108" s="13">
        <f t="shared" si="30"/>
        <v>3345.3021191832127</v>
      </c>
    </row>
    <row r="109" spans="1:39" outlineLevel="1" x14ac:dyDescent="0.25">
      <c r="A109" t="s">
        <v>184</v>
      </c>
      <c r="B109" s="123">
        <v>5167.2261685953299</v>
      </c>
      <c r="C109" s="123">
        <v>5151.5404501930279</v>
      </c>
      <c r="D109" s="123">
        <v>5134.9567939112085</v>
      </c>
      <c r="E109" s="123">
        <v>5117.4752020051701</v>
      </c>
      <c r="F109" s="123">
        <v>5099.0956773119615</v>
      </c>
      <c r="G109" s="123">
        <v>5079.8182231349465</v>
      </c>
      <c r="H109" s="123">
        <v>5059.6428431165332</v>
      </c>
      <c r="I109" s="123">
        <v>5038.5695411037414</v>
      </c>
      <c r="J109" s="123">
        <v>5016.5983210113982</v>
      </c>
      <c r="K109" s="123">
        <v>4993.7291866876758</v>
      </c>
      <c r="L109" s="123">
        <v>4969.9621417864118</v>
      </c>
      <c r="M109" s="123">
        <v>4945.2971896503004</v>
      </c>
      <c r="N109" s="123">
        <v>4919.7343332085356</v>
      </c>
      <c r="O109" s="123">
        <v>4893.2735748918749</v>
      </c>
      <c r="P109" s="123">
        <v>4865.9149165673907</v>
      </c>
      <c r="Q109" s="123">
        <v>4837.6583594944686</v>
      </c>
      <c r="R109" s="123">
        <v>4808.5039043028028</v>
      </c>
      <c r="S109" s="123">
        <v>4778.451550992394</v>
      </c>
      <c r="T109" s="123">
        <v>4748.3982121037316</v>
      </c>
      <c r="U109" s="123">
        <v>4718.3439358744481</v>
      </c>
      <c r="V109" s="123">
        <v>4688.288792300079</v>
      </c>
      <c r="W109" s="123">
        <v>4658.2328708886844</v>
      </c>
      <c r="X109" s="123">
        <v>4628.1762779929395</v>
      </c>
      <c r="Y109" s="123">
        <v>4598.1191337952741</v>
      </c>
      <c r="Z109" s="123">
        <v>4568.0615690283612</v>
      </c>
      <c r="AA109" s="123">
        <v>4538.0037215176817</v>
      </c>
      <c r="AB109" s="123">
        <v>4507.9457326351203</v>
      </c>
      <c r="AC109" s="123">
        <v>4477.887743752558</v>
      </c>
      <c r="AD109" s="123">
        <v>4447.8298927822625</v>
      </c>
      <c r="AE109" s="123">
        <v>4417.7723108865921</v>
      </c>
      <c r="AF109" s="123">
        <v>4387.7151194334137</v>
      </c>
      <c r="AG109" s="123">
        <v>4359.9904021436478</v>
      </c>
      <c r="AH109" s="123">
        <v>4338.0754673739712</v>
      </c>
      <c r="AI109" s="123">
        <v>4317.0590564642525</v>
      </c>
      <c r="AJ109" s="123">
        <v>4296.9412187945918</v>
      </c>
      <c r="AK109" s="123">
        <v>4277.7219865268235</v>
      </c>
      <c r="AL109" s="123">
        <v>4259.4013742706957</v>
      </c>
      <c r="AM109" s="123">
        <v>4241.9793791832126</v>
      </c>
    </row>
    <row r="112" spans="1:39" x14ac:dyDescent="0.25">
      <c r="AL112" t="s">
        <v>100</v>
      </c>
      <c r="AM112" s="13">
        <f>AM109+AM96+AM84+AM72+AM61+AM49+AM35+AM22+AM11</f>
        <v>35289.381086343841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F103"/>
  <sheetViews>
    <sheetView topLeftCell="A13" workbookViewId="0">
      <selection activeCell="B51" sqref="B51"/>
    </sheetView>
  </sheetViews>
  <sheetFormatPr baseColWidth="10" defaultRowHeight="15" outlineLevelRow="1" x14ac:dyDescent="0.25"/>
  <cols>
    <col min="1" max="1" width="27" bestFit="1" customWidth="1"/>
    <col min="2" max="39" width="8.140625" customWidth="1"/>
    <col min="40" max="74" width="7.5703125" customWidth="1"/>
  </cols>
  <sheetData>
    <row r="2" spans="1:39" x14ac:dyDescent="0.25">
      <c r="A2" s="3" t="s">
        <v>103</v>
      </c>
      <c r="B2" s="59">
        <v>2013</v>
      </c>
      <c r="C2" s="59">
        <v>2014</v>
      </c>
      <c r="D2" s="59">
        <v>2015</v>
      </c>
      <c r="E2" s="59">
        <v>2016</v>
      </c>
      <c r="F2" s="59">
        <v>2017</v>
      </c>
      <c r="G2" s="59">
        <v>2018</v>
      </c>
      <c r="H2" s="59">
        <v>2019</v>
      </c>
      <c r="I2" s="59">
        <v>2020</v>
      </c>
      <c r="J2" s="59">
        <v>2021</v>
      </c>
      <c r="K2" s="59">
        <v>2022</v>
      </c>
      <c r="L2" s="59">
        <v>2023</v>
      </c>
      <c r="M2" s="59">
        <v>2024</v>
      </c>
      <c r="N2" s="59">
        <v>2025</v>
      </c>
      <c r="O2" s="59">
        <v>2026</v>
      </c>
      <c r="P2" s="59">
        <v>2027</v>
      </c>
      <c r="Q2" s="59">
        <v>2028</v>
      </c>
      <c r="R2" s="59">
        <v>2029</v>
      </c>
      <c r="S2" s="59">
        <v>2030</v>
      </c>
      <c r="T2" s="59">
        <v>2031</v>
      </c>
      <c r="U2" s="59">
        <v>2032</v>
      </c>
      <c r="V2" s="59">
        <v>2033</v>
      </c>
      <c r="W2" s="59">
        <v>2034</v>
      </c>
      <c r="X2" s="59">
        <v>2035</v>
      </c>
      <c r="Y2" s="59">
        <v>2036</v>
      </c>
      <c r="Z2" s="59">
        <v>2037</v>
      </c>
      <c r="AA2" s="59">
        <v>2038</v>
      </c>
      <c r="AB2" s="59">
        <v>2039</v>
      </c>
      <c r="AC2" s="59">
        <v>2040</v>
      </c>
      <c r="AD2" s="59">
        <v>2041</v>
      </c>
      <c r="AE2" s="59">
        <v>2042</v>
      </c>
      <c r="AF2" s="59">
        <v>2043</v>
      </c>
      <c r="AG2" s="59">
        <v>2044</v>
      </c>
      <c r="AH2" s="59">
        <v>2045</v>
      </c>
      <c r="AI2" s="59">
        <v>2046</v>
      </c>
      <c r="AJ2" s="59">
        <v>2047</v>
      </c>
      <c r="AK2" s="59">
        <v>2048</v>
      </c>
      <c r="AL2" s="59">
        <v>2049</v>
      </c>
      <c r="AM2" s="59">
        <v>2050</v>
      </c>
    </row>
    <row r="3" spans="1:39" x14ac:dyDescent="0.25">
      <c r="A3" t="s">
        <v>90</v>
      </c>
      <c r="B3" s="45">
        <v>0</v>
      </c>
      <c r="C3" s="123">
        <f>B3+($M3-$B3)/(2024-2013)</f>
        <v>196.97461324784817</v>
      </c>
      <c r="D3" s="123">
        <f t="shared" ref="D3:K3" si="0">C3+($M3-$B3)/(2024-2013)</f>
        <v>393.94922649569634</v>
      </c>
      <c r="E3" s="123">
        <f t="shared" si="0"/>
        <v>590.92383974354448</v>
      </c>
      <c r="F3" s="123">
        <f t="shared" si="0"/>
        <v>787.89845299139267</v>
      </c>
      <c r="G3" s="123">
        <f t="shared" si="0"/>
        <v>984.87306623924087</v>
      </c>
      <c r="H3" s="123">
        <f t="shared" si="0"/>
        <v>1181.847679487089</v>
      </c>
      <c r="I3" s="123">
        <f t="shared" si="0"/>
        <v>1378.822292734937</v>
      </c>
      <c r="J3" s="123">
        <f t="shared" si="0"/>
        <v>1575.7969059827851</v>
      </c>
      <c r="K3" s="123">
        <f t="shared" si="0"/>
        <v>1772.7715192306332</v>
      </c>
      <c r="L3" s="123">
        <f>K3+($M3-$B3)/(2024-2013)</f>
        <v>1969.7461324784813</v>
      </c>
      <c r="M3" s="55">
        <f>'Capacités installées'!H24</f>
        <v>2166.7207457263298</v>
      </c>
      <c r="N3" s="123">
        <f>M3+($AE3-$M3)/(2042-2024)</f>
        <v>2490.862673628425</v>
      </c>
      <c r="O3" s="123">
        <f t="shared" ref="O3:AD3" si="1">N3+($AE3-$M3)/(2042-2024)</f>
        <v>2815.0046015305202</v>
      </c>
      <c r="P3" s="123">
        <f t="shared" si="1"/>
        <v>3139.1465294326154</v>
      </c>
      <c r="Q3" s="123">
        <f t="shared" si="1"/>
        <v>3463.2884573347105</v>
      </c>
      <c r="R3" s="123">
        <f t="shared" si="1"/>
        <v>3787.4303852368057</v>
      </c>
      <c r="S3" s="123">
        <f t="shared" si="1"/>
        <v>4111.5723131389004</v>
      </c>
      <c r="T3" s="123">
        <f t="shared" si="1"/>
        <v>4435.7142410409951</v>
      </c>
      <c r="U3" s="123">
        <f t="shared" si="1"/>
        <v>4759.8561689430899</v>
      </c>
      <c r="V3" s="123">
        <f t="shared" si="1"/>
        <v>5083.9980968451846</v>
      </c>
      <c r="W3" s="123">
        <f t="shared" si="1"/>
        <v>5408.1400247472793</v>
      </c>
      <c r="X3" s="123">
        <f t="shared" si="1"/>
        <v>5732.281952649374</v>
      </c>
      <c r="Y3" s="123">
        <f t="shared" si="1"/>
        <v>6056.4238805514688</v>
      </c>
      <c r="Z3" s="123">
        <f t="shared" si="1"/>
        <v>6380.5658084535635</v>
      </c>
      <c r="AA3" s="123">
        <f t="shared" si="1"/>
        <v>6704.7077363556582</v>
      </c>
      <c r="AB3" s="123">
        <f t="shared" si="1"/>
        <v>7028.8496642577529</v>
      </c>
      <c r="AC3" s="123">
        <f t="shared" si="1"/>
        <v>7352.9915921598476</v>
      </c>
      <c r="AD3" s="123">
        <f t="shared" si="1"/>
        <v>7677.1335200619424</v>
      </c>
      <c r="AE3" s="55">
        <f>'Capacités installées'!G24</f>
        <v>8001.2754479640398</v>
      </c>
      <c r="AF3" s="123">
        <f>AE3+($AK3-$AE3)/(2048-2042)</f>
        <v>8480.6004861885158</v>
      </c>
      <c r="AG3" s="123">
        <f t="shared" ref="AG3:AJ3" si="2">AF3+($AK3-$AE3)/(2048-2042)</f>
        <v>8959.9255244129927</v>
      </c>
      <c r="AH3" s="123">
        <f t="shared" si="2"/>
        <v>9439.2505626374696</v>
      </c>
      <c r="AI3" s="123">
        <f t="shared" si="2"/>
        <v>9918.5756008619464</v>
      </c>
      <c r="AJ3" s="123">
        <f t="shared" si="2"/>
        <v>10397.900639086423</v>
      </c>
      <c r="AK3" s="55">
        <f>'Capacités installées'!F24</f>
        <v>10877.2256773109</v>
      </c>
      <c r="AL3" s="54">
        <f>(AK3+AM3)/2</f>
        <v>11515.414601471024</v>
      </c>
      <c r="AM3" s="55">
        <f>'Capacités installées'!B24</f>
        <v>12153.60352563115</v>
      </c>
    </row>
    <row r="4" spans="1:39" x14ac:dyDescent="0.25">
      <c r="A4" t="s">
        <v>110</v>
      </c>
      <c r="B4" s="45"/>
      <c r="C4" s="54">
        <f>C3-B3</f>
        <v>196.97461324784817</v>
      </c>
      <c r="D4" s="54">
        <f t="shared" ref="D4:AM4" si="3">D3-C3</f>
        <v>196.97461324784817</v>
      </c>
      <c r="E4" s="54">
        <f t="shared" si="3"/>
        <v>196.97461324784814</v>
      </c>
      <c r="F4" s="54">
        <f t="shared" si="3"/>
        <v>196.9746132478482</v>
      </c>
      <c r="G4" s="54">
        <f t="shared" si="3"/>
        <v>196.9746132478482</v>
      </c>
      <c r="H4" s="54">
        <f t="shared" si="3"/>
        <v>196.97461324784808</v>
      </c>
      <c r="I4" s="54">
        <f t="shared" si="3"/>
        <v>196.97461324784808</v>
      </c>
      <c r="J4" s="54">
        <f t="shared" si="3"/>
        <v>196.97461324784808</v>
      </c>
      <c r="K4" s="54">
        <f t="shared" si="3"/>
        <v>196.97461324784808</v>
      </c>
      <c r="L4" s="54">
        <f t="shared" si="3"/>
        <v>196.97461324784808</v>
      </c>
      <c r="M4" s="54">
        <f t="shared" si="3"/>
        <v>196.97461324784854</v>
      </c>
      <c r="N4" s="54">
        <f t="shared" si="3"/>
        <v>324.14192790209518</v>
      </c>
      <c r="O4" s="54">
        <f t="shared" si="3"/>
        <v>324.14192790209518</v>
      </c>
      <c r="P4" s="54">
        <f t="shared" si="3"/>
        <v>324.14192790209518</v>
      </c>
      <c r="Q4" s="54">
        <f t="shared" si="3"/>
        <v>324.14192790209518</v>
      </c>
      <c r="R4" s="54">
        <f t="shared" si="3"/>
        <v>324.14192790209518</v>
      </c>
      <c r="S4" s="54">
        <f t="shared" si="3"/>
        <v>324.14192790209472</v>
      </c>
      <c r="T4" s="54">
        <f t="shared" si="3"/>
        <v>324.14192790209472</v>
      </c>
      <c r="U4" s="54">
        <f t="shared" si="3"/>
        <v>324.14192790209472</v>
      </c>
      <c r="V4" s="54">
        <f t="shared" si="3"/>
        <v>324.14192790209472</v>
      </c>
      <c r="W4" s="54">
        <f t="shared" si="3"/>
        <v>324.14192790209472</v>
      </c>
      <c r="X4" s="54">
        <f t="shared" si="3"/>
        <v>324.14192790209472</v>
      </c>
      <c r="Y4" s="54">
        <f t="shared" si="3"/>
        <v>324.14192790209472</v>
      </c>
      <c r="Z4" s="54">
        <f t="shared" si="3"/>
        <v>324.14192790209472</v>
      </c>
      <c r="AA4" s="54">
        <f t="shared" si="3"/>
        <v>324.14192790209472</v>
      </c>
      <c r="AB4" s="54">
        <f t="shared" si="3"/>
        <v>324.14192790209472</v>
      </c>
      <c r="AC4" s="54">
        <f t="shared" si="3"/>
        <v>324.14192790209472</v>
      </c>
      <c r="AD4" s="54">
        <f t="shared" si="3"/>
        <v>324.14192790209472</v>
      </c>
      <c r="AE4" s="54">
        <f t="shared" si="3"/>
        <v>324.14192790209745</v>
      </c>
      <c r="AF4" s="54">
        <f t="shared" si="3"/>
        <v>479.32503822447597</v>
      </c>
      <c r="AG4" s="54">
        <f t="shared" si="3"/>
        <v>479.32503822447688</v>
      </c>
      <c r="AH4" s="54">
        <f t="shared" si="3"/>
        <v>479.32503822447688</v>
      </c>
      <c r="AI4" s="54">
        <f t="shared" si="3"/>
        <v>479.32503822447688</v>
      </c>
      <c r="AJ4" s="54">
        <f t="shared" si="3"/>
        <v>479.32503822447688</v>
      </c>
      <c r="AK4" s="54">
        <f t="shared" si="3"/>
        <v>479.32503822447688</v>
      </c>
      <c r="AL4" s="54">
        <f t="shared" si="3"/>
        <v>638.18892416012386</v>
      </c>
      <c r="AM4" s="54">
        <f t="shared" si="3"/>
        <v>638.18892416012568</v>
      </c>
    </row>
    <row r="5" spans="1:39" x14ac:dyDescent="0.25">
      <c r="A5" t="s">
        <v>106</v>
      </c>
      <c r="B5" s="58">
        <f>LCOE!AN27*1000</f>
        <v>900000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61"/>
      <c r="N5" s="54"/>
      <c r="O5" s="54"/>
      <c r="P5" s="54"/>
      <c r="Q5" s="54"/>
      <c r="R5" s="54"/>
      <c r="S5" s="55">
        <f>LCOE!AO27*1000</f>
        <v>805000</v>
      </c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61"/>
      <c r="AF5" s="61"/>
      <c r="AG5" s="61"/>
      <c r="AH5" s="61"/>
      <c r="AI5" s="61"/>
      <c r="AJ5" s="61"/>
      <c r="AK5" s="61"/>
      <c r="AL5" s="54"/>
      <c r="AM5" s="55">
        <f>LCOE!AP27*1000</f>
        <v>753000</v>
      </c>
    </row>
    <row r="6" spans="1:39" x14ac:dyDescent="0.25">
      <c r="A6" t="s">
        <v>104</v>
      </c>
      <c r="B6" s="53">
        <f>B5*S6/S5</f>
        <v>57370.517928286856</v>
      </c>
      <c r="C6" s="13">
        <f>B6+($S6-$B6)/(2030-2013)</f>
        <v>57014.295758143897</v>
      </c>
      <c r="D6" s="13">
        <f t="shared" ref="D6:R7" si="4">C6+($S6-$B6)/(2030-2013)</f>
        <v>56658.073588000938</v>
      </c>
      <c r="E6" s="13">
        <f t="shared" si="4"/>
        <v>56301.851417857979</v>
      </c>
      <c r="F6" s="13">
        <f t="shared" si="4"/>
        <v>55945.62924771502</v>
      </c>
      <c r="G6" s="13">
        <f t="shared" si="4"/>
        <v>55589.407077572061</v>
      </c>
      <c r="H6" s="13">
        <f t="shared" si="4"/>
        <v>55233.184907429102</v>
      </c>
      <c r="I6" s="13">
        <f t="shared" si="4"/>
        <v>54876.962737286143</v>
      </c>
      <c r="J6" s="13">
        <f t="shared" si="4"/>
        <v>54520.740567143184</v>
      </c>
      <c r="K6" s="13">
        <f t="shared" si="4"/>
        <v>54164.518397000225</v>
      </c>
      <c r="L6" s="13">
        <f t="shared" si="4"/>
        <v>53808.296226857266</v>
      </c>
      <c r="M6" s="13">
        <f t="shared" si="4"/>
        <v>53452.074056714308</v>
      </c>
      <c r="N6" s="13">
        <f t="shared" si="4"/>
        <v>53095.851886571349</v>
      </c>
      <c r="O6" s="13">
        <f t="shared" si="4"/>
        <v>52739.62971642839</v>
      </c>
      <c r="P6" s="13">
        <f t="shared" si="4"/>
        <v>52383.407546285431</v>
      </c>
      <c r="Q6" s="13">
        <f t="shared" si="4"/>
        <v>52027.185376142472</v>
      </c>
      <c r="R6" s="13">
        <f t="shared" si="4"/>
        <v>51670.963205999513</v>
      </c>
      <c r="S6" s="13">
        <f>S5*AM6/AM5</f>
        <v>51314.741035856576</v>
      </c>
      <c r="T6" s="13">
        <f>S6+($AM6-$S6)/(2050-2030)</f>
        <v>51149.003984063747</v>
      </c>
      <c r="U6" s="13">
        <f t="shared" ref="U6:AL7" si="5">T6+($AM6-$S6)/(2050-2030)</f>
        <v>50983.266932270919</v>
      </c>
      <c r="V6" s="13">
        <f t="shared" si="5"/>
        <v>50817.52988047809</v>
      </c>
      <c r="W6" s="13">
        <f t="shared" si="5"/>
        <v>50651.792828685262</v>
      </c>
      <c r="X6" s="13">
        <f t="shared" si="5"/>
        <v>50486.055776892434</v>
      </c>
      <c r="Y6" s="13">
        <f t="shared" si="5"/>
        <v>50320.318725099605</v>
      </c>
      <c r="Z6" s="13">
        <f t="shared" si="5"/>
        <v>50154.581673306777</v>
      </c>
      <c r="AA6" s="13">
        <f t="shared" si="5"/>
        <v>49988.844621513948</v>
      </c>
      <c r="AB6" s="13">
        <f t="shared" si="5"/>
        <v>49823.10756972112</v>
      </c>
      <c r="AC6" s="13">
        <f t="shared" si="5"/>
        <v>49657.370517928292</v>
      </c>
      <c r="AD6" s="13">
        <f t="shared" si="5"/>
        <v>49491.633466135463</v>
      </c>
      <c r="AE6" s="13">
        <f t="shared" si="5"/>
        <v>49325.896414342635</v>
      </c>
      <c r="AF6" s="13">
        <f t="shared" si="5"/>
        <v>49160.159362549806</v>
      </c>
      <c r="AG6" s="13">
        <f t="shared" si="5"/>
        <v>48994.422310756978</v>
      </c>
      <c r="AH6" s="13">
        <f t="shared" si="5"/>
        <v>48828.685258964149</v>
      </c>
      <c r="AI6" s="13">
        <f t="shared" si="5"/>
        <v>48662.948207171321</v>
      </c>
      <c r="AJ6" s="13">
        <f t="shared" si="5"/>
        <v>48497.211155378493</v>
      </c>
      <c r="AK6" s="13">
        <f t="shared" si="5"/>
        <v>48331.474103585664</v>
      </c>
      <c r="AL6" s="13">
        <f t="shared" si="5"/>
        <v>48165.737051792836</v>
      </c>
      <c r="AM6" s="13">
        <f>LCOE!AR27*1000</f>
        <v>48000</v>
      </c>
    </row>
    <row r="7" spans="1:39" x14ac:dyDescent="0.25">
      <c r="A7" t="s">
        <v>105</v>
      </c>
      <c r="B7" s="13">
        <f>B6*S7/S6</f>
        <v>16733.067729083668</v>
      </c>
      <c r="C7" s="13">
        <f>B7+($S7-$B7)/(2030-2013)</f>
        <v>16629.169596125306</v>
      </c>
      <c r="D7" s="13">
        <f t="shared" si="4"/>
        <v>16525.271463166944</v>
      </c>
      <c r="E7" s="13">
        <f t="shared" si="4"/>
        <v>16421.373330208582</v>
      </c>
      <c r="F7" s="13">
        <f t="shared" si="4"/>
        <v>16317.47519725022</v>
      </c>
      <c r="G7" s="13">
        <f t="shared" si="4"/>
        <v>16213.577064291858</v>
      </c>
      <c r="H7" s="13">
        <f t="shared" si="4"/>
        <v>16109.678931333496</v>
      </c>
      <c r="I7" s="13">
        <f t="shared" si="4"/>
        <v>16005.780798375134</v>
      </c>
      <c r="J7" s="13">
        <f t="shared" si="4"/>
        <v>15901.882665416771</v>
      </c>
      <c r="K7" s="13">
        <f t="shared" si="4"/>
        <v>15797.984532458409</v>
      </c>
      <c r="L7" s="13">
        <f t="shared" si="4"/>
        <v>15694.086399500047</v>
      </c>
      <c r="M7" s="13">
        <f t="shared" si="4"/>
        <v>15590.188266541685</v>
      </c>
      <c r="N7" s="13">
        <f t="shared" si="4"/>
        <v>15486.290133583323</v>
      </c>
      <c r="O7" s="13">
        <f t="shared" si="4"/>
        <v>15382.392000624961</v>
      </c>
      <c r="P7" s="13">
        <f>O7+($S7-$B7)/(2030-2013)</f>
        <v>15278.493867666599</v>
      </c>
      <c r="Q7" s="13">
        <f t="shared" si="4"/>
        <v>15174.595734708237</v>
      </c>
      <c r="R7" s="13">
        <f t="shared" si="4"/>
        <v>15070.697601749875</v>
      </c>
      <c r="S7" s="13">
        <f>S6*AM7/AM6</f>
        <v>14966.799468791502</v>
      </c>
      <c r="T7" s="13">
        <f>S7+($AM7-$S7)/(2050-2030)</f>
        <v>14918.459495351926</v>
      </c>
      <c r="U7" s="13">
        <f t="shared" si="5"/>
        <v>14870.119521912351</v>
      </c>
      <c r="V7" s="13">
        <f t="shared" si="5"/>
        <v>14821.779548472776</v>
      </c>
      <c r="W7" s="13">
        <f>V7+($AM7-$S7)/(2050-2030)</f>
        <v>14773.439575033201</v>
      </c>
      <c r="X7" s="13">
        <f t="shared" si="5"/>
        <v>14725.099601593625</v>
      </c>
      <c r="Y7" s="13">
        <f t="shared" si="5"/>
        <v>14676.75962815405</v>
      </c>
      <c r="Z7" s="13">
        <f t="shared" si="5"/>
        <v>14628.419654714475</v>
      </c>
      <c r="AA7" s="13">
        <f t="shared" si="5"/>
        <v>14580.079681274899</v>
      </c>
      <c r="AB7" s="13">
        <f t="shared" si="5"/>
        <v>14531.739707835324</v>
      </c>
      <c r="AC7" s="13">
        <f t="shared" si="5"/>
        <v>14483.399734395749</v>
      </c>
      <c r="AD7" s="13">
        <f t="shared" si="5"/>
        <v>14435.059760956174</v>
      </c>
      <c r="AE7" s="13">
        <f t="shared" si="5"/>
        <v>14386.719787516598</v>
      </c>
      <c r="AF7" s="13">
        <f t="shared" si="5"/>
        <v>14338.379814077023</v>
      </c>
      <c r="AG7" s="13">
        <f t="shared" si="5"/>
        <v>14290.039840637448</v>
      </c>
      <c r="AH7" s="13">
        <f t="shared" si="5"/>
        <v>14241.699867197873</v>
      </c>
      <c r="AI7" s="13">
        <f t="shared" si="5"/>
        <v>14193.359893758297</v>
      </c>
      <c r="AJ7" s="13">
        <f t="shared" si="5"/>
        <v>14145.019920318722</v>
      </c>
      <c r="AK7" s="13">
        <f t="shared" si="5"/>
        <v>14096.679946879147</v>
      </c>
      <c r="AL7" s="13">
        <f t="shared" si="5"/>
        <v>14048.339973439572</v>
      </c>
      <c r="AM7" s="13">
        <f>LCOE!AS27*1000</f>
        <v>14000</v>
      </c>
    </row>
    <row r="8" spans="1:39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x14ac:dyDescent="0.25">
      <c r="A9" t="s">
        <v>111</v>
      </c>
      <c r="B9" s="13">
        <v>0</v>
      </c>
      <c r="C9" s="13">
        <v>11.230368856558814</v>
      </c>
      <c r="D9" s="13">
        <v>22.390570988923415</v>
      </c>
      <c r="E9" s="13">
        <v>33.480606397093801</v>
      </c>
      <c r="F9" s="13">
        <v>44.500475081069979</v>
      </c>
      <c r="G9" s="13">
        <v>55.450177040851941</v>
      </c>
      <c r="H9" s="13">
        <v>66.329712276439693</v>
      </c>
      <c r="I9" s="13">
        <v>77.139080787833251</v>
      </c>
      <c r="J9" s="13">
        <v>87.878282575032586</v>
      </c>
      <c r="K9" s="13">
        <v>98.547317638037711</v>
      </c>
      <c r="L9" s="13">
        <v>109.14618597684863</v>
      </c>
      <c r="M9" s="13">
        <v>119.67488759146532</v>
      </c>
      <c r="N9" s="13">
        <v>136.8854793855825</v>
      </c>
      <c r="O9" s="13">
        <v>153.98060463870809</v>
      </c>
      <c r="P9" s="13">
        <v>170.96026335084204</v>
      </c>
      <c r="Q9" s="13">
        <v>187.82445552198442</v>
      </c>
      <c r="R9" s="13">
        <v>204.57318115213519</v>
      </c>
      <c r="S9" s="13">
        <v>221.20644024129436</v>
      </c>
      <c r="T9" s="13">
        <v>237.78597700296064</v>
      </c>
      <c r="U9" s="13">
        <v>254.31179143713402</v>
      </c>
      <c r="V9" s="13">
        <v>270.78388354381451</v>
      </c>
      <c r="W9" s="13">
        <v>285.94900176918372</v>
      </c>
      <c r="X9" s="13">
        <v>301.09791839957649</v>
      </c>
      <c r="Y9" s="13">
        <v>316.23063343499291</v>
      </c>
      <c r="Z9" s="13">
        <v>331.34714687543288</v>
      </c>
      <c r="AA9" s="13">
        <v>346.44745872089646</v>
      </c>
      <c r="AB9" s="13">
        <v>361.53156897138359</v>
      </c>
      <c r="AC9" s="13">
        <v>376.59947762689427</v>
      </c>
      <c r="AD9" s="13">
        <v>391.65118468742855</v>
      </c>
      <c r="AE9" s="13">
        <v>406.68669015298644</v>
      </c>
      <c r="AF9" s="13">
        <v>429.33482045739191</v>
      </c>
      <c r="AG9" s="13">
        <v>451.94102957562814</v>
      </c>
      <c r="AH9" s="13">
        <v>473.96267338648011</v>
      </c>
      <c r="AI9" s="13">
        <v>495.96661949214496</v>
      </c>
      <c r="AJ9" s="13">
        <v>517.95286789262275</v>
      </c>
      <c r="AK9" s="13">
        <v>539.92141858791331</v>
      </c>
      <c r="AL9" s="13">
        <v>569.524067735019</v>
      </c>
      <c r="AM9" s="13">
        <v>599.0826895448464</v>
      </c>
    </row>
    <row r="10" spans="1:39" x14ac:dyDescent="0.25">
      <c r="A10" t="s">
        <v>107</v>
      </c>
      <c r="B10" s="13">
        <f>B7*B3/1000000</f>
        <v>0</v>
      </c>
      <c r="C10" s="13">
        <f t="shared" ref="C10:S10" si="6">C7*C3/1000000</f>
        <v>3.2755242498296577</v>
      </c>
      <c r="D10" s="13">
        <f t="shared" si="6"/>
        <v>6.5101179105460218</v>
      </c>
      <c r="E10" s="13">
        <f t="shared" si="6"/>
        <v>9.703780982149091</v>
      </c>
      <c r="F10" s="13">
        <f t="shared" si="6"/>
        <v>12.856513464638867</v>
      </c>
      <c r="G10" s="13">
        <f t="shared" si="6"/>
        <v>15.968315358015351</v>
      </c>
      <c r="H10" s="13">
        <f t="shared" si="6"/>
        <v>19.039186662278542</v>
      </c>
      <c r="I10" s="13">
        <f t="shared" si="6"/>
        <v>22.06912737742843</v>
      </c>
      <c r="J10" s="13">
        <f t="shared" si="6"/>
        <v>25.058137503465034</v>
      </c>
      <c r="K10" s="13">
        <f t="shared" si="6"/>
        <v>28.006217040388339</v>
      </c>
      <c r="L10" s="13">
        <f t="shared" si="6"/>
        <v>30.91336598819835</v>
      </c>
      <c r="M10" s="13">
        <f t="shared" si="6"/>
        <v>33.779584346895078</v>
      </c>
      <c r="N10" s="13">
        <f t="shared" si="6"/>
        <v>38.574222046722852</v>
      </c>
      <c r="O10" s="13">
        <f t="shared" si="6"/>
        <v>43.301504264305535</v>
      </c>
      <c r="P10" s="13">
        <f t="shared" si="6"/>
        <v>47.961430999643099</v>
      </c>
      <c r="Q10" s="13">
        <f t="shared" si="6"/>
        <v>52.554002252735572</v>
      </c>
      <c r="R10" s="13">
        <f t="shared" si="6"/>
        <v>57.079218023582925</v>
      </c>
      <c r="S10" s="13">
        <f t="shared" si="6"/>
        <v>61.537078312185137</v>
      </c>
      <c r="T10" s="13">
        <f t="shared" ref="T10:AM10" si="7">T7*T3/1000000</f>
        <v>66.174023237925795</v>
      </c>
      <c r="U10" s="13">
        <f t="shared" si="7"/>
        <v>70.779630139295577</v>
      </c>
      <c r="V10" s="13">
        <f t="shared" si="7"/>
        <v>75.353899016294463</v>
      </c>
      <c r="W10" s="13">
        <f t="shared" si="7"/>
        <v>79.896829868922481</v>
      </c>
      <c r="X10" s="13">
        <f t="shared" si="7"/>
        <v>84.408422697179631</v>
      </c>
      <c r="Y10" s="13">
        <f t="shared" si="7"/>
        <v>88.888677501065885</v>
      </c>
      <c r="Z10" s="13">
        <f t="shared" si="7"/>
        <v>93.337594280581271</v>
      </c>
      <c r="AA10" s="13">
        <f t="shared" si="7"/>
        <v>97.755173035725761</v>
      </c>
      <c r="AB10" s="13">
        <f t="shared" si="7"/>
        <v>102.14141376649937</v>
      </c>
      <c r="AC10" s="13">
        <f t="shared" si="7"/>
        <v>106.49631647290212</v>
      </c>
      <c r="AD10" s="13">
        <f t="shared" si="7"/>
        <v>110.81988115493398</v>
      </c>
      <c r="AE10" s="13">
        <f t="shared" si="7"/>
        <v>115.11210781259499</v>
      </c>
      <c r="AF10" s="13">
        <f t="shared" si="7"/>
        <v>121.5980708224172</v>
      </c>
      <c r="AG10" s="13">
        <f t="shared" si="7"/>
        <v>128.03769271300604</v>
      </c>
      <c r="AH10" s="13">
        <f t="shared" si="7"/>
        <v>134.43097348436149</v>
      </c>
      <c r="AI10" s="13">
        <f t="shared" si="7"/>
        <v>140.77791313648356</v>
      </c>
      <c r="AJ10" s="13">
        <f t="shared" si="7"/>
        <v>147.07851166937223</v>
      </c>
      <c r="AK10" s="13">
        <f t="shared" si="7"/>
        <v>153.3327690830275</v>
      </c>
      <c r="AL10" s="13">
        <f t="shared" si="7"/>
        <v>161.7724592565751</v>
      </c>
      <c r="AM10" s="13">
        <f t="shared" si="7"/>
        <v>170.15044935883608</v>
      </c>
    </row>
    <row r="11" spans="1:39" x14ac:dyDescent="0.25">
      <c r="A11" t="s">
        <v>112</v>
      </c>
      <c r="B11" s="13">
        <f>B10+B9</f>
        <v>0</v>
      </c>
      <c r="C11" s="13">
        <f t="shared" ref="C11:AM11" si="8">C10+C9</f>
        <v>14.505893106388472</v>
      </c>
      <c r="D11" s="13">
        <f t="shared" si="8"/>
        <v>28.900688899469436</v>
      </c>
      <c r="E11" s="13">
        <f t="shared" si="8"/>
        <v>43.184387379242892</v>
      </c>
      <c r="F11" s="13">
        <f t="shared" si="8"/>
        <v>57.356988545708845</v>
      </c>
      <c r="G11" s="13">
        <f t="shared" si="8"/>
        <v>71.418492398867286</v>
      </c>
      <c r="H11" s="13">
        <f t="shared" si="8"/>
        <v>85.368898938718232</v>
      </c>
      <c r="I11" s="13">
        <f t="shared" si="8"/>
        <v>99.208208165261681</v>
      </c>
      <c r="J11" s="13">
        <f t="shared" si="8"/>
        <v>112.93642007849762</v>
      </c>
      <c r="K11" s="13">
        <f t="shared" si="8"/>
        <v>126.55353467842605</v>
      </c>
      <c r="L11" s="13">
        <f t="shared" si="8"/>
        <v>140.05955196504698</v>
      </c>
      <c r="M11" s="13">
        <f t="shared" si="8"/>
        <v>153.4544719383604</v>
      </c>
      <c r="N11" s="13">
        <f t="shared" si="8"/>
        <v>175.45970143230534</v>
      </c>
      <c r="O11" s="13">
        <f t="shared" si="8"/>
        <v>197.28210890301364</v>
      </c>
      <c r="P11" s="13">
        <f t="shared" si="8"/>
        <v>218.92169435048515</v>
      </c>
      <c r="Q11" s="13">
        <f t="shared" si="8"/>
        <v>240.37845777472</v>
      </c>
      <c r="R11" s="13">
        <f t="shared" si="8"/>
        <v>261.65239917571813</v>
      </c>
      <c r="S11" s="13">
        <f t="shared" si="8"/>
        <v>282.74351855347948</v>
      </c>
      <c r="T11" s="13">
        <f t="shared" si="8"/>
        <v>303.96000024088642</v>
      </c>
      <c r="U11" s="13">
        <f t="shared" si="8"/>
        <v>325.09142157642958</v>
      </c>
      <c r="V11" s="13">
        <f t="shared" si="8"/>
        <v>346.13778256010897</v>
      </c>
      <c r="W11" s="13">
        <f t="shared" si="8"/>
        <v>365.84583163810623</v>
      </c>
      <c r="X11" s="13">
        <f t="shared" si="8"/>
        <v>385.5063410967561</v>
      </c>
      <c r="Y11" s="13">
        <f t="shared" si="8"/>
        <v>405.11931093605881</v>
      </c>
      <c r="Z11" s="13">
        <f t="shared" si="8"/>
        <v>424.68474115601418</v>
      </c>
      <c r="AA11" s="13">
        <f t="shared" si="8"/>
        <v>444.20263175662222</v>
      </c>
      <c r="AB11" s="13">
        <f t="shared" si="8"/>
        <v>463.67298273788299</v>
      </c>
      <c r="AC11" s="13">
        <f t="shared" si="8"/>
        <v>483.09579409979642</v>
      </c>
      <c r="AD11" s="13">
        <f t="shared" si="8"/>
        <v>502.47106584236252</v>
      </c>
      <c r="AE11" s="13">
        <f t="shared" si="8"/>
        <v>521.79879796558146</v>
      </c>
      <c r="AF11" s="13">
        <f t="shared" si="8"/>
        <v>550.93289127980916</v>
      </c>
      <c r="AG11" s="13">
        <f t="shared" si="8"/>
        <v>579.97872228863412</v>
      </c>
      <c r="AH11" s="13">
        <f t="shared" si="8"/>
        <v>608.39364687084162</v>
      </c>
      <c r="AI11" s="13">
        <f t="shared" si="8"/>
        <v>636.74453262862858</v>
      </c>
      <c r="AJ11" s="13">
        <f t="shared" si="8"/>
        <v>665.03137956199498</v>
      </c>
      <c r="AK11" s="13">
        <f t="shared" si="8"/>
        <v>693.25418767094084</v>
      </c>
      <c r="AL11" s="13">
        <f t="shared" si="8"/>
        <v>731.29652699159408</v>
      </c>
      <c r="AM11" s="13">
        <f t="shared" si="8"/>
        <v>769.23313890368252</v>
      </c>
    </row>
    <row r="12" spans="1:39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4" spans="1:39" x14ac:dyDescent="0.25">
      <c r="A14" s="3" t="s">
        <v>29</v>
      </c>
      <c r="B14" s="59">
        <v>2013</v>
      </c>
      <c r="C14" s="59">
        <v>2014</v>
      </c>
      <c r="D14" s="59">
        <v>2015</v>
      </c>
      <c r="E14" s="59">
        <v>2016</v>
      </c>
      <c r="F14" s="59">
        <v>2017</v>
      </c>
      <c r="G14" s="59">
        <v>2018</v>
      </c>
      <c r="H14" s="59">
        <v>2019</v>
      </c>
      <c r="I14" s="59">
        <v>2020</v>
      </c>
      <c r="J14" s="59">
        <v>2021</v>
      </c>
      <c r="K14" s="59">
        <v>2022</v>
      </c>
      <c r="L14" s="59">
        <v>2023</v>
      </c>
      <c r="M14" s="59">
        <v>2024</v>
      </c>
      <c r="N14" s="59">
        <v>2025</v>
      </c>
      <c r="O14" s="59">
        <v>2026</v>
      </c>
      <c r="P14" s="59">
        <v>2027</v>
      </c>
      <c r="Q14" s="59">
        <v>2028</v>
      </c>
      <c r="R14" s="59">
        <v>2029</v>
      </c>
      <c r="S14" s="59">
        <v>2030</v>
      </c>
      <c r="T14" s="59">
        <v>2031</v>
      </c>
      <c r="U14" s="59">
        <v>2032</v>
      </c>
      <c r="V14" s="59">
        <v>2033</v>
      </c>
      <c r="W14" s="59">
        <v>2034</v>
      </c>
      <c r="X14" s="59">
        <v>2035</v>
      </c>
      <c r="Y14" s="59">
        <v>2036</v>
      </c>
      <c r="Z14" s="59">
        <v>2037</v>
      </c>
      <c r="AA14" s="59">
        <v>2038</v>
      </c>
      <c r="AB14" s="59">
        <v>2039</v>
      </c>
      <c r="AC14" s="59">
        <v>2040</v>
      </c>
      <c r="AD14" s="59">
        <v>2041</v>
      </c>
      <c r="AE14" s="59">
        <v>2042</v>
      </c>
      <c r="AF14" s="59">
        <v>2043</v>
      </c>
      <c r="AG14" s="59">
        <v>2044</v>
      </c>
      <c r="AH14" s="59">
        <v>2045</v>
      </c>
      <c r="AI14" s="59">
        <v>2046</v>
      </c>
      <c r="AJ14" s="59">
        <v>2047</v>
      </c>
      <c r="AK14" s="59">
        <v>2048</v>
      </c>
      <c r="AL14" s="59">
        <v>2049</v>
      </c>
      <c r="AM14" s="59">
        <v>2050</v>
      </c>
    </row>
    <row r="15" spans="1:39" x14ac:dyDescent="0.25">
      <c r="A15" s="63" t="s">
        <v>90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13">
        <f t="shared" ref="AE15:AK15" si="9">AF15*(AE48/AF48)</f>
        <v>1920.9994037415777</v>
      </c>
      <c r="AF15" s="13">
        <f t="shared" si="9"/>
        <v>3841.9988074831554</v>
      </c>
      <c r="AG15" s="13">
        <f t="shared" si="9"/>
        <v>5762.9982112247335</v>
      </c>
      <c r="AH15" s="13">
        <f t="shared" si="9"/>
        <v>7683.9976149663116</v>
      </c>
      <c r="AI15" s="13">
        <f t="shared" si="9"/>
        <v>9604.9970187078889</v>
      </c>
      <c r="AJ15" s="13">
        <f t="shared" si="9"/>
        <v>11525.996422449465</v>
      </c>
      <c r="AK15" s="13">
        <f t="shared" si="9"/>
        <v>13446.995826191043</v>
      </c>
      <c r="AL15" s="13">
        <f>AM15*(AL48/AM48)</f>
        <v>15367.995229932621</v>
      </c>
      <c r="AM15" s="55">
        <f>'Capacités installées'!B21</f>
        <v>17288.9946336742</v>
      </c>
    </row>
    <row r="16" spans="1:39" x14ac:dyDescent="0.25">
      <c r="A16" t="s">
        <v>110</v>
      </c>
      <c r="B16" s="45"/>
      <c r="C16" s="54">
        <f t="shared" ref="C16:AM16" si="10">C15-B15</f>
        <v>0</v>
      </c>
      <c r="D16" s="54">
        <f t="shared" si="10"/>
        <v>0</v>
      </c>
      <c r="E16" s="54">
        <f t="shared" si="10"/>
        <v>0</v>
      </c>
      <c r="F16" s="54">
        <f t="shared" si="10"/>
        <v>0</v>
      </c>
      <c r="G16" s="54">
        <f t="shared" si="10"/>
        <v>0</v>
      </c>
      <c r="H16" s="54">
        <f t="shared" si="10"/>
        <v>0</v>
      </c>
      <c r="I16" s="54">
        <f t="shared" si="10"/>
        <v>0</v>
      </c>
      <c r="J16" s="54">
        <f t="shared" si="10"/>
        <v>0</v>
      </c>
      <c r="K16" s="54">
        <f t="shared" si="10"/>
        <v>0</v>
      </c>
      <c r="L16" s="54">
        <f t="shared" si="10"/>
        <v>0</v>
      </c>
      <c r="M16" s="54">
        <f t="shared" si="10"/>
        <v>0</v>
      </c>
      <c r="N16" s="54">
        <f t="shared" si="10"/>
        <v>0</v>
      </c>
      <c r="O16" s="54">
        <f t="shared" si="10"/>
        <v>0</v>
      </c>
      <c r="P16" s="54">
        <f t="shared" si="10"/>
        <v>0</v>
      </c>
      <c r="Q16" s="54">
        <f t="shared" si="10"/>
        <v>0</v>
      </c>
      <c r="R16" s="54">
        <f t="shared" si="10"/>
        <v>0</v>
      </c>
      <c r="S16" s="54">
        <f t="shared" si="10"/>
        <v>0</v>
      </c>
      <c r="T16" s="54">
        <f t="shared" si="10"/>
        <v>0</v>
      </c>
      <c r="U16" s="54">
        <f t="shared" si="10"/>
        <v>0</v>
      </c>
      <c r="V16" s="54">
        <f t="shared" si="10"/>
        <v>0</v>
      </c>
      <c r="W16" s="54">
        <f t="shared" si="10"/>
        <v>0</v>
      </c>
      <c r="X16" s="54">
        <f t="shared" si="10"/>
        <v>0</v>
      </c>
      <c r="Y16" s="54">
        <f t="shared" si="10"/>
        <v>0</v>
      </c>
      <c r="Z16" s="54">
        <f t="shared" si="10"/>
        <v>0</v>
      </c>
      <c r="AA16" s="54">
        <f t="shared" si="10"/>
        <v>0</v>
      </c>
      <c r="AB16" s="54">
        <f t="shared" si="10"/>
        <v>0</v>
      </c>
      <c r="AC16" s="54">
        <f t="shared" si="10"/>
        <v>0</v>
      </c>
      <c r="AD16" s="54">
        <f t="shared" si="10"/>
        <v>0</v>
      </c>
      <c r="AE16" s="54">
        <f t="shared" si="10"/>
        <v>1920.9994037415777</v>
      </c>
      <c r="AF16" s="54">
        <f t="shared" si="10"/>
        <v>1920.9994037415777</v>
      </c>
      <c r="AG16" s="54">
        <f t="shared" si="10"/>
        <v>1920.9994037415781</v>
      </c>
      <c r="AH16" s="54">
        <f t="shared" si="10"/>
        <v>1920.9994037415781</v>
      </c>
      <c r="AI16" s="54">
        <f t="shared" si="10"/>
        <v>1920.9994037415772</v>
      </c>
      <c r="AJ16" s="54">
        <f t="shared" si="10"/>
        <v>1920.9994037415763</v>
      </c>
      <c r="AK16" s="54">
        <f t="shared" si="10"/>
        <v>1920.9994037415781</v>
      </c>
      <c r="AL16" s="54">
        <f t="shared" si="10"/>
        <v>1920.9994037415781</v>
      </c>
      <c r="AM16" s="54">
        <f t="shared" si="10"/>
        <v>1920.9994037415781</v>
      </c>
    </row>
    <row r="17" spans="1:56" x14ac:dyDescent="0.25">
      <c r="A17" t="s">
        <v>106</v>
      </c>
      <c r="B17" s="58">
        <f>LCOE!AN28*1000</f>
        <v>836653.38645418326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61"/>
      <c r="N17" s="54"/>
      <c r="O17" s="54"/>
      <c r="P17" s="54"/>
      <c r="Q17" s="54"/>
      <c r="R17" s="54"/>
      <c r="S17" s="55">
        <f>LCOE!AO28*1000</f>
        <v>748339.97343957506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61"/>
      <c r="AF17" s="54"/>
      <c r="AG17" s="54"/>
      <c r="AH17" s="54"/>
      <c r="AI17" s="54"/>
      <c r="AJ17" s="54"/>
      <c r="AK17" s="61"/>
      <c r="AL17" s="54"/>
      <c r="AM17" s="55">
        <f>LCOE!AP28*1000</f>
        <v>700000</v>
      </c>
    </row>
    <row r="18" spans="1:56" x14ac:dyDescent="0.25">
      <c r="A18" t="s">
        <v>104</v>
      </c>
      <c r="B18" s="62">
        <f>B17*S18/S17</f>
        <v>50199.203187250998</v>
      </c>
      <c r="C18" s="13">
        <f>B18+($S18-$B18)/(2030-2013)</f>
        <v>49887.508788375912</v>
      </c>
      <c r="D18" s="13">
        <f t="shared" ref="D18:R19" si="11">C18+($S18-$B18)/(2030-2013)</f>
        <v>49575.814389500825</v>
      </c>
      <c r="E18" s="13">
        <f t="shared" si="11"/>
        <v>49264.119990625739</v>
      </c>
      <c r="F18" s="13">
        <f t="shared" si="11"/>
        <v>48952.425591750653</v>
      </c>
      <c r="G18" s="13">
        <f t="shared" si="11"/>
        <v>48640.731192875566</v>
      </c>
      <c r="H18" s="13">
        <f t="shared" si="11"/>
        <v>48329.03679400048</v>
      </c>
      <c r="I18" s="13">
        <f t="shared" si="11"/>
        <v>48017.342395125394</v>
      </c>
      <c r="J18" s="13">
        <f t="shared" si="11"/>
        <v>47705.647996250307</v>
      </c>
      <c r="K18" s="13">
        <f t="shared" si="11"/>
        <v>47393.953597375221</v>
      </c>
      <c r="L18" s="13">
        <f t="shared" si="11"/>
        <v>47082.259198500135</v>
      </c>
      <c r="M18" s="13">
        <f t="shared" si="11"/>
        <v>46770.564799625048</v>
      </c>
      <c r="N18" s="13">
        <f t="shared" si="11"/>
        <v>46458.870400749962</v>
      </c>
      <c r="O18" s="13">
        <f t="shared" si="11"/>
        <v>46147.176001874876</v>
      </c>
      <c r="P18" s="13">
        <f t="shared" si="11"/>
        <v>45835.481602999789</v>
      </c>
      <c r="Q18" s="13">
        <f t="shared" si="11"/>
        <v>45523.787204124703</v>
      </c>
      <c r="R18" s="13">
        <f t="shared" si="11"/>
        <v>45212.092805249617</v>
      </c>
      <c r="S18" s="13">
        <f>S17*AM18/AM17</f>
        <v>44900.398406374501</v>
      </c>
      <c r="T18" s="13">
        <f>S18+($AM18-$S18)/(2050-2030)</f>
        <v>44755.378486055779</v>
      </c>
      <c r="U18" s="13">
        <f t="shared" ref="U18:AL19" si="12">T18+($AM18-$S18)/(2050-2030)</f>
        <v>44610.358565737057</v>
      </c>
      <c r="V18" s="13">
        <f t="shared" si="12"/>
        <v>44465.338645418335</v>
      </c>
      <c r="W18" s="13">
        <f t="shared" si="12"/>
        <v>44320.318725099612</v>
      </c>
      <c r="X18" s="13">
        <f t="shared" si="12"/>
        <v>44175.29880478089</v>
      </c>
      <c r="Y18" s="13">
        <f t="shared" si="12"/>
        <v>44030.278884462168</v>
      </c>
      <c r="Z18" s="13">
        <f t="shared" si="12"/>
        <v>43885.258964143446</v>
      </c>
      <c r="AA18" s="13">
        <f t="shared" si="12"/>
        <v>43740.239043824724</v>
      </c>
      <c r="AB18" s="13">
        <f t="shared" si="12"/>
        <v>43595.219123506002</v>
      </c>
      <c r="AC18" s="13">
        <f t="shared" si="12"/>
        <v>43450.19920318728</v>
      </c>
      <c r="AD18" s="13">
        <f t="shared" si="12"/>
        <v>43305.179282868557</v>
      </c>
      <c r="AE18" s="13">
        <f t="shared" si="12"/>
        <v>43160.159362549835</v>
      </c>
      <c r="AF18" s="13">
        <f t="shared" si="12"/>
        <v>43015.139442231113</v>
      </c>
      <c r="AG18" s="13">
        <f t="shared" si="12"/>
        <v>42870.119521912391</v>
      </c>
      <c r="AH18" s="13">
        <f t="shared" si="12"/>
        <v>42725.099601593669</v>
      </c>
      <c r="AI18" s="13">
        <f t="shared" si="12"/>
        <v>42580.079681274947</v>
      </c>
      <c r="AJ18" s="13">
        <f t="shared" si="12"/>
        <v>42435.059760956225</v>
      </c>
      <c r="AK18" s="13">
        <f t="shared" si="12"/>
        <v>42290.039840637502</v>
      </c>
      <c r="AL18" s="13">
        <f t="shared" si="12"/>
        <v>42145.01992031878</v>
      </c>
      <c r="AM18" s="13">
        <f>LCOE!AR28*1000</f>
        <v>42000</v>
      </c>
    </row>
    <row r="19" spans="1:56" x14ac:dyDescent="0.25">
      <c r="A19" t="s">
        <v>105</v>
      </c>
      <c r="B19" s="13">
        <f>B18*S19/S18</f>
        <v>62151.394422310754</v>
      </c>
      <c r="C19" s="13">
        <f>B19+($S19-$B19)/(2030-2013)</f>
        <v>61765.487071322546</v>
      </c>
      <c r="D19" s="13">
        <f t="shared" si="11"/>
        <v>61379.579720334339</v>
      </c>
      <c r="E19" s="13">
        <f t="shared" si="11"/>
        <v>60993.672369346132</v>
      </c>
      <c r="F19" s="13">
        <f t="shared" si="11"/>
        <v>60607.765018357924</v>
      </c>
      <c r="G19" s="13">
        <f t="shared" si="11"/>
        <v>60221.857667369717</v>
      </c>
      <c r="H19" s="13">
        <f t="shared" si="11"/>
        <v>59835.95031638151</v>
      </c>
      <c r="I19" s="13">
        <f t="shared" si="11"/>
        <v>59450.042965393302</v>
      </c>
      <c r="J19" s="13">
        <f t="shared" si="11"/>
        <v>59064.135614405095</v>
      </c>
      <c r="K19" s="13">
        <f t="shared" si="11"/>
        <v>58678.228263416888</v>
      </c>
      <c r="L19" s="13">
        <f t="shared" si="11"/>
        <v>58292.32091242868</v>
      </c>
      <c r="M19" s="13">
        <f t="shared" si="11"/>
        <v>57906.413561440473</v>
      </c>
      <c r="N19" s="13">
        <f t="shared" si="11"/>
        <v>57520.506210452266</v>
      </c>
      <c r="O19" s="13">
        <f t="shared" si="11"/>
        <v>57134.598859464058</v>
      </c>
      <c r="P19" s="13">
        <f>O19+($S19-$B19)/(2030-2013)</f>
        <v>56748.691508475851</v>
      </c>
      <c r="Q19" s="13">
        <f t="shared" si="11"/>
        <v>56362.784157487644</v>
      </c>
      <c r="R19" s="13">
        <f t="shared" si="11"/>
        <v>55976.876806499436</v>
      </c>
      <c r="S19" s="13">
        <f>S18*AM19/AM18</f>
        <v>55590.969455511287</v>
      </c>
      <c r="T19" s="13">
        <f>S19+($AM19-$S19)/(2050-2030)</f>
        <v>55411.420982735726</v>
      </c>
      <c r="U19" s="13">
        <f t="shared" si="12"/>
        <v>55231.872509960165</v>
      </c>
      <c r="V19" s="13">
        <f t="shared" si="12"/>
        <v>55052.324037184604</v>
      </c>
      <c r="W19" s="13">
        <f>V19+($AM19-$S19)/(2050-2030)</f>
        <v>54872.775564409043</v>
      </c>
      <c r="X19" s="13">
        <f t="shared" si="12"/>
        <v>54693.227091633482</v>
      </c>
      <c r="Y19" s="13">
        <f t="shared" si="12"/>
        <v>54513.678618857921</v>
      </c>
      <c r="Z19" s="13">
        <f t="shared" si="12"/>
        <v>54334.13014608236</v>
      </c>
      <c r="AA19" s="13">
        <f t="shared" si="12"/>
        <v>54154.581673306799</v>
      </c>
      <c r="AB19" s="13">
        <f t="shared" si="12"/>
        <v>53975.033200531238</v>
      </c>
      <c r="AC19" s="13">
        <f t="shared" si="12"/>
        <v>53795.484727755676</v>
      </c>
      <c r="AD19" s="13">
        <f t="shared" si="12"/>
        <v>53615.936254980115</v>
      </c>
      <c r="AE19" s="13">
        <f t="shared" si="12"/>
        <v>53436.387782204554</v>
      </c>
      <c r="AF19" s="13">
        <f t="shared" si="12"/>
        <v>53256.839309428993</v>
      </c>
      <c r="AG19" s="13">
        <f t="shared" si="12"/>
        <v>53077.290836653432</v>
      </c>
      <c r="AH19" s="13">
        <f t="shared" si="12"/>
        <v>52897.742363877871</v>
      </c>
      <c r="AI19" s="13">
        <f t="shared" si="12"/>
        <v>52718.19389110231</v>
      </c>
      <c r="AJ19" s="13">
        <f t="shared" si="12"/>
        <v>52538.645418326749</v>
      </c>
      <c r="AK19" s="13">
        <f t="shared" si="12"/>
        <v>52359.096945551188</v>
      </c>
      <c r="AL19" s="13">
        <f t="shared" si="12"/>
        <v>52179.548472775627</v>
      </c>
      <c r="AM19" s="13">
        <f>LCOE!AS28*1000</f>
        <v>52000</v>
      </c>
    </row>
    <row r="21" spans="1:56" x14ac:dyDescent="0.25">
      <c r="A21" t="s">
        <v>111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82.910640400850156</v>
      </c>
      <c r="AF21" s="13">
        <v>165.54269762123738</v>
      </c>
      <c r="AG21" s="13">
        <v>247.89617166116159</v>
      </c>
      <c r="AH21" s="13">
        <v>329.97106252062287</v>
      </c>
      <c r="AI21" s="13">
        <v>411.76737019962115</v>
      </c>
      <c r="AJ21" s="13">
        <v>493.2850946981564</v>
      </c>
      <c r="AK21" s="13">
        <v>574.52423601622854</v>
      </c>
      <c r="AL21" s="13">
        <v>655.4847941538377</v>
      </c>
      <c r="AM21" s="13">
        <v>736.16676911098375</v>
      </c>
    </row>
    <row r="22" spans="1:56" x14ac:dyDescent="0.25">
      <c r="A22" t="s">
        <v>107</v>
      </c>
      <c r="B22" s="13">
        <f>B19*B15/1000000</f>
        <v>0</v>
      </c>
      <c r="C22" s="13">
        <f t="shared" ref="C22:S22" si="13">C19*C15/1000000</f>
        <v>0</v>
      </c>
      <c r="D22" s="13">
        <f t="shared" si="13"/>
        <v>0</v>
      </c>
      <c r="E22" s="13">
        <f t="shared" si="13"/>
        <v>0</v>
      </c>
      <c r="F22" s="13">
        <f t="shared" si="13"/>
        <v>0</v>
      </c>
      <c r="G22" s="13">
        <f t="shared" si="13"/>
        <v>0</v>
      </c>
      <c r="H22" s="13">
        <f t="shared" si="13"/>
        <v>0</v>
      </c>
      <c r="I22" s="13">
        <f t="shared" si="13"/>
        <v>0</v>
      </c>
      <c r="J22" s="13">
        <f t="shared" si="13"/>
        <v>0</v>
      </c>
      <c r="K22" s="13">
        <f t="shared" si="13"/>
        <v>0</v>
      </c>
      <c r="L22" s="13">
        <f t="shared" si="13"/>
        <v>0</v>
      </c>
      <c r="M22" s="13">
        <f t="shared" si="13"/>
        <v>0</v>
      </c>
      <c r="N22" s="13">
        <f t="shared" si="13"/>
        <v>0</v>
      </c>
      <c r="O22" s="13">
        <f t="shared" si="13"/>
        <v>0</v>
      </c>
      <c r="P22" s="13">
        <f t="shared" si="13"/>
        <v>0</v>
      </c>
      <c r="Q22" s="13">
        <f t="shared" si="13"/>
        <v>0</v>
      </c>
      <c r="R22" s="13">
        <f t="shared" si="13"/>
        <v>0</v>
      </c>
      <c r="S22" s="13">
        <f t="shared" si="13"/>
        <v>0</v>
      </c>
      <c r="T22" s="13">
        <f t="shared" ref="T22:AL22" si="14">T19*T15/1000000</f>
        <v>0</v>
      </c>
      <c r="U22" s="13">
        <f t="shared" si="14"/>
        <v>0</v>
      </c>
      <c r="V22" s="13">
        <f t="shared" si="14"/>
        <v>0</v>
      </c>
      <c r="W22" s="13">
        <f t="shared" si="14"/>
        <v>0</v>
      </c>
      <c r="X22" s="13">
        <f t="shared" si="14"/>
        <v>0</v>
      </c>
      <c r="Y22" s="13">
        <f t="shared" si="14"/>
        <v>0</v>
      </c>
      <c r="Z22" s="13">
        <f t="shared" si="14"/>
        <v>0</v>
      </c>
      <c r="AA22" s="13">
        <f t="shared" si="14"/>
        <v>0</v>
      </c>
      <c r="AB22" s="13">
        <f t="shared" si="14"/>
        <v>0</v>
      </c>
      <c r="AC22" s="13">
        <f t="shared" si="14"/>
        <v>0</v>
      </c>
      <c r="AD22" s="13">
        <f t="shared" si="14"/>
        <v>0</v>
      </c>
      <c r="AE22" s="13">
        <f t="shared" si="14"/>
        <v>102.65126906771867</v>
      </c>
      <c r="AF22" s="13">
        <f t="shared" si="14"/>
        <v>204.61271311714822</v>
      </c>
      <c r="AG22" s="13">
        <f t="shared" si="14"/>
        <v>305.88433214828865</v>
      </c>
      <c r="AH22" s="13">
        <f t="shared" si="14"/>
        <v>406.46612616113998</v>
      </c>
      <c r="AI22" s="13">
        <f t="shared" si="14"/>
        <v>506.35809515570213</v>
      </c>
      <c r="AJ22" s="13">
        <f t="shared" si="14"/>
        <v>605.5602391319751</v>
      </c>
      <c r="AK22" s="13">
        <f t="shared" si="14"/>
        <v>704.07255808995899</v>
      </c>
      <c r="AL22" s="13">
        <f t="shared" si="14"/>
        <v>801.89505202965381</v>
      </c>
      <c r="AM22" s="13">
        <f>AM19*AM15/1000000</f>
        <v>899.02772095105843</v>
      </c>
    </row>
    <row r="23" spans="1:56" x14ac:dyDescent="0.25">
      <c r="A23" t="s">
        <v>112</v>
      </c>
      <c r="B23" s="13">
        <f t="shared" ref="B23:AM23" si="15">B22+B21</f>
        <v>0</v>
      </c>
      <c r="C23" s="13">
        <f t="shared" si="15"/>
        <v>0</v>
      </c>
      <c r="D23" s="13">
        <f t="shared" si="15"/>
        <v>0</v>
      </c>
      <c r="E23" s="13">
        <f t="shared" si="15"/>
        <v>0</v>
      </c>
      <c r="F23" s="13">
        <f t="shared" si="15"/>
        <v>0</v>
      </c>
      <c r="G23" s="13">
        <f t="shared" si="15"/>
        <v>0</v>
      </c>
      <c r="H23" s="13">
        <f t="shared" si="15"/>
        <v>0</v>
      </c>
      <c r="I23" s="13">
        <f t="shared" si="15"/>
        <v>0</v>
      </c>
      <c r="J23" s="13">
        <f t="shared" si="15"/>
        <v>0</v>
      </c>
      <c r="K23" s="13">
        <f t="shared" si="15"/>
        <v>0</v>
      </c>
      <c r="L23" s="13">
        <f t="shared" si="15"/>
        <v>0</v>
      </c>
      <c r="M23" s="13">
        <f t="shared" si="15"/>
        <v>0</v>
      </c>
      <c r="N23" s="13">
        <f t="shared" si="15"/>
        <v>0</v>
      </c>
      <c r="O23" s="13">
        <f t="shared" si="15"/>
        <v>0</v>
      </c>
      <c r="P23" s="13">
        <f t="shared" si="15"/>
        <v>0</v>
      </c>
      <c r="Q23" s="13">
        <f t="shared" si="15"/>
        <v>0</v>
      </c>
      <c r="R23" s="13">
        <f t="shared" si="15"/>
        <v>0</v>
      </c>
      <c r="S23" s="13">
        <f t="shared" si="15"/>
        <v>0</v>
      </c>
      <c r="T23" s="13">
        <f t="shared" si="15"/>
        <v>0</v>
      </c>
      <c r="U23" s="13">
        <f t="shared" si="15"/>
        <v>0</v>
      </c>
      <c r="V23" s="13">
        <f t="shared" si="15"/>
        <v>0</v>
      </c>
      <c r="W23" s="13">
        <f t="shared" si="15"/>
        <v>0</v>
      </c>
      <c r="X23" s="13">
        <f t="shared" si="15"/>
        <v>0</v>
      </c>
      <c r="Y23" s="13">
        <f t="shared" si="15"/>
        <v>0</v>
      </c>
      <c r="Z23" s="13">
        <f t="shared" si="15"/>
        <v>0</v>
      </c>
      <c r="AA23" s="13">
        <f t="shared" si="15"/>
        <v>0</v>
      </c>
      <c r="AB23" s="13">
        <f t="shared" si="15"/>
        <v>0</v>
      </c>
      <c r="AC23" s="13">
        <f t="shared" si="15"/>
        <v>0</v>
      </c>
      <c r="AD23" s="13">
        <f t="shared" si="15"/>
        <v>0</v>
      </c>
      <c r="AE23" s="13">
        <f t="shared" si="15"/>
        <v>185.56190946856884</v>
      </c>
      <c r="AF23" s="13">
        <f t="shared" si="15"/>
        <v>370.15541073838563</v>
      </c>
      <c r="AG23" s="13">
        <f t="shared" si="15"/>
        <v>553.78050380945024</v>
      </c>
      <c r="AH23" s="13">
        <f t="shared" si="15"/>
        <v>736.43718868176279</v>
      </c>
      <c r="AI23" s="13">
        <f t="shared" si="15"/>
        <v>918.12546535532329</v>
      </c>
      <c r="AJ23" s="13">
        <f t="shared" si="15"/>
        <v>1098.8453338301315</v>
      </c>
      <c r="AK23" s="13">
        <f t="shared" si="15"/>
        <v>1278.5967941061876</v>
      </c>
      <c r="AL23" s="13">
        <f t="shared" si="15"/>
        <v>1457.3798461834915</v>
      </c>
      <c r="AM23" s="13">
        <f t="shared" si="15"/>
        <v>1635.1944900620422</v>
      </c>
    </row>
    <row r="24" spans="1:56" x14ac:dyDescent="0.25">
      <c r="AM24" s="13"/>
    </row>
    <row r="25" spans="1:56" outlineLevel="1" x14ac:dyDescent="0.25">
      <c r="A25" t="s">
        <v>108</v>
      </c>
    </row>
    <row r="26" spans="1:56" outlineLevel="1" x14ac:dyDescent="0.25">
      <c r="A26">
        <v>2042</v>
      </c>
      <c r="AE26" s="13">
        <f>$AE$16*$AE$18/1000000</f>
        <v>82.910640400849701</v>
      </c>
      <c r="AF26" s="13">
        <f t="shared" ref="AF26:AM26" si="16">$AE$16*$AE$18/1000000</f>
        <v>82.910640400849701</v>
      </c>
      <c r="AG26" s="13">
        <f t="shared" si="16"/>
        <v>82.910640400849701</v>
      </c>
      <c r="AH26" s="13">
        <f t="shared" si="16"/>
        <v>82.910640400849701</v>
      </c>
      <c r="AI26" s="13">
        <f t="shared" si="16"/>
        <v>82.910640400849701</v>
      </c>
      <c r="AJ26" s="13">
        <f t="shared" si="16"/>
        <v>82.910640400849701</v>
      </c>
      <c r="AK26" s="13">
        <f t="shared" si="16"/>
        <v>82.910640400849701</v>
      </c>
      <c r="AL26" s="13">
        <f t="shared" si="16"/>
        <v>82.910640400849701</v>
      </c>
      <c r="AM26" s="13">
        <f t="shared" si="16"/>
        <v>82.910640400849701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6" outlineLevel="1" x14ac:dyDescent="0.25">
      <c r="A27">
        <v>2043</v>
      </c>
      <c r="AF27" s="13">
        <f>$AF$16*$AF$18/1000000</f>
        <v>82.632057220386784</v>
      </c>
      <c r="AG27" s="13">
        <f t="shared" ref="AG27:AM27" si="17">$AF$16*$AF$18/1000000</f>
        <v>82.632057220386784</v>
      </c>
      <c r="AH27" s="13">
        <f t="shared" si="17"/>
        <v>82.632057220386784</v>
      </c>
      <c r="AI27" s="13">
        <f t="shared" si="17"/>
        <v>82.632057220386784</v>
      </c>
      <c r="AJ27" s="13">
        <f t="shared" si="17"/>
        <v>82.632057220386784</v>
      </c>
      <c r="AK27" s="13">
        <f t="shared" si="17"/>
        <v>82.632057220386784</v>
      </c>
      <c r="AL27" s="13">
        <f t="shared" si="17"/>
        <v>82.632057220386784</v>
      </c>
      <c r="AM27" s="13">
        <f t="shared" si="17"/>
        <v>82.632057220386784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</row>
    <row r="28" spans="1:56" outlineLevel="1" x14ac:dyDescent="0.25">
      <c r="A28">
        <v>2044</v>
      </c>
      <c r="AG28" s="13">
        <f>$AG$16*$AG$18/1000000</f>
        <v>82.353474039923896</v>
      </c>
      <c r="AH28" s="13">
        <f t="shared" ref="AH28:AM28" si="18">$AG$16*$AG$18/1000000</f>
        <v>82.353474039923896</v>
      </c>
      <c r="AI28" s="13">
        <f t="shared" si="18"/>
        <v>82.353474039923896</v>
      </c>
      <c r="AJ28" s="13">
        <f t="shared" si="18"/>
        <v>82.353474039923896</v>
      </c>
      <c r="AK28" s="13">
        <f t="shared" si="18"/>
        <v>82.353474039923896</v>
      </c>
      <c r="AL28" s="13">
        <f t="shared" si="18"/>
        <v>82.353474039923896</v>
      </c>
      <c r="AM28" s="13">
        <f t="shared" si="18"/>
        <v>82.353474039923896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6" outlineLevel="1" x14ac:dyDescent="0.25">
      <c r="A29">
        <v>2045</v>
      </c>
      <c r="AH29" s="13">
        <f t="shared" ref="AH29:AM29" si="19">$AH$16*$AH$18/1000000</f>
        <v>82.074890859460979</v>
      </c>
      <c r="AI29" s="13">
        <f t="shared" si="19"/>
        <v>82.074890859460979</v>
      </c>
      <c r="AJ29" s="13">
        <f t="shared" si="19"/>
        <v>82.074890859460979</v>
      </c>
      <c r="AK29" s="13">
        <f t="shared" si="19"/>
        <v>82.074890859460979</v>
      </c>
      <c r="AL29" s="13">
        <f t="shared" si="19"/>
        <v>82.074890859460979</v>
      </c>
      <c r="AM29" s="13">
        <f t="shared" si="19"/>
        <v>82.074890859460979</v>
      </c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6" outlineLevel="1" x14ac:dyDescent="0.25">
      <c r="A30">
        <v>2046</v>
      </c>
      <c r="AI30" s="13">
        <f>$AI$16*$AI$18/1000000</f>
        <v>81.796307678998019</v>
      </c>
      <c r="AJ30" s="13">
        <f>$AI$16*$AI$18/1000000</f>
        <v>81.796307678998019</v>
      </c>
      <c r="AK30" s="13">
        <f>$AI$16*$AI$18/1000000</f>
        <v>81.796307678998019</v>
      </c>
      <c r="AL30" s="13">
        <f>$AI$16*$AI$18/1000000</f>
        <v>81.796307678998019</v>
      </c>
      <c r="AM30" s="13">
        <f>$AI$16*$AI$18/1000000</f>
        <v>81.796307678998019</v>
      </c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6" outlineLevel="1" x14ac:dyDescent="0.25">
      <c r="A31">
        <v>2047</v>
      </c>
      <c r="AJ31" s="13">
        <f>$AJ$16*$AJ$18/1000000</f>
        <v>81.51772449853506</v>
      </c>
      <c r="AK31" s="13">
        <f>$AJ$16*$AJ$18/1000000</f>
        <v>81.51772449853506</v>
      </c>
      <c r="AL31" s="13">
        <f>$AJ$16*$AJ$18/1000000</f>
        <v>81.51772449853506</v>
      </c>
      <c r="AM31" s="13">
        <f>$AJ$16*$AJ$18/1000000</f>
        <v>81.51772449853506</v>
      </c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6" outlineLevel="1" x14ac:dyDescent="0.25">
      <c r="A32">
        <v>2048</v>
      </c>
      <c r="AK32" s="13">
        <f>$AK$16*$AK$18/1000000</f>
        <v>81.239141318072228</v>
      </c>
      <c r="AL32" s="13">
        <f>$AK$16*$AK$18/1000000</f>
        <v>81.239141318072228</v>
      </c>
      <c r="AM32" s="13">
        <f>$AK$16*$AK$18/1000000</f>
        <v>81.239141318072228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</row>
    <row r="33" spans="1:58" outlineLevel="1" x14ac:dyDescent="0.25">
      <c r="A33">
        <v>2049</v>
      </c>
      <c r="AL33" s="13">
        <f>$AL$16*$AL$18/1000000</f>
        <v>80.960558137609297</v>
      </c>
      <c r="AM33" s="13">
        <f>$AL$16*$AL$18/1000000</f>
        <v>80.960558137609297</v>
      </c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1:58" outlineLevel="1" x14ac:dyDescent="0.25">
      <c r="A34">
        <v>2050</v>
      </c>
      <c r="AM34" s="13">
        <f>$AM$16*$AM$18/1000000</f>
        <v>80.681974957146281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7" spans="1:58" x14ac:dyDescent="0.25">
      <c r="A37" s="3" t="s">
        <v>59</v>
      </c>
      <c r="B37" s="59">
        <v>2013</v>
      </c>
      <c r="C37" s="59">
        <v>2014</v>
      </c>
      <c r="D37" s="59">
        <v>2015</v>
      </c>
      <c r="E37" s="59">
        <v>2016</v>
      </c>
      <c r="F37" s="59">
        <v>2017</v>
      </c>
      <c r="G37" s="59">
        <v>2018</v>
      </c>
      <c r="H37" s="59">
        <v>2019</v>
      </c>
      <c r="I37" s="59">
        <v>2020</v>
      </c>
      <c r="J37" s="59">
        <v>2021</v>
      </c>
      <c r="K37" s="59">
        <v>2022</v>
      </c>
      <c r="L37" s="59">
        <v>2023</v>
      </c>
      <c r="M37" s="59">
        <v>2024</v>
      </c>
      <c r="N37" s="59">
        <v>2025</v>
      </c>
      <c r="O37" s="59">
        <v>2026</v>
      </c>
      <c r="P37" s="59">
        <v>2027</v>
      </c>
      <c r="Q37" s="59">
        <v>2028</v>
      </c>
      <c r="R37" s="59">
        <v>2029</v>
      </c>
      <c r="S37" s="59">
        <v>2030</v>
      </c>
      <c r="T37" s="59">
        <v>2031</v>
      </c>
      <c r="U37" s="59">
        <v>2032</v>
      </c>
      <c r="V37" s="59">
        <v>2033</v>
      </c>
      <c r="W37" s="59">
        <v>2034</v>
      </c>
      <c r="X37" s="59">
        <v>2035</v>
      </c>
      <c r="Y37" s="59">
        <v>2036</v>
      </c>
      <c r="Z37" s="59">
        <v>2037</v>
      </c>
      <c r="AA37" s="59">
        <v>2038</v>
      </c>
      <c r="AB37" s="59">
        <v>2039</v>
      </c>
      <c r="AC37" s="59">
        <v>2040</v>
      </c>
      <c r="AD37" s="59">
        <v>2041</v>
      </c>
      <c r="AE37" s="59">
        <v>2042</v>
      </c>
      <c r="AF37" s="59">
        <v>2043</v>
      </c>
      <c r="AG37" s="59">
        <v>2044</v>
      </c>
      <c r="AH37" s="59">
        <v>2045</v>
      </c>
      <c r="AI37" s="59">
        <v>2046</v>
      </c>
      <c r="AJ37" s="59">
        <v>2047</v>
      </c>
      <c r="AK37" s="59">
        <v>2048</v>
      </c>
      <c r="AL37" s="59">
        <v>2049</v>
      </c>
      <c r="AM37" s="59">
        <v>2050</v>
      </c>
    </row>
    <row r="38" spans="1:58" x14ac:dyDescent="0.25">
      <c r="A38" t="s">
        <v>142</v>
      </c>
      <c r="B38" s="4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</row>
    <row r="39" spans="1:58" x14ac:dyDescent="0.25">
      <c r="A39" s="63" t="s">
        <v>90</v>
      </c>
      <c r="B39" s="45">
        <v>4300</v>
      </c>
      <c r="C39" s="123">
        <f>B39+($M39-$B39)/(2024-2013)</f>
        <v>4545.454545454545</v>
      </c>
      <c r="D39" s="123">
        <f t="shared" ref="D39:K39" si="20">C39+($M39-$B39)/(2024-2013)</f>
        <v>4790.9090909090901</v>
      </c>
      <c r="E39" s="123">
        <f t="shared" si="20"/>
        <v>5036.3636363636351</v>
      </c>
      <c r="F39" s="123">
        <f t="shared" si="20"/>
        <v>5281.8181818181802</v>
      </c>
      <c r="G39" s="123">
        <f t="shared" si="20"/>
        <v>5527.2727272727252</v>
      </c>
      <c r="H39" s="123">
        <f t="shared" si="20"/>
        <v>5772.7272727272702</v>
      </c>
      <c r="I39" s="123">
        <f t="shared" si="20"/>
        <v>6018.1818181818153</v>
      </c>
      <c r="J39" s="123">
        <f t="shared" si="20"/>
        <v>6263.6363636363603</v>
      </c>
      <c r="K39" s="123">
        <f t="shared" si="20"/>
        <v>6509.0909090909054</v>
      </c>
      <c r="L39" s="123">
        <f>K39+($M39-$B39)/(2024-2013)</f>
        <v>6754.5454545454504</v>
      </c>
      <c r="M39" s="55">
        <v>7000</v>
      </c>
      <c r="N39" s="55">
        <v>7000</v>
      </c>
      <c r="O39" s="55">
        <v>7000</v>
      </c>
      <c r="P39" s="55">
        <v>7000</v>
      </c>
      <c r="Q39" s="55">
        <v>7000</v>
      </c>
      <c r="R39" s="55">
        <v>7000</v>
      </c>
      <c r="S39" s="55">
        <v>7000</v>
      </c>
      <c r="T39" s="55">
        <v>7000</v>
      </c>
      <c r="U39" s="55">
        <v>7000</v>
      </c>
      <c r="V39" s="55">
        <v>7000</v>
      </c>
      <c r="W39" s="55">
        <v>7000</v>
      </c>
      <c r="X39" s="55">
        <v>7000</v>
      </c>
      <c r="Y39" s="55">
        <v>7000</v>
      </c>
      <c r="Z39" s="55">
        <v>7000</v>
      </c>
      <c r="AA39" s="55">
        <v>7000</v>
      </c>
      <c r="AB39" s="55">
        <v>7000</v>
      </c>
      <c r="AC39" s="55">
        <v>7000</v>
      </c>
      <c r="AD39" s="55">
        <v>7000</v>
      </c>
      <c r="AE39" s="55">
        <v>7000</v>
      </c>
      <c r="AF39" s="55">
        <v>7000</v>
      </c>
      <c r="AG39" s="55">
        <v>7000</v>
      </c>
      <c r="AH39" s="55">
        <v>7000</v>
      </c>
      <c r="AI39" s="55">
        <v>7000</v>
      </c>
      <c r="AJ39" s="55">
        <v>7000</v>
      </c>
      <c r="AK39" s="55">
        <v>7000</v>
      </c>
      <c r="AL39" s="54">
        <f>(AK39+AM39)/2</f>
        <v>7005.5</v>
      </c>
      <c r="AM39" s="55">
        <v>7011</v>
      </c>
    </row>
    <row r="40" spans="1:58" x14ac:dyDescent="0.25">
      <c r="A40" t="s">
        <v>110</v>
      </c>
      <c r="B40" s="45"/>
      <c r="C40" s="54">
        <f t="shared" ref="C40:AM40" si="21">C39-B39</f>
        <v>245.45454545454504</v>
      </c>
      <c r="D40" s="54">
        <f t="shared" si="21"/>
        <v>245.45454545454504</v>
      </c>
      <c r="E40" s="54">
        <f t="shared" si="21"/>
        <v>245.45454545454504</v>
      </c>
      <c r="F40" s="54">
        <f t="shared" si="21"/>
        <v>245.45454545454504</v>
      </c>
      <c r="G40" s="54">
        <f t="shared" si="21"/>
        <v>245.45454545454504</v>
      </c>
      <c r="H40" s="54">
        <f t="shared" si="21"/>
        <v>245.45454545454504</v>
      </c>
      <c r="I40" s="54">
        <f t="shared" si="21"/>
        <v>245.45454545454504</v>
      </c>
      <c r="J40" s="54">
        <f t="shared" si="21"/>
        <v>245.45454545454504</v>
      </c>
      <c r="K40" s="54">
        <f t="shared" si="21"/>
        <v>245.45454545454504</v>
      </c>
      <c r="L40" s="54">
        <f t="shared" si="21"/>
        <v>245.45454545454504</v>
      </c>
      <c r="M40" s="54">
        <f t="shared" si="21"/>
        <v>245.45454545454959</v>
      </c>
      <c r="N40" s="54">
        <f t="shared" si="21"/>
        <v>0</v>
      </c>
      <c r="O40" s="54">
        <f t="shared" si="21"/>
        <v>0</v>
      </c>
      <c r="P40" s="54">
        <f t="shared" si="21"/>
        <v>0</v>
      </c>
      <c r="Q40" s="54">
        <f t="shared" si="21"/>
        <v>0</v>
      </c>
      <c r="R40" s="54">
        <f t="shared" si="21"/>
        <v>0</v>
      </c>
      <c r="S40" s="54">
        <f t="shared" si="21"/>
        <v>0</v>
      </c>
      <c r="T40" s="54">
        <f t="shared" si="21"/>
        <v>0</v>
      </c>
      <c r="U40" s="54">
        <f t="shared" si="21"/>
        <v>0</v>
      </c>
      <c r="V40" s="54">
        <f t="shared" si="21"/>
        <v>0</v>
      </c>
      <c r="W40" s="54">
        <f t="shared" si="21"/>
        <v>0</v>
      </c>
      <c r="X40" s="54">
        <f t="shared" si="21"/>
        <v>0</v>
      </c>
      <c r="Y40" s="54">
        <f t="shared" si="21"/>
        <v>0</v>
      </c>
      <c r="Z40" s="54">
        <f t="shared" si="21"/>
        <v>0</v>
      </c>
      <c r="AA40" s="54">
        <f t="shared" si="21"/>
        <v>0</v>
      </c>
      <c r="AB40" s="54">
        <f t="shared" si="21"/>
        <v>0</v>
      </c>
      <c r="AC40" s="54">
        <f t="shared" si="21"/>
        <v>0</v>
      </c>
      <c r="AD40" s="54">
        <f t="shared" si="21"/>
        <v>0</v>
      </c>
      <c r="AE40" s="54">
        <f t="shared" si="21"/>
        <v>0</v>
      </c>
      <c r="AF40" s="54">
        <f t="shared" si="21"/>
        <v>0</v>
      </c>
      <c r="AG40" s="54">
        <f t="shared" si="21"/>
        <v>0</v>
      </c>
      <c r="AH40" s="54">
        <f t="shared" si="21"/>
        <v>0</v>
      </c>
      <c r="AI40" s="54">
        <f t="shared" si="21"/>
        <v>0</v>
      </c>
      <c r="AJ40" s="54">
        <f t="shared" si="21"/>
        <v>0</v>
      </c>
      <c r="AK40" s="54">
        <f t="shared" si="21"/>
        <v>0</v>
      </c>
      <c r="AL40" s="54">
        <f t="shared" si="21"/>
        <v>5.5</v>
      </c>
      <c r="AM40" s="54">
        <f t="shared" si="21"/>
        <v>5.5</v>
      </c>
    </row>
    <row r="41" spans="1:58" x14ac:dyDescent="0.25">
      <c r="A41" t="s">
        <v>195</v>
      </c>
      <c r="AM41" s="81">
        <f>AM42/AM44</f>
        <v>0.17952041522491349</v>
      </c>
    </row>
    <row r="42" spans="1:58" x14ac:dyDescent="0.25">
      <c r="A42" t="s">
        <v>107</v>
      </c>
      <c r="B42" s="13">
        <f>$AM$41*B44</f>
        <v>63.640000000000008</v>
      </c>
      <c r="C42" s="13">
        <f t="shared" ref="C42:AK42" si="22">$AM$41*C44</f>
        <v>67.272727272727266</v>
      </c>
      <c r="D42" s="13">
        <f t="shared" si="22"/>
        <v>70.905454545454532</v>
      </c>
      <c r="E42" s="13">
        <f t="shared" si="22"/>
        <v>74.538181818181798</v>
      </c>
      <c r="F42" s="13">
        <f t="shared" si="22"/>
        <v>78.170909090909078</v>
      </c>
      <c r="G42" s="13">
        <f t="shared" si="22"/>
        <v>81.803636363636343</v>
      </c>
      <c r="H42" s="13">
        <f t="shared" si="22"/>
        <v>85.436363636363609</v>
      </c>
      <c r="I42" s="13">
        <f t="shared" si="22"/>
        <v>89.069090909090875</v>
      </c>
      <c r="J42" s="13">
        <f t="shared" si="22"/>
        <v>92.70181818181814</v>
      </c>
      <c r="K42" s="13">
        <f t="shared" si="22"/>
        <v>96.334545454545406</v>
      </c>
      <c r="L42" s="13">
        <f t="shared" si="22"/>
        <v>99.967272727272686</v>
      </c>
      <c r="M42" s="13">
        <f t="shared" si="22"/>
        <v>103.60000000000001</v>
      </c>
      <c r="N42" s="13">
        <f t="shared" si="22"/>
        <v>103.60000000000001</v>
      </c>
      <c r="O42" s="13">
        <f t="shared" si="22"/>
        <v>103.60000000000001</v>
      </c>
      <c r="P42" s="13">
        <f t="shared" si="22"/>
        <v>103.60000000000001</v>
      </c>
      <c r="Q42" s="13">
        <f t="shared" si="22"/>
        <v>103.60000000000001</v>
      </c>
      <c r="R42" s="13">
        <f t="shared" si="22"/>
        <v>103.60000000000001</v>
      </c>
      <c r="S42" s="13">
        <f t="shared" si="22"/>
        <v>103.60000000000001</v>
      </c>
      <c r="T42" s="13">
        <f t="shared" si="22"/>
        <v>103.60000000000001</v>
      </c>
      <c r="U42" s="13">
        <f t="shared" si="22"/>
        <v>103.60000000000001</v>
      </c>
      <c r="V42" s="13">
        <f t="shared" si="22"/>
        <v>103.60000000000001</v>
      </c>
      <c r="W42" s="13">
        <f t="shared" si="22"/>
        <v>103.60000000000001</v>
      </c>
      <c r="X42" s="13">
        <f t="shared" si="22"/>
        <v>103.60000000000001</v>
      </c>
      <c r="Y42" s="13">
        <f t="shared" si="22"/>
        <v>103.60000000000001</v>
      </c>
      <c r="Z42" s="13">
        <f t="shared" si="22"/>
        <v>103.60000000000001</v>
      </c>
      <c r="AA42" s="13">
        <f t="shared" si="22"/>
        <v>103.60000000000001</v>
      </c>
      <c r="AB42" s="13">
        <f t="shared" si="22"/>
        <v>103.60000000000001</v>
      </c>
      <c r="AC42" s="13">
        <f t="shared" si="22"/>
        <v>103.60000000000001</v>
      </c>
      <c r="AD42" s="13">
        <f t="shared" si="22"/>
        <v>103.60000000000001</v>
      </c>
      <c r="AE42" s="13">
        <f t="shared" si="22"/>
        <v>103.60000000000001</v>
      </c>
      <c r="AF42" s="13">
        <f t="shared" si="22"/>
        <v>103.60000000000001</v>
      </c>
      <c r="AG42" s="13">
        <f t="shared" si="22"/>
        <v>103.60000000000001</v>
      </c>
      <c r="AH42" s="13">
        <f t="shared" si="22"/>
        <v>103.60000000000001</v>
      </c>
      <c r="AI42" s="13">
        <f t="shared" si="22"/>
        <v>103.60000000000001</v>
      </c>
      <c r="AJ42" s="13">
        <f t="shared" si="22"/>
        <v>103.60000000000001</v>
      </c>
      <c r="AK42" s="13">
        <f t="shared" si="22"/>
        <v>103.60000000000001</v>
      </c>
      <c r="AL42" s="13">
        <f>$AM$41*AL44</f>
        <v>103.68140000000001</v>
      </c>
      <c r="AM42" s="13">
        <f>LCOE!AS25*1000*'Capacités installées'!B5/1000000</f>
        <v>103.7628</v>
      </c>
    </row>
    <row r="43" spans="1:58" x14ac:dyDescent="0.25">
      <c r="A43" t="s">
        <v>111</v>
      </c>
      <c r="B43" s="13">
        <f>B44-B42</f>
        <v>290.86007131650268</v>
      </c>
      <c r="C43" s="13">
        <f t="shared" ref="C43:AM43" si="23">C44-C42</f>
        <v>307.46307750158843</v>
      </c>
      <c r="D43" s="13">
        <f t="shared" si="23"/>
        <v>324.06608368667418</v>
      </c>
      <c r="E43" s="13">
        <f t="shared" si="23"/>
        <v>340.66908987175992</v>
      </c>
      <c r="F43" s="13">
        <f t="shared" si="23"/>
        <v>357.27209605684561</v>
      </c>
      <c r="G43" s="13">
        <f t="shared" si="23"/>
        <v>373.87510224193136</v>
      </c>
      <c r="H43" s="13">
        <f t="shared" si="23"/>
        <v>390.4781084270171</v>
      </c>
      <c r="I43" s="13">
        <f t="shared" si="23"/>
        <v>407.08111461210285</v>
      </c>
      <c r="J43" s="13">
        <f t="shared" si="23"/>
        <v>423.68412079718871</v>
      </c>
      <c r="K43" s="13">
        <f t="shared" si="23"/>
        <v>440.28712698227446</v>
      </c>
      <c r="L43" s="13">
        <f t="shared" si="23"/>
        <v>456.89013316736015</v>
      </c>
      <c r="M43" s="13">
        <f t="shared" si="23"/>
        <v>473.49313935244618</v>
      </c>
      <c r="N43" s="13">
        <f t="shared" si="23"/>
        <v>473.49313935244618</v>
      </c>
      <c r="O43" s="13">
        <f t="shared" si="23"/>
        <v>473.49313935244618</v>
      </c>
      <c r="P43" s="13">
        <f t="shared" si="23"/>
        <v>473.49313935244618</v>
      </c>
      <c r="Q43" s="13">
        <f t="shared" si="23"/>
        <v>473.49313935244618</v>
      </c>
      <c r="R43" s="13">
        <f t="shared" si="23"/>
        <v>473.49313935244618</v>
      </c>
      <c r="S43" s="13">
        <f t="shared" si="23"/>
        <v>473.49313935244618</v>
      </c>
      <c r="T43" s="13">
        <f t="shared" si="23"/>
        <v>473.49313935244618</v>
      </c>
      <c r="U43" s="13">
        <f t="shared" si="23"/>
        <v>473.49313935244618</v>
      </c>
      <c r="V43" s="13">
        <f t="shared" si="23"/>
        <v>473.49313935244618</v>
      </c>
      <c r="W43" s="13">
        <f t="shared" si="23"/>
        <v>473.49313935244618</v>
      </c>
      <c r="X43" s="13">
        <f t="shared" si="23"/>
        <v>473.49313935244618</v>
      </c>
      <c r="Y43" s="13">
        <f t="shared" si="23"/>
        <v>473.49313935244618</v>
      </c>
      <c r="Z43" s="13">
        <f t="shared" si="23"/>
        <v>473.49313935244618</v>
      </c>
      <c r="AA43" s="13">
        <f t="shared" si="23"/>
        <v>473.49313935244618</v>
      </c>
      <c r="AB43" s="13">
        <f t="shared" si="23"/>
        <v>473.49313935244618</v>
      </c>
      <c r="AC43" s="13">
        <f t="shared" si="23"/>
        <v>473.49313935244618</v>
      </c>
      <c r="AD43" s="13">
        <f t="shared" si="23"/>
        <v>473.49313935244618</v>
      </c>
      <c r="AE43" s="13">
        <f t="shared" si="23"/>
        <v>473.49313935244618</v>
      </c>
      <c r="AF43" s="13">
        <f t="shared" si="23"/>
        <v>473.49313935244618</v>
      </c>
      <c r="AG43" s="13">
        <f t="shared" si="23"/>
        <v>473.49313935244618</v>
      </c>
      <c r="AH43" s="13">
        <f t="shared" si="23"/>
        <v>473.49313935244618</v>
      </c>
      <c r="AI43" s="13">
        <f t="shared" si="23"/>
        <v>473.49313935244618</v>
      </c>
      <c r="AJ43" s="13">
        <f t="shared" si="23"/>
        <v>473.49313935244618</v>
      </c>
      <c r="AK43" s="13">
        <f t="shared" si="23"/>
        <v>473.49313935244618</v>
      </c>
      <c r="AL43" s="13">
        <f t="shared" si="23"/>
        <v>473.86516967622316</v>
      </c>
      <c r="AM43" s="13">
        <f t="shared" si="23"/>
        <v>474.23720000000003</v>
      </c>
    </row>
    <row r="44" spans="1:58" x14ac:dyDescent="0.25">
      <c r="A44" t="s">
        <v>112</v>
      </c>
      <c r="B44" s="13">
        <f>C44/C39*B39</f>
        <v>354.50007131650267</v>
      </c>
      <c r="C44" s="13">
        <f t="shared" ref="C44:AL44" si="24">D44/D39*C39</f>
        <v>374.73580477431568</v>
      </c>
      <c r="D44" s="13">
        <f t="shared" si="24"/>
        <v>394.97153823212869</v>
      </c>
      <c r="E44" s="13">
        <f t="shared" si="24"/>
        <v>415.20727168994171</v>
      </c>
      <c r="F44" s="13">
        <f t="shared" si="24"/>
        <v>435.44300514775472</v>
      </c>
      <c r="G44" s="13">
        <f t="shared" si="24"/>
        <v>455.67873860556773</v>
      </c>
      <c r="H44" s="13">
        <f t="shared" si="24"/>
        <v>475.91447206338074</v>
      </c>
      <c r="I44" s="13">
        <f t="shared" si="24"/>
        <v>496.15020552119375</v>
      </c>
      <c r="J44" s="13">
        <f t="shared" si="24"/>
        <v>516.38593897900682</v>
      </c>
      <c r="K44" s="13">
        <f t="shared" si="24"/>
        <v>536.62167243681984</v>
      </c>
      <c r="L44" s="13">
        <f t="shared" si="24"/>
        <v>556.85740589463285</v>
      </c>
      <c r="M44" s="13">
        <f t="shared" si="24"/>
        <v>577.0931393524462</v>
      </c>
      <c r="N44" s="13">
        <f t="shared" si="24"/>
        <v>577.0931393524462</v>
      </c>
      <c r="O44" s="13">
        <f t="shared" si="24"/>
        <v>577.0931393524462</v>
      </c>
      <c r="P44" s="13">
        <f t="shared" si="24"/>
        <v>577.0931393524462</v>
      </c>
      <c r="Q44" s="13">
        <f t="shared" si="24"/>
        <v>577.0931393524462</v>
      </c>
      <c r="R44" s="13">
        <f t="shared" si="24"/>
        <v>577.0931393524462</v>
      </c>
      <c r="S44" s="13">
        <f t="shared" si="24"/>
        <v>577.0931393524462</v>
      </c>
      <c r="T44" s="13">
        <f t="shared" si="24"/>
        <v>577.0931393524462</v>
      </c>
      <c r="U44" s="13">
        <f t="shared" si="24"/>
        <v>577.0931393524462</v>
      </c>
      <c r="V44" s="13">
        <f t="shared" si="24"/>
        <v>577.0931393524462</v>
      </c>
      <c r="W44" s="13">
        <f t="shared" si="24"/>
        <v>577.0931393524462</v>
      </c>
      <c r="X44" s="13">
        <f t="shared" si="24"/>
        <v>577.0931393524462</v>
      </c>
      <c r="Y44" s="13">
        <f t="shared" si="24"/>
        <v>577.0931393524462</v>
      </c>
      <c r="Z44" s="13">
        <f t="shared" si="24"/>
        <v>577.0931393524462</v>
      </c>
      <c r="AA44" s="13">
        <f t="shared" si="24"/>
        <v>577.0931393524462</v>
      </c>
      <c r="AB44" s="13">
        <f t="shared" si="24"/>
        <v>577.0931393524462</v>
      </c>
      <c r="AC44" s="13">
        <f t="shared" si="24"/>
        <v>577.0931393524462</v>
      </c>
      <c r="AD44" s="13">
        <f t="shared" si="24"/>
        <v>577.0931393524462</v>
      </c>
      <c r="AE44" s="13">
        <f t="shared" si="24"/>
        <v>577.0931393524462</v>
      </c>
      <c r="AF44" s="13">
        <f t="shared" si="24"/>
        <v>577.0931393524462</v>
      </c>
      <c r="AG44" s="13">
        <f t="shared" si="24"/>
        <v>577.0931393524462</v>
      </c>
      <c r="AH44" s="13">
        <f t="shared" si="24"/>
        <v>577.0931393524462</v>
      </c>
      <c r="AI44" s="13">
        <f t="shared" si="24"/>
        <v>577.0931393524462</v>
      </c>
      <c r="AJ44" s="13">
        <f t="shared" si="24"/>
        <v>577.0931393524462</v>
      </c>
      <c r="AK44" s="13">
        <f t="shared" si="24"/>
        <v>577.0931393524462</v>
      </c>
      <c r="AL44" s="13">
        <f t="shared" si="24"/>
        <v>577.54656967622316</v>
      </c>
      <c r="AM44" s="123">
        <v>578</v>
      </c>
    </row>
    <row r="46" spans="1:58" x14ac:dyDescent="0.25"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58" x14ac:dyDescent="0.25">
      <c r="A47" s="3" t="s">
        <v>193</v>
      </c>
      <c r="B47" s="59">
        <v>2013</v>
      </c>
      <c r="C47" s="59">
        <v>2014</v>
      </c>
      <c r="D47" s="59">
        <v>2015</v>
      </c>
      <c r="E47" s="59">
        <v>2016</v>
      </c>
      <c r="F47" s="59">
        <v>2017</v>
      </c>
      <c r="G47" s="59">
        <v>2018</v>
      </c>
      <c r="H47" s="59">
        <v>2019</v>
      </c>
      <c r="I47" s="59">
        <v>2020</v>
      </c>
      <c r="J47" s="59">
        <v>2021</v>
      </c>
      <c r="K47" s="59">
        <v>2022</v>
      </c>
      <c r="L47" s="59">
        <v>2023</v>
      </c>
      <c r="M47" s="59">
        <v>2024</v>
      </c>
      <c r="N47" s="59">
        <v>2025</v>
      </c>
      <c r="O47" s="59">
        <v>2026</v>
      </c>
      <c r="P47" s="59">
        <v>2027</v>
      </c>
      <c r="Q47" s="59">
        <v>2028</v>
      </c>
      <c r="R47" s="59">
        <v>2029</v>
      </c>
      <c r="S47" s="59">
        <v>2030</v>
      </c>
      <c r="T47" s="59">
        <v>2031</v>
      </c>
      <c r="U47" s="59">
        <v>2032</v>
      </c>
      <c r="V47" s="59">
        <v>2033</v>
      </c>
      <c r="W47" s="59">
        <v>2034</v>
      </c>
      <c r="X47" s="59">
        <v>2035</v>
      </c>
      <c r="Y47" s="59">
        <v>2036</v>
      </c>
      <c r="Z47" s="59">
        <v>2037</v>
      </c>
      <c r="AA47" s="59">
        <v>2038</v>
      </c>
      <c r="AB47" s="59">
        <v>2039</v>
      </c>
      <c r="AC47" s="59">
        <v>2040</v>
      </c>
      <c r="AD47" s="59">
        <v>2041</v>
      </c>
      <c r="AE47" s="59">
        <v>2042</v>
      </c>
      <c r="AF47" s="59">
        <v>2043</v>
      </c>
      <c r="AG47" s="59">
        <v>2044</v>
      </c>
      <c r="AH47" s="59">
        <v>2045</v>
      </c>
      <c r="AI47" s="59">
        <v>2046</v>
      </c>
      <c r="AJ47" s="59">
        <v>2047</v>
      </c>
      <c r="AK47" s="59">
        <v>2048</v>
      </c>
      <c r="AL47" s="59">
        <v>2049</v>
      </c>
      <c r="AM47" s="59">
        <v>2050</v>
      </c>
    </row>
    <row r="48" spans="1:58" outlineLevel="1" x14ac:dyDescent="0.25">
      <c r="A48" t="s">
        <v>169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126">
        <f>AD48+($AM48-$AD48)/(2050-2041)</f>
        <v>2136016.8018888887</v>
      </c>
      <c r="AF48" s="126">
        <f t="shared" ref="AF48:AL50" si="25">AE48+($AM48-$AD48)/(2050-2041)</f>
        <v>4272033.6037777774</v>
      </c>
      <c r="AG48" s="126">
        <f t="shared" si="25"/>
        <v>6408050.4056666661</v>
      </c>
      <c r="AH48" s="126">
        <f t="shared" si="25"/>
        <v>8544067.2075555548</v>
      </c>
      <c r="AI48" s="126">
        <f t="shared" si="25"/>
        <v>10680084.009444444</v>
      </c>
      <c r="AJ48" s="126">
        <f t="shared" si="25"/>
        <v>12816100.811333332</v>
      </c>
      <c r="AK48" s="126">
        <f t="shared" si="25"/>
        <v>14952117.613222221</v>
      </c>
      <c r="AL48" s="126">
        <f t="shared" si="25"/>
        <v>17088134.41511111</v>
      </c>
      <c r="AM48" s="125">
        <f>Production!$B$4</f>
        <v>19224151.217</v>
      </c>
    </row>
    <row r="49" spans="1:45" outlineLevel="1" x14ac:dyDescent="0.25">
      <c r="A49" t="s">
        <v>183</v>
      </c>
      <c r="B49" s="72">
        <f>LCOE!B22</f>
        <v>206.55737704918033</v>
      </c>
      <c r="C49" s="72">
        <f>LCOE!C22</f>
        <v>204.99517839922854</v>
      </c>
      <c r="D49" s="72">
        <f>LCOE!D22</f>
        <v>203.43297974927674</v>
      </c>
      <c r="E49" s="72">
        <f>LCOE!E22</f>
        <v>201.87078109932494</v>
      </c>
      <c r="F49" s="72">
        <f>LCOE!F22</f>
        <v>200.30858244937315</v>
      </c>
      <c r="G49" s="72">
        <f>LCOE!G22</f>
        <v>198.74638379942135</v>
      </c>
      <c r="H49" s="72">
        <f>LCOE!H22</f>
        <v>197.18418514946956</v>
      </c>
      <c r="I49" s="72">
        <f>LCOE!I22</f>
        <v>195.62198649951776</v>
      </c>
      <c r="J49" s="72">
        <f>LCOE!J22</f>
        <v>194.05978784956596</v>
      </c>
      <c r="K49" s="72">
        <f>LCOE!K22</f>
        <v>192.49758919961417</v>
      </c>
      <c r="L49" s="72">
        <f>LCOE!L22</f>
        <v>190.93539054966237</v>
      </c>
      <c r="M49" s="72">
        <f>LCOE!M22</f>
        <v>189.37319189971058</v>
      </c>
      <c r="N49" s="72">
        <f>LCOE!N22</f>
        <v>187.81099324975878</v>
      </c>
      <c r="O49" s="72">
        <f>LCOE!O22</f>
        <v>186.24879459980698</v>
      </c>
      <c r="P49" s="72">
        <f>LCOE!P22</f>
        <v>184.68659594985519</v>
      </c>
      <c r="Q49" s="72">
        <f>LCOE!Q22</f>
        <v>183.12439729990339</v>
      </c>
      <c r="R49" s="72">
        <f>LCOE!R22</f>
        <v>181.5621986499516</v>
      </c>
      <c r="S49" s="72">
        <f>LCOE!S22</f>
        <v>180</v>
      </c>
      <c r="T49" s="72">
        <f>LCOE!T22</f>
        <v>180</v>
      </c>
      <c r="U49" s="72">
        <f>LCOE!U22</f>
        <v>180</v>
      </c>
      <c r="V49" s="72">
        <f>LCOE!V22</f>
        <v>180</v>
      </c>
      <c r="W49" s="72">
        <f>LCOE!W22</f>
        <v>180</v>
      </c>
      <c r="X49" s="72">
        <f>LCOE!X22</f>
        <v>180</v>
      </c>
      <c r="Y49" s="72">
        <f>LCOE!Y22</f>
        <v>180</v>
      </c>
      <c r="Z49" s="72">
        <f>LCOE!Z22</f>
        <v>180</v>
      </c>
      <c r="AA49" s="72">
        <f>LCOE!AA22</f>
        <v>180</v>
      </c>
      <c r="AB49" s="72">
        <f>LCOE!AB22</f>
        <v>180</v>
      </c>
      <c r="AC49" s="72">
        <f>LCOE!AC22</f>
        <v>180</v>
      </c>
      <c r="AD49" s="72">
        <f>LCOE!AD22</f>
        <v>180</v>
      </c>
      <c r="AE49" s="72">
        <f>LCOE!AE22</f>
        <v>180</v>
      </c>
      <c r="AF49" s="72">
        <f>LCOE!AF22</f>
        <v>180</v>
      </c>
      <c r="AG49" s="72">
        <f>LCOE!AG22</f>
        <v>180</v>
      </c>
      <c r="AH49" s="72">
        <f>LCOE!AH22</f>
        <v>180</v>
      </c>
      <c r="AI49" s="72">
        <f>LCOE!AI22</f>
        <v>180</v>
      </c>
      <c r="AJ49" s="72">
        <f>LCOE!AJ22</f>
        <v>180</v>
      </c>
      <c r="AK49" s="72">
        <f>LCOE!AK22</f>
        <v>180</v>
      </c>
      <c r="AL49" s="72">
        <f>LCOE!AL22</f>
        <v>180</v>
      </c>
      <c r="AM49" s="72">
        <f>LCOE!AM22</f>
        <v>180</v>
      </c>
    </row>
    <row r="50" spans="1:45" x14ac:dyDescent="0.25">
      <c r="A50" s="63" t="s">
        <v>90</v>
      </c>
      <c r="B50" s="61">
        <v>0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1">
        <v>0</v>
      </c>
      <c r="AE50" s="126">
        <f>AD50+($AM50-$AD50)/(2050-2041)</f>
        <v>1868.7857090695111</v>
      </c>
      <c r="AF50" s="126">
        <f t="shared" si="25"/>
        <v>3737.5714181390222</v>
      </c>
      <c r="AG50" s="126">
        <f t="shared" si="25"/>
        <v>5606.3571272085337</v>
      </c>
      <c r="AH50" s="126">
        <f t="shared" si="25"/>
        <v>7475.1428362780443</v>
      </c>
      <c r="AI50" s="126">
        <f t="shared" si="25"/>
        <v>9343.928545347555</v>
      </c>
      <c r="AJ50" s="126">
        <f t="shared" si="25"/>
        <v>11212.714254417066</v>
      </c>
      <c r="AK50" s="126">
        <f t="shared" si="25"/>
        <v>13081.499963486576</v>
      </c>
      <c r="AL50" s="126">
        <f t="shared" si="25"/>
        <v>14950.285672556087</v>
      </c>
      <c r="AM50" s="55">
        <f>'Capacités installées'!B3</f>
        <v>16819.071381625599</v>
      </c>
    </row>
    <row r="51" spans="1:45" x14ac:dyDescent="0.25">
      <c r="A51" t="s">
        <v>110</v>
      </c>
      <c r="B51" s="45"/>
      <c r="C51" s="54">
        <f t="shared" ref="C51:AM51" si="26">C50-B50</f>
        <v>0</v>
      </c>
      <c r="D51" s="54">
        <f t="shared" si="26"/>
        <v>0</v>
      </c>
      <c r="E51" s="54">
        <f t="shared" si="26"/>
        <v>0</v>
      </c>
      <c r="F51" s="54">
        <f t="shared" si="26"/>
        <v>0</v>
      </c>
      <c r="G51" s="54">
        <f t="shared" si="26"/>
        <v>0</v>
      </c>
      <c r="H51" s="54">
        <f t="shared" si="26"/>
        <v>0</v>
      </c>
      <c r="I51" s="54">
        <f t="shared" si="26"/>
        <v>0</v>
      </c>
      <c r="J51" s="54">
        <f t="shared" si="26"/>
        <v>0</v>
      </c>
      <c r="K51" s="54">
        <f t="shared" si="26"/>
        <v>0</v>
      </c>
      <c r="L51" s="54">
        <f t="shared" si="26"/>
        <v>0</v>
      </c>
      <c r="M51" s="54">
        <f t="shared" si="26"/>
        <v>0</v>
      </c>
      <c r="N51" s="54">
        <f t="shared" si="26"/>
        <v>0</v>
      </c>
      <c r="O51" s="54">
        <f t="shared" si="26"/>
        <v>0</v>
      </c>
      <c r="P51" s="54">
        <f t="shared" si="26"/>
        <v>0</v>
      </c>
      <c r="Q51" s="54">
        <f t="shared" si="26"/>
        <v>0</v>
      </c>
      <c r="R51" s="54">
        <f t="shared" si="26"/>
        <v>0</v>
      </c>
      <c r="S51" s="54">
        <f t="shared" si="26"/>
        <v>0</v>
      </c>
      <c r="T51" s="54">
        <f t="shared" si="26"/>
        <v>0</v>
      </c>
      <c r="U51" s="54">
        <f t="shared" si="26"/>
        <v>0</v>
      </c>
      <c r="V51" s="54">
        <f t="shared" si="26"/>
        <v>0</v>
      </c>
      <c r="W51" s="54">
        <f t="shared" si="26"/>
        <v>0</v>
      </c>
      <c r="X51" s="54">
        <f t="shared" si="26"/>
        <v>0</v>
      </c>
      <c r="Y51" s="54">
        <f t="shared" si="26"/>
        <v>0</v>
      </c>
      <c r="Z51" s="54">
        <f t="shared" si="26"/>
        <v>0</v>
      </c>
      <c r="AA51" s="54">
        <f t="shared" si="26"/>
        <v>0</v>
      </c>
      <c r="AB51" s="54">
        <f t="shared" si="26"/>
        <v>0</v>
      </c>
      <c r="AC51" s="54">
        <f t="shared" si="26"/>
        <v>0</v>
      </c>
      <c r="AD51" s="54">
        <f t="shared" si="26"/>
        <v>0</v>
      </c>
      <c r="AE51" s="54">
        <f t="shared" si="26"/>
        <v>1868.7857090695111</v>
      </c>
      <c r="AF51" s="54">
        <f t="shared" si="26"/>
        <v>1868.7857090695111</v>
      </c>
      <c r="AG51" s="54">
        <f t="shared" si="26"/>
        <v>1868.7857090695115</v>
      </c>
      <c r="AH51" s="54">
        <f t="shared" si="26"/>
        <v>1868.7857090695106</v>
      </c>
      <c r="AI51" s="54">
        <f t="shared" si="26"/>
        <v>1868.7857090695106</v>
      </c>
      <c r="AJ51" s="54">
        <f t="shared" si="26"/>
        <v>1868.7857090695106</v>
      </c>
      <c r="AK51" s="54">
        <f t="shared" si="26"/>
        <v>1868.7857090695106</v>
      </c>
      <c r="AL51" s="54">
        <f t="shared" si="26"/>
        <v>1868.7857090695106</v>
      </c>
      <c r="AM51" s="54">
        <f t="shared" si="26"/>
        <v>1868.7857090695124</v>
      </c>
    </row>
    <row r="52" spans="1:45" x14ac:dyDescent="0.25">
      <c r="A52" t="s">
        <v>143</v>
      </c>
      <c r="B52" s="54">
        <f>LCOE!$AT$22*10</f>
        <v>150</v>
      </c>
      <c r="C52" s="54">
        <f>LCOE!$AT$22*10</f>
        <v>150</v>
      </c>
      <c r="D52" s="54">
        <f>LCOE!$AT$22*10</f>
        <v>150</v>
      </c>
      <c r="E52" s="54">
        <f>LCOE!$AT$22*10</f>
        <v>150</v>
      </c>
      <c r="F52" s="54">
        <f>LCOE!$AT$22*10</f>
        <v>150</v>
      </c>
      <c r="G52" s="54">
        <f>LCOE!$AT$22*10</f>
        <v>150</v>
      </c>
      <c r="H52" s="54">
        <f>LCOE!$AT$22*10</f>
        <v>150</v>
      </c>
      <c r="I52" s="54">
        <f>LCOE!$AT$22*10</f>
        <v>150</v>
      </c>
      <c r="J52" s="54">
        <f>LCOE!$AT$22*10</f>
        <v>150</v>
      </c>
      <c r="K52" s="54">
        <f>LCOE!$AT$22*10</f>
        <v>150</v>
      </c>
      <c r="L52" s="54">
        <f>LCOE!$AT$22*10</f>
        <v>150</v>
      </c>
      <c r="M52" s="54">
        <f>LCOE!$AT$22*10</f>
        <v>150</v>
      </c>
      <c r="N52" s="54">
        <f>LCOE!$AT$22*10</f>
        <v>150</v>
      </c>
      <c r="O52" s="54">
        <f>LCOE!$AT$22*10</f>
        <v>150</v>
      </c>
      <c r="P52" s="54">
        <f>LCOE!$AT$22*10</f>
        <v>150</v>
      </c>
      <c r="Q52" s="54">
        <f>LCOE!$AT$22*10</f>
        <v>150</v>
      </c>
      <c r="R52" s="54">
        <f>LCOE!$AT$22*10</f>
        <v>150</v>
      </c>
      <c r="S52" s="54">
        <f>LCOE!$AT$22*10</f>
        <v>150</v>
      </c>
      <c r="T52" s="54">
        <f>LCOE!$AT$22*10</f>
        <v>150</v>
      </c>
      <c r="U52" s="54">
        <f>LCOE!$AT$22*10</f>
        <v>150</v>
      </c>
      <c r="V52" s="54">
        <f>LCOE!$AT$22*10</f>
        <v>150</v>
      </c>
      <c r="W52" s="54">
        <f>LCOE!$AT$22*10</f>
        <v>150</v>
      </c>
      <c r="X52" s="54">
        <f>LCOE!$AT$22*10</f>
        <v>150</v>
      </c>
      <c r="Y52" s="54">
        <f>LCOE!$AT$22*10</f>
        <v>150</v>
      </c>
      <c r="Z52" s="54">
        <f>LCOE!$AT$22*10</f>
        <v>150</v>
      </c>
      <c r="AA52" s="54">
        <f>LCOE!$AT$22*10</f>
        <v>150</v>
      </c>
      <c r="AB52" s="54">
        <f>LCOE!$AT$22*10</f>
        <v>150</v>
      </c>
      <c r="AC52" s="54">
        <f>LCOE!$AT$22*10</f>
        <v>150</v>
      </c>
      <c r="AD52" s="54">
        <f>LCOE!$AT$22*10</f>
        <v>150</v>
      </c>
      <c r="AE52" s="54">
        <f>LCOE!$AT$22*10</f>
        <v>150</v>
      </c>
      <c r="AF52" s="54">
        <f>LCOE!$AT$22*10</f>
        <v>150</v>
      </c>
      <c r="AG52" s="54">
        <f>LCOE!$AT$22*10</f>
        <v>150</v>
      </c>
      <c r="AH52" s="54">
        <f>LCOE!$AT$22*10</f>
        <v>150</v>
      </c>
      <c r="AI52" s="54">
        <f>LCOE!$AT$22*10</f>
        <v>150</v>
      </c>
      <c r="AJ52" s="54">
        <f>LCOE!$AT$22*10</f>
        <v>150</v>
      </c>
      <c r="AK52" s="54">
        <f>LCOE!$AT$22*10</f>
        <v>150</v>
      </c>
      <c r="AL52" s="54">
        <f>LCOE!$AT$22*10</f>
        <v>150</v>
      </c>
      <c r="AM52" s="54">
        <f>LCOE!$AT$22*10</f>
        <v>150</v>
      </c>
    </row>
    <row r="53" spans="1:45" x14ac:dyDescent="0.25">
      <c r="A53" t="s">
        <v>195</v>
      </c>
      <c r="B53" s="67"/>
      <c r="C53" s="54"/>
      <c r="D53" s="55"/>
      <c r="E53" s="54"/>
      <c r="F53" s="54"/>
      <c r="G53" s="54"/>
      <c r="H53" s="54"/>
      <c r="I53" s="54"/>
      <c r="J53" s="54"/>
      <c r="K53" s="54"/>
      <c r="L53" s="54"/>
      <c r="M53" s="61"/>
      <c r="N53" s="55"/>
      <c r="O53" s="54"/>
      <c r="P53" s="54"/>
      <c r="Q53" s="54"/>
      <c r="R53" s="54"/>
      <c r="S53" s="69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61"/>
      <c r="AF53" s="54"/>
      <c r="AG53" s="54"/>
      <c r="AH53" s="54"/>
      <c r="AI53" s="54"/>
      <c r="AJ53" s="54"/>
      <c r="AK53" s="61"/>
      <c r="AL53" s="54"/>
      <c r="AM53" s="124">
        <f>AM55/AM58</f>
        <v>0.106942465895318</v>
      </c>
    </row>
    <row r="54" spans="1:45" x14ac:dyDescent="0.25">
      <c r="A54" t="s">
        <v>30</v>
      </c>
      <c r="B54" s="127">
        <f>LCOE!AQ22</f>
        <v>30</v>
      </c>
      <c r="AN54" s="13"/>
      <c r="AO54" s="13"/>
    </row>
    <row r="55" spans="1:45" x14ac:dyDescent="0.25">
      <c r="A55" t="s">
        <v>196</v>
      </c>
      <c r="B55" s="13">
        <f t="shared" ref="B55:AK55" si="27">$AM$53*B58</f>
        <v>0</v>
      </c>
      <c r="C55" s="13">
        <f t="shared" si="27"/>
        <v>0</v>
      </c>
      <c r="D55" s="13">
        <f t="shared" si="27"/>
        <v>0</v>
      </c>
      <c r="E55" s="13">
        <f t="shared" si="27"/>
        <v>0</v>
      </c>
      <c r="F55" s="13">
        <f t="shared" si="27"/>
        <v>0</v>
      </c>
      <c r="G55" s="13">
        <f t="shared" si="27"/>
        <v>0</v>
      </c>
      <c r="H55" s="13">
        <f t="shared" si="27"/>
        <v>0</v>
      </c>
      <c r="I55" s="13">
        <f t="shared" si="27"/>
        <v>0</v>
      </c>
      <c r="J55" s="13">
        <f t="shared" si="27"/>
        <v>0</v>
      </c>
      <c r="K55" s="13">
        <f t="shared" si="27"/>
        <v>0</v>
      </c>
      <c r="L55" s="13">
        <f t="shared" si="27"/>
        <v>0</v>
      </c>
      <c r="M55" s="13">
        <f t="shared" si="27"/>
        <v>0</v>
      </c>
      <c r="N55" s="13">
        <f t="shared" si="27"/>
        <v>0</v>
      </c>
      <c r="O55" s="13">
        <f t="shared" si="27"/>
        <v>0</v>
      </c>
      <c r="P55" s="13">
        <f t="shared" si="27"/>
        <v>0</v>
      </c>
      <c r="Q55" s="13">
        <f t="shared" si="27"/>
        <v>0</v>
      </c>
      <c r="R55" s="13">
        <f t="shared" si="27"/>
        <v>0</v>
      </c>
      <c r="S55" s="13">
        <f t="shared" si="27"/>
        <v>0</v>
      </c>
      <c r="T55" s="13">
        <f t="shared" si="27"/>
        <v>0</v>
      </c>
      <c r="U55" s="13">
        <f t="shared" si="27"/>
        <v>0</v>
      </c>
      <c r="V55" s="13">
        <f t="shared" si="27"/>
        <v>0</v>
      </c>
      <c r="W55" s="13">
        <f t="shared" si="27"/>
        <v>0</v>
      </c>
      <c r="X55" s="13">
        <f t="shared" si="27"/>
        <v>0</v>
      </c>
      <c r="Y55" s="13">
        <f t="shared" si="27"/>
        <v>0</v>
      </c>
      <c r="Z55" s="13">
        <f t="shared" si="27"/>
        <v>0</v>
      </c>
      <c r="AA55" s="13">
        <f t="shared" si="27"/>
        <v>0</v>
      </c>
      <c r="AB55" s="13">
        <f t="shared" si="27"/>
        <v>0</v>
      </c>
      <c r="AC55" s="13">
        <f t="shared" si="27"/>
        <v>0</v>
      </c>
      <c r="AD55" s="13">
        <f>$AM$53*AD58</f>
        <v>0</v>
      </c>
      <c r="AE55" s="13">
        <f>$AM$53*AE58</f>
        <v>41.109803105802982</v>
      </c>
      <c r="AF55" s="13">
        <f t="shared" si="27"/>
        <v>82.220185660859158</v>
      </c>
      <c r="AG55" s="13">
        <f t="shared" si="27"/>
        <v>123.33130919716464</v>
      </c>
      <c r="AH55" s="13">
        <f t="shared" si="27"/>
        <v>164.44331315994447</v>
      </c>
      <c r="AI55" s="13">
        <f t="shared" si="27"/>
        <v>205.55631203572878</v>
      </c>
      <c r="AJ55" s="13">
        <f t="shared" si="27"/>
        <v>246.67039316156524</v>
      </c>
      <c r="AK55" s="13">
        <f t="shared" si="27"/>
        <v>287.78561525228849</v>
      </c>
      <c r="AL55" s="13">
        <f>$AM$53*AL58</f>
        <v>328.90200766429109</v>
      </c>
      <c r="AM55" s="13">
        <f>LCOE!AS22*1000*'Capacités installées'!B3/1000000</f>
        <v>370.01957039576314</v>
      </c>
      <c r="AN55" s="13"/>
      <c r="AO55" s="13"/>
      <c r="AP55" s="13"/>
      <c r="AQ55" s="13"/>
    </row>
    <row r="56" spans="1:45" x14ac:dyDescent="0.25">
      <c r="A56" t="s">
        <v>197</v>
      </c>
      <c r="B56" s="13">
        <f>B52*B48/1000000</f>
        <v>0</v>
      </c>
      <c r="C56" s="13">
        <f t="shared" ref="C56:AC56" si="28">C52*C48/1000000</f>
        <v>0</v>
      </c>
      <c r="D56" s="13">
        <f t="shared" si="28"/>
        <v>0</v>
      </c>
      <c r="E56" s="13">
        <f t="shared" si="28"/>
        <v>0</v>
      </c>
      <c r="F56" s="13">
        <f t="shared" si="28"/>
        <v>0</v>
      </c>
      <c r="G56" s="13">
        <f t="shared" si="28"/>
        <v>0</v>
      </c>
      <c r="H56" s="13">
        <f t="shared" si="28"/>
        <v>0</v>
      </c>
      <c r="I56" s="13">
        <f t="shared" si="28"/>
        <v>0</v>
      </c>
      <c r="J56" s="13">
        <f t="shared" si="28"/>
        <v>0</v>
      </c>
      <c r="K56" s="13">
        <f t="shared" si="28"/>
        <v>0</v>
      </c>
      <c r="L56" s="13">
        <f t="shared" si="28"/>
        <v>0</v>
      </c>
      <c r="M56" s="13">
        <f t="shared" si="28"/>
        <v>0</v>
      </c>
      <c r="N56" s="13">
        <f t="shared" si="28"/>
        <v>0</v>
      </c>
      <c r="O56" s="13">
        <f t="shared" si="28"/>
        <v>0</v>
      </c>
      <c r="P56" s="13">
        <f t="shared" si="28"/>
        <v>0</v>
      </c>
      <c r="Q56" s="13">
        <f t="shared" si="28"/>
        <v>0</v>
      </c>
      <c r="R56" s="13">
        <f t="shared" si="28"/>
        <v>0</v>
      </c>
      <c r="S56" s="13">
        <f t="shared" si="28"/>
        <v>0</v>
      </c>
      <c r="T56" s="13">
        <f t="shared" si="28"/>
        <v>0</v>
      </c>
      <c r="U56" s="13">
        <f t="shared" si="28"/>
        <v>0</v>
      </c>
      <c r="V56" s="13">
        <f t="shared" si="28"/>
        <v>0</v>
      </c>
      <c r="W56" s="13">
        <f t="shared" si="28"/>
        <v>0</v>
      </c>
      <c r="X56" s="13">
        <f t="shared" si="28"/>
        <v>0</v>
      </c>
      <c r="Y56" s="13">
        <f t="shared" si="28"/>
        <v>0</v>
      </c>
      <c r="Z56" s="13">
        <f t="shared" si="28"/>
        <v>0</v>
      </c>
      <c r="AA56" s="13">
        <f t="shared" si="28"/>
        <v>0</v>
      </c>
      <c r="AB56" s="13">
        <f t="shared" si="28"/>
        <v>0</v>
      </c>
      <c r="AC56" s="13">
        <f t="shared" si="28"/>
        <v>0</v>
      </c>
      <c r="AD56" s="13">
        <f>AD52*AD48/1000000</f>
        <v>0</v>
      </c>
      <c r="AE56" s="13">
        <f>AE52*AE48/1000000-AE23</f>
        <v>134.84061081476443</v>
      </c>
      <c r="AF56" s="13">
        <f t="shared" ref="AF56:AM56" si="29">AF52*AF48/1000000-AF23</f>
        <v>270.64962982828092</v>
      </c>
      <c r="AG56" s="13">
        <f t="shared" si="29"/>
        <v>407.4270570405497</v>
      </c>
      <c r="AH56" s="13">
        <f t="shared" si="29"/>
        <v>545.17289245157031</v>
      </c>
      <c r="AI56" s="13">
        <f t="shared" si="29"/>
        <v>683.8871360613432</v>
      </c>
      <c r="AJ56" s="13">
        <f t="shared" si="29"/>
        <v>823.56978786986838</v>
      </c>
      <c r="AK56" s="13">
        <f t="shared" si="29"/>
        <v>964.22084787714539</v>
      </c>
      <c r="AL56" s="13">
        <f t="shared" si="29"/>
        <v>1105.8403160831747</v>
      </c>
      <c r="AM56" s="13">
        <f t="shared" si="29"/>
        <v>1248.4281924879581</v>
      </c>
      <c r="AN56" s="13"/>
      <c r="AO56" s="13"/>
      <c r="AP56" s="13"/>
      <c r="AQ56" s="13"/>
    </row>
    <row r="57" spans="1:45" x14ac:dyDescent="0.25">
      <c r="A57" t="s">
        <v>111</v>
      </c>
      <c r="B57" s="13">
        <f>B58-B55-B56</f>
        <v>0</v>
      </c>
      <c r="C57" s="13">
        <f t="shared" ref="C57:AM57" si="30">C58-C55-C56</f>
        <v>0</v>
      </c>
      <c r="D57" s="13">
        <f t="shared" si="30"/>
        <v>0</v>
      </c>
      <c r="E57" s="13">
        <f t="shared" si="30"/>
        <v>0</v>
      </c>
      <c r="F57" s="13">
        <f t="shared" si="30"/>
        <v>0</v>
      </c>
      <c r="G57" s="13">
        <f t="shared" si="30"/>
        <v>0</v>
      </c>
      <c r="H57" s="13">
        <f t="shared" si="30"/>
        <v>0</v>
      </c>
      <c r="I57" s="13">
        <f t="shared" si="30"/>
        <v>0</v>
      </c>
      <c r="J57" s="13">
        <f t="shared" si="30"/>
        <v>0</v>
      </c>
      <c r="K57" s="13">
        <f t="shared" si="30"/>
        <v>0</v>
      </c>
      <c r="L57" s="13">
        <f t="shared" si="30"/>
        <v>0</v>
      </c>
      <c r="M57" s="13">
        <f t="shared" si="30"/>
        <v>0</v>
      </c>
      <c r="N57" s="13">
        <f t="shared" si="30"/>
        <v>0</v>
      </c>
      <c r="O57" s="13">
        <f t="shared" si="30"/>
        <v>0</v>
      </c>
      <c r="P57" s="13">
        <f t="shared" si="30"/>
        <v>0</v>
      </c>
      <c r="Q57" s="13">
        <f t="shared" si="30"/>
        <v>0</v>
      </c>
      <c r="R57" s="13">
        <f t="shared" si="30"/>
        <v>0</v>
      </c>
      <c r="S57" s="13">
        <f t="shared" si="30"/>
        <v>0</v>
      </c>
      <c r="T57" s="13">
        <f t="shared" si="30"/>
        <v>0</v>
      </c>
      <c r="U57" s="13">
        <f t="shared" si="30"/>
        <v>0</v>
      </c>
      <c r="V57" s="13">
        <f t="shared" si="30"/>
        <v>0</v>
      </c>
      <c r="W57" s="13">
        <f t="shared" si="30"/>
        <v>0</v>
      </c>
      <c r="X57" s="13">
        <f t="shared" si="30"/>
        <v>0</v>
      </c>
      <c r="Y57" s="13">
        <f t="shared" si="30"/>
        <v>0</v>
      </c>
      <c r="Z57" s="13">
        <f t="shared" si="30"/>
        <v>0</v>
      </c>
      <c r="AA57" s="13">
        <f t="shared" si="30"/>
        <v>0</v>
      </c>
      <c r="AB57" s="13">
        <f t="shared" si="30"/>
        <v>0</v>
      </c>
      <c r="AC57" s="13">
        <f t="shared" si="30"/>
        <v>0</v>
      </c>
      <c r="AD57" s="13">
        <f>AD58-AD55-AD56</f>
        <v>0</v>
      </c>
      <c r="AE57" s="13">
        <f>AE58-AE55-AE56</f>
        <v>208.46005166607648</v>
      </c>
      <c r="AF57" s="13">
        <f t="shared" si="30"/>
        <v>415.95653401117374</v>
      </c>
      <c r="AG57" s="13">
        <f t="shared" si="30"/>
        <v>622.49079596029469</v>
      </c>
      <c r="AH57" s="13">
        <f t="shared" si="30"/>
        <v>828.06400199574114</v>
      </c>
      <c r="AI57" s="13">
        <f t="shared" si="30"/>
        <v>1032.677108174187</v>
      </c>
      <c r="AJ57" s="13">
        <f t="shared" si="30"/>
        <v>1236.3308438318018</v>
      </c>
      <c r="AK57" s="13">
        <f t="shared" si="30"/>
        <v>1439.0256992857389</v>
      </c>
      <c r="AL57" s="13">
        <f t="shared" si="30"/>
        <v>1640.7619196860176</v>
      </c>
      <c r="AM57" s="13">
        <f t="shared" si="30"/>
        <v>1841.5395050175209</v>
      </c>
      <c r="AN57" s="13"/>
      <c r="AO57" s="13"/>
      <c r="AP57" s="13"/>
    </row>
    <row r="58" spans="1:45" x14ac:dyDescent="0.25">
      <c r="A58" t="s">
        <v>112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384.41046558664391</v>
      </c>
      <c r="AF58" s="13">
        <v>768.82634950031388</v>
      </c>
      <c r="AG58" s="13">
        <v>1153.2491621980091</v>
      </c>
      <c r="AH58" s="13">
        <v>1537.6802076072559</v>
      </c>
      <c r="AI58" s="13">
        <v>1922.1205562712589</v>
      </c>
      <c r="AJ58" s="13">
        <v>2306.5710248632354</v>
      </c>
      <c r="AK58" s="13">
        <v>2691.0321624151729</v>
      </c>
      <c r="AL58" s="13">
        <v>3075.5042434334832</v>
      </c>
      <c r="AM58" s="13">
        <v>3459.9872679012424</v>
      </c>
      <c r="AN58" s="13"/>
      <c r="AO58" s="13"/>
      <c r="AP58" s="13"/>
      <c r="AQ58" s="13"/>
      <c r="AR58" s="13"/>
    </row>
    <row r="59" spans="1:45" x14ac:dyDescent="0.25"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idden="1" outlineLevel="1" x14ac:dyDescent="0.25">
      <c r="A60" t="s">
        <v>108</v>
      </c>
    </row>
    <row r="61" spans="1:45" hidden="1" outlineLevel="1" x14ac:dyDescent="0.25">
      <c r="A61">
        <v>2021</v>
      </c>
      <c r="J61" s="13" t="e">
        <f>$J$51*#REF!/1000000</f>
        <v>#REF!</v>
      </c>
      <c r="K61" s="13" t="e">
        <f>$J$51*#REF!/1000000</f>
        <v>#REF!</v>
      </c>
      <c r="L61" s="13" t="e">
        <f>$J$51*#REF!/1000000</f>
        <v>#REF!</v>
      </c>
      <c r="M61" s="13" t="e">
        <f>$J$51*#REF!/1000000</f>
        <v>#REF!</v>
      </c>
      <c r="N61" s="13" t="e">
        <f>$J$51*#REF!/1000000</f>
        <v>#REF!</v>
      </c>
      <c r="O61" s="13" t="e">
        <f>$J$51*#REF!/1000000</f>
        <v>#REF!</v>
      </c>
      <c r="P61" s="13" t="e">
        <f>$J$51*#REF!/1000000</f>
        <v>#REF!</v>
      </c>
      <c r="Q61" s="13" t="e">
        <f>$J$51*#REF!/1000000</f>
        <v>#REF!</v>
      </c>
      <c r="R61" s="13" t="e">
        <f>$J$51*#REF!/1000000</f>
        <v>#REF!</v>
      </c>
      <c r="S61" s="13" t="e">
        <f>$J$51*#REF!/1000000</f>
        <v>#REF!</v>
      </c>
      <c r="T61" s="13" t="e">
        <f>$J$51*#REF!/1000000</f>
        <v>#REF!</v>
      </c>
      <c r="U61" s="13" t="e">
        <f>$J$51*#REF!/1000000</f>
        <v>#REF!</v>
      </c>
      <c r="V61" s="13" t="e">
        <f>$J$51*#REF!/1000000</f>
        <v>#REF!</v>
      </c>
      <c r="W61" s="13" t="e">
        <f>$J$51*#REF!/1000000</f>
        <v>#REF!</v>
      </c>
      <c r="X61" s="13" t="e">
        <f>$J$51*#REF!/1000000</f>
        <v>#REF!</v>
      </c>
      <c r="Y61" s="13" t="e">
        <f>$J$51*#REF!/1000000</f>
        <v>#REF!</v>
      </c>
      <c r="Z61" s="13" t="e">
        <f>$J$51*#REF!/1000000</f>
        <v>#REF!</v>
      </c>
      <c r="AA61" s="13" t="e">
        <f>$J$51*#REF!/1000000</f>
        <v>#REF!</v>
      </c>
      <c r="AB61" s="13" t="e">
        <f>$J$51*#REF!/1000000</f>
        <v>#REF!</v>
      </c>
      <c r="AC61" s="13" t="e">
        <f>$J$51*#REF!/1000000</f>
        <v>#REF!</v>
      </c>
      <c r="AD61" s="13" t="e">
        <f>$J$51*#REF!/1000000</f>
        <v>#REF!</v>
      </c>
      <c r="AE61" s="13" t="e">
        <f>$J$51*#REF!/1000000</f>
        <v>#REF!</v>
      </c>
      <c r="AF61" s="13" t="e">
        <f>$J$51*#REF!/1000000</f>
        <v>#REF!</v>
      </c>
      <c r="AG61" s="13" t="e">
        <f>$J$51*#REF!/1000000</f>
        <v>#REF!</v>
      </c>
      <c r="AH61" s="13" t="e">
        <f>$J$51*#REF!/1000000</f>
        <v>#REF!</v>
      </c>
      <c r="AI61" s="13" t="e">
        <f>$J$51*#REF!/1000000</f>
        <v>#REF!</v>
      </c>
      <c r="AJ61" s="13" t="e">
        <f>$J$51*#REF!/1000000</f>
        <v>#REF!</v>
      </c>
      <c r="AK61" s="13" t="e">
        <f>$J$51*#REF!/1000000</f>
        <v>#REF!</v>
      </c>
      <c r="AL61" s="13" t="e">
        <f>$J$51*#REF!/1000000</f>
        <v>#REF!</v>
      </c>
      <c r="AM61" s="13" t="e">
        <f>$J$51*#REF!/1000000</f>
        <v>#REF!</v>
      </c>
    </row>
    <row r="62" spans="1:45" hidden="1" outlineLevel="1" x14ac:dyDescent="0.25">
      <c r="A62">
        <v>2022</v>
      </c>
      <c r="K62" s="13" t="e">
        <f>$K$51*#REF!/1000000</f>
        <v>#REF!</v>
      </c>
      <c r="L62" s="13" t="e">
        <f>$K$51*#REF!/1000000</f>
        <v>#REF!</v>
      </c>
      <c r="M62" s="13" t="e">
        <f>$K$51*#REF!/1000000</f>
        <v>#REF!</v>
      </c>
      <c r="N62" s="13" t="e">
        <f>$K$51*#REF!/1000000</f>
        <v>#REF!</v>
      </c>
      <c r="O62" s="13" t="e">
        <f>$K$51*#REF!/1000000</f>
        <v>#REF!</v>
      </c>
      <c r="P62" s="13" t="e">
        <f>$K$51*#REF!/1000000</f>
        <v>#REF!</v>
      </c>
      <c r="Q62" s="13" t="e">
        <f>$K$51*#REF!/1000000</f>
        <v>#REF!</v>
      </c>
      <c r="R62" s="13" t="e">
        <f>$K$51*#REF!/1000000</f>
        <v>#REF!</v>
      </c>
      <c r="S62" s="13" t="e">
        <f>$K$51*#REF!/1000000</f>
        <v>#REF!</v>
      </c>
      <c r="T62" s="13" t="e">
        <f>$K$51*#REF!/1000000</f>
        <v>#REF!</v>
      </c>
      <c r="U62" s="13" t="e">
        <f>$K$51*#REF!/1000000</f>
        <v>#REF!</v>
      </c>
      <c r="V62" s="13" t="e">
        <f>$K$51*#REF!/1000000</f>
        <v>#REF!</v>
      </c>
      <c r="W62" s="13" t="e">
        <f>$K$51*#REF!/1000000</f>
        <v>#REF!</v>
      </c>
      <c r="X62" s="13" t="e">
        <f>$K$51*#REF!/1000000</f>
        <v>#REF!</v>
      </c>
      <c r="Y62" s="13" t="e">
        <f>$K$51*#REF!/1000000</f>
        <v>#REF!</v>
      </c>
      <c r="Z62" s="13" t="e">
        <f>$K$51*#REF!/1000000</f>
        <v>#REF!</v>
      </c>
      <c r="AA62" s="13" t="e">
        <f>$K$51*#REF!/1000000</f>
        <v>#REF!</v>
      </c>
      <c r="AB62" s="13" t="e">
        <f>$K$51*#REF!/1000000</f>
        <v>#REF!</v>
      </c>
      <c r="AC62" s="13" t="e">
        <f>$K$51*#REF!/1000000</f>
        <v>#REF!</v>
      </c>
      <c r="AD62" s="13" t="e">
        <f>$K$51*#REF!/1000000</f>
        <v>#REF!</v>
      </c>
      <c r="AE62" s="13" t="e">
        <f>$K$51*#REF!/1000000</f>
        <v>#REF!</v>
      </c>
      <c r="AF62" s="13" t="e">
        <f>$K$51*#REF!/1000000</f>
        <v>#REF!</v>
      </c>
      <c r="AG62" s="13" t="e">
        <f>$K$51*#REF!/1000000</f>
        <v>#REF!</v>
      </c>
      <c r="AH62" s="13" t="e">
        <f>$K$51*#REF!/1000000</f>
        <v>#REF!</v>
      </c>
      <c r="AI62" s="13" t="e">
        <f>$K$51*#REF!/1000000</f>
        <v>#REF!</v>
      </c>
      <c r="AJ62" s="13" t="e">
        <f>$K$51*#REF!/1000000</f>
        <v>#REF!</v>
      </c>
      <c r="AK62" s="13" t="e">
        <f>$K$51*#REF!/1000000</f>
        <v>#REF!</v>
      </c>
      <c r="AL62" s="13" t="e">
        <f>$K$51*#REF!/1000000</f>
        <v>#REF!</v>
      </c>
      <c r="AM62" s="13" t="e">
        <f>$K$51*#REF!/1000000</f>
        <v>#REF!</v>
      </c>
    </row>
    <row r="63" spans="1:45" hidden="1" outlineLevel="1" x14ac:dyDescent="0.25">
      <c r="A63">
        <v>2023</v>
      </c>
      <c r="L63" s="13" t="e">
        <f>$L$51*#REF!/1000000</f>
        <v>#REF!</v>
      </c>
      <c r="M63" s="13" t="e">
        <f>$L$51*#REF!/1000000</f>
        <v>#REF!</v>
      </c>
      <c r="N63" s="13" t="e">
        <f>$L$51*#REF!/1000000</f>
        <v>#REF!</v>
      </c>
      <c r="O63" s="13" t="e">
        <f>$L$51*#REF!/1000000</f>
        <v>#REF!</v>
      </c>
      <c r="P63" s="13" t="e">
        <f>$L$51*#REF!/1000000</f>
        <v>#REF!</v>
      </c>
      <c r="Q63" s="13" t="e">
        <f>$L$51*#REF!/1000000</f>
        <v>#REF!</v>
      </c>
      <c r="R63" s="13" t="e">
        <f>$L$51*#REF!/1000000</f>
        <v>#REF!</v>
      </c>
      <c r="S63" s="13" t="e">
        <f>$L$51*#REF!/1000000</f>
        <v>#REF!</v>
      </c>
      <c r="T63" s="13" t="e">
        <f>$L$51*#REF!/1000000</f>
        <v>#REF!</v>
      </c>
      <c r="U63" s="13" t="e">
        <f>$L$51*#REF!/1000000</f>
        <v>#REF!</v>
      </c>
      <c r="V63" s="13" t="e">
        <f>$L$51*#REF!/1000000</f>
        <v>#REF!</v>
      </c>
      <c r="W63" s="13" t="e">
        <f>$L$51*#REF!/1000000</f>
        <v>#REF!</v>
      </c>
      <c r="X63" s="13" t="e">
        <f>$L$51*#REF!/1000000</f>
        <v>#REF!</v>
      </c>
      <c r="Y63" s="13" t="e">
        <f>$L$51*#REF!/1000000</f>
        <v>#REF!</v>
      </c>
      <c r="Z63" s="13" t="e">
        <f>$L$51*#REF!/1000000</f>
        <v>#REF!</v>
      </c>
      <c r="AA63" s="13" t="e">
        <f>$L$51*#REF!/1000000</f>
        <v>#REF!</v>
      </c>
      <c r="AB63" s="13" t="e">
        <f>$L$51*#REF!/1000000</f>
        <v>#REF!</v>
      </c>
      <c r="AC63" s="13" t="e">
        <f>$L$51*#REF!/1000000</f>
        <v>#REF!</v>
      </c>
      <c r="AD63" s="13" t="e">
        <f>$L$51*#REF!/1000000</f>
        <v>#REF!</v>
      </c>
      <c r="AE63" s="13" t="e">
        <f>$L$51*#REF!/1000000</f>
        <v>#REF!</v>
      </c>
      <c r="AF63" s="13" t="e">
        <f>$L$51*#REF!/1000000</f>
        <v>#REF!</v>
      </c>
      <c r="AG63" s="13" t="e">
        <f>$L$51*#REF!/1000000</f>
        <v>#REF!</v>
      </c>
      <c r="AH63" s="13" t="e">
        <f>$L$51*#REF!/1000000</f>
        <v>#REF!</v>
      </c>
      <c r="AI63" s="13" t="e">
        <f>$L$51*#REF!/1000000</f>
        <v>#REF!</v>
      </c>
      <c r="AJ63" s="13" t="e">
        <f>$L$51*#REF!/1000000</f>
        <v>#REF!</v>
      </c>
      <c r="AK63" s="13" t="e">
        <f>$L$51*#REF!/1000000</f>
        <v>#REF!</v>
      </c>
      <c r="AL63" s="13" t="e">
        <f>$L$51*#REF!/1000000</f>
        <v>#REF!</v>
      </c>
      <c r="AM63" s="13" t="e">
        <f>$L$51*#REF!/1000000</f>
        <v>#REF!</v>
      </c>
    </row>
    <row r="64" spans="1:45" hidden="1" outlineLevel="1" x14ac:dyDescent="0.25">
      <c r="A64">
        <v>2024</v>
      </c>
      <c r="M64" s="13" t="e">
        <f>$M$51*#REF!/1000000</f>
        <v>#REF!</v>
      </c>
      <c r="N64" s="13" t="e">
        <f>$M$51*#REF!/1000000</f>
        <v>#REF!</v>
      </c>
      <c r="O64" s="13" t="e">
        <f>$M$51*#REF!/1000000</f>
        <v>#REF!</v>
      </c>
      <c r="P64" s="13" t="e">
        <f>$M$51*#REF!/1000000</f>
        <v>#REF!</v>
      </c>
      <c r="Q64" s="13" t="e">
        <f>$M$51*#REF!/1000000</f>
        <v>#REF!</v>
      </c>
      <c r="R64" s="13" t="e">
        <f>$M$51*#REF!/1000000</f>
        <v>#REF!</v>
      </c>
      <c r="S64" s="13" t="e">
        <f>$M$51*#REF!/1000000</f>
        <v>#REF!</v>
      </c>
      <c r="T64" s="13" t="e">
        <f>$M$51*#REF!/1000000</f>
        <v>#REF!</v>
      </c>
      <c r="U64" s="13" t="e">
        <f>$M$51*#REF!/1000000</f>
        <v>#REF!</v>
      </c>
      <c r="V64" s="13" t="e">
        <f>$M$51*#REF!/1000000</f>
        <v>#REF!</v>
      </c>
      <c r="W64" s="13" t="e">
        <f>$M$51*#REF!/1000000</f>
        <v>#REF!</v>
      </c>
      <c r="X64" s="13" t="e">
        <f>$M$51*#REF!/1000000</f>
        <v>#REF!</v>
      </c>
      <c r="Y64" s="13" t="e">
        <f>$M$51*#REF!/1000000</f>
        <v>#REF!</v>
      </c>
      <c r="Z64" s="13" t="e">
        <f>$M$51*#REF!/1000000</f>
        <v>#REF!</v>
      </c>
      <c r="AA64" s="13" t="e">
        <f>$M$51*#REF!/1000000</f>
        <v>#REF!</v>
      </c>
      <c r="AB64" s="13" t="e">
        <f>$M$51*#REF!/1000000</f>
        <v>#REF!</v>
      </c>
      <c r="AC64" s="13" t="e">
        <f>$M$51*#REF!/1000000</f>
        <v>#REF!</v>
      </c>
      <c r="AD64" s="13" t="e">
        <f>$M$51*#REF!/1000000</f>
        <v>#REF!</v>
      </c>
      <c r="AE64" s="13" t="e">
        <f>$M$51*#REF!/1000000</f>
        <v>#REF!</v>
      </c>
      <c r="AF64" s="13" t="e">
        <f>$M$51*#REF!/1000000</f>
        <v>#REF!</v>
      </c>
      <c r="AG64" s="13" t="e">
        <f>$M$51*#REF!/1000000</f>
        <v>#REF!</v>
      </c>
      <c r="AH64" s="13" t="e">
        <f>$M$51*#REF!/1000000</f>
        <v>#REF!</v>
      </c>
      <c r="AI64" s="13" t="e">
        <f>$M$51*#REF!/1000000</f>
        <v>#REF!</v>
      </c>
      <c r="AJ64" s="13" t="e">
        <f>$M$51*#REF!/1000000</f>
        <v>#REF!</v>
      </c>
      <c r="AK64" s="13" t="e">
        <f>$M$51*#REF!/1000000</f>
        <v>#REF!</v>
      </c>
      <c r="AL64" s="13" t="e">
        <f>$M$51*#REF!/1000000</f>
        <v>#REF!</v>
      </c>
      <c r="AM64" s="13" t="e">
        <f>$M$51*#REF!/1000000</f>
        <v>#REF!</v>
      </c>
    </row>
    <row r="65" spans="1:48" hidden="1" outlineLevel="1" x14ac:dyDescent="0.25">
      <c r="A65">
        <v>2025</v>
      </c>
      <c r="N65" s="13" t="e">
        <f>$N$51*#REF!/1000000</f>
        <v>#REF!</v>
      </c>
      <c r="O65" s="13" t="e">
        <f>$N$51*#REF!/1000000</f>
        <v>#REF!</v>
      </c>
      <c r="P65" s="13" t="e">
        <f>$N$51*#REF!/1000000</f>
        <v>#REF!</v>
      </c>
      <c r="Q65" s="13" t="e">
        <f>$N$51*#REF!/1000000</f>
        <v>#REF!</v>
      </c>
      <c r="R65" s="13" t="e">
        <f>$N$51*#REF!/1000000</f>
        <v>#REF!</v>
      </c>
      <c r="S65" s="13" t="e">
        <f>$N$51*#REF!/1000000</f>
        <v>#REF!</v>
      </c>
      <c r="T65" s="13" t="e">
        <f>$N$51*#REF!/1000000</f>
        <v>#REF!</v>
      </c>
      <c r="U65" s="13" t="e">
        <f>$N$51*#REF!/1000000</f>
        <v>#REF!</v>
      </c>
      <c r="V65" s="13" t="e">
        <f>$N$51*#REF!/1000000</f>
        <v>#REF!</v>
      </c>
      <c r="W65" s="13" t="e">
        <f>$N$51*#REF!/1000000</f>
        <v>#REF!</v>
      </c>
      <c r="X65" s="13" t="e">
        <f>$N$51*#REF!/1000000</f>
        <v>#REF!</v>
      </c>
      <c r="Y65" s="13" t="e">
        <f>$N$51*#REF!/1000000</f>
        <v>#REF!</v>
      </c>
      <c r="Z65" s="13" t="e">
        <f>$N$51*#REF!/1000000</f>
        <v>#REF!</v>
      </c>
      <c r="AA65" s="13" t="e">
        <f>$N$51*#REF!/1000000</f>
        <v>#REF!</v>
      </c>
      <c r="AB65" s="13" t="e">
        <f>$N$51*#REF!/1000000</f>
        <v>#REF!</v>
      </c>
      <c r="AC65" s="13" t="e">
        <f>$N$51*#REF!/1000000</f>
        <v>#REF!</v>
      </c>
      <c r="AD65" s="13" t="e">
        <f>$N$51*#REF!/1000000</f>
        <v>#REF!</v>
      </c>
      <c r="AE65" s="13" t="e">
        <f>$N$51*#REF!/1000000</f>
        <v>#REF!</v>
      </c>
      <c r="AF65" s="13" t="e">
        <f>$N$51*#REF!/1000000</f>
        <v>#REF!</v>
      </c>
      <c r="AG65" s="13" t="e">
        <f>$N$51*#REF!/1000000</f>
        <v>#REF!</v>
      </c>
      <c r="AH65" s="13" t="e">
        <f>$N$51*#REF!/1000000</f>
        <v>#REF!</v>
      </c>
      <c r="AI65" s="13" t="e">
        <f>$N$51*#REF!/1000000</f>
        <v>#REF!</v>
      </c>
      <c r="AJ65" s="13" t="e">
        <f>$N$51*#REF!/1000000</f>
        <v>#REF!</v>
      </c>
      <c r="AK65" s="13" t="e">
        <f>$N$51*#REF!/1000000</f>
        <v>#REF!</v>
      </c>
      <c r="AL65" s="13" t="e">
        <f>$N$51*#REF!/1000000</f>
        <v>#REF!</v>
      </c>
      <c r="AM65" s="13" t="e">
        <f>$N$51*#REF!/1000000</f>
        <v>#REF!</v>
      </c>
    </row>
    <row r="66" spans="1:48" hidden="1" outlineLevel="1" x14ac:dyDescent="0.25">
      <c r="A66">
        <v>2026</v>
      </c>
      <c r="O66" s="13" t="e">
        <f>$O$51*#REF!/1000000</f>
        <v>#REF!</v>
      </c>
      <c r="P66" s="13" t="e">
        <f>$O$51*#REF!/1000000</f>
        <v>#REF!</v>
      </c>
      <c r="Q66" s="13" t="e">
        <f>$O$51*#REF!/1000000</f>
        <v>#REF!</v>
      </c>
      <c r="R66" s="13" t="e">
        <f>$O$51*#REF!/1000000</f>
        <v>#REF!</v>
      </c>
      <c r="S66" s="13" t="e">
        <f>$O$51*#REF!/1000000</f>
        <v>#REF!</v>
      </c>
      <c r="T66" s="13" t="e">
        <f>$O$51*#REF!/1000000</f>
        <v>#REF!</v>
      </c>
      <c r="U66" s="13" t="e">
        <f>$O$51*#REF!/1000000</f>
        <v>#REF!</v>
      </c>
      <c r="V66" s="13" t="e">
        <f>$O$51*#REF!/1000000</f>
        <v>#REF!</v>
      </c>
      <c r="W66" s="13" t="e">
        <f>$O$51*#REF!/1000000</f>
        <v>#REF!</v>
      </c>
      <c r="X66" s="13" t="e">
        <f>$O$51*#REF!/1000000</f>
        <v>#REF!</v>
      </c>
      <c r="Y66" s="13" t="e">
        <f>$O$51*#REF!/1000000</f>
        <v>#REF!</v>
      </c>
      <c r="Z66" s="13" t="e">
        <f>$O$51*#REF!/1000000</f>
        <v>#REF!</v>
      </c>
      <c r="AA66" s="13" t="e">
        <f>$O$51*#REF!/1000000</f>
        <v>#REF!</v>
      </c>
      <c r="AB66" s="13" t="e">
        <f>$O$51*#REF!/1000000</f>
        <v>#REF!</v>
      </c>
      <c r="AC66" s="13" t="e">
        <f>$O$51*#REF!/1000000</f>
        <v>#REF!</v>
      </c>
      <c r="AD66" s="13" t="e">
        <f>$O$51*#REF!/1000000</f>
        <v>#REF!</v>
      </c>
      <c r="AE66" s="13" t="e">
        <f>$O$51*#REF!/1000000</f>
        <v>#REF!</v>
      </c>
      <c r="AF66" s="13" t="e">
        <f>$O$51*#REF!/1000000</f>
        <v>#REF!</v>
      </c>
      <c r="AG66" s="13" t="e">
        <f>$O$51*#REF!/1000000</f>
        <v>#REF!</v>
      </c>
      <c r="AH66" s="13" t="e">
        <f>$O$51*#REF!/1000000</f>
        <v>#REF!</v>
      </c>
      <c r="AI66" s="13" t="e">
        <f>$O$51*#REF!/1000000</f>
        <v>#REF!</v>
      </c>
      <c r="AJ66" s="13" t="e">
        <f>$O$51*#REF!/1000000</f>
        <v>#REF!</v>
      </c>
      <c r="AK66" s="13" t="e">
        <f>$O$51*#REF!/1000000</f>
        <v>#REF!</v>
      </c>
      <c r="AL66" s="13" t="e">
        <f>$O$51*#REF!/1000000</f>
        <v>#REF!</v>
      </c>
      <c r="AM66" s="13" t="e">
        <f>$O$51*#REF!/1000000</f>
        <v>#REF!</v>
      </c>
    </row>
    <row r="67" spans="1:48" hidden="1" outlineLevel="1" x14ac:dyDescent="0.25">
      <c r="A67">
        <v>2027</v>
      </c>
      <c r="P67" s="13" t="e">
        <f>$P$51*#REF!/1000000</f>
        <v>#REF!</v>
      </c>
      <c r="Q67" s="13" t="e">
        <f>$P$51*#REF!/1000000</f>
        <v>#REF!</v>
      </c>
      <c r="R67" s="13" t="e">
        <f>$P$51*#REF!/1000000</f>
        <v>#REF!</v>
      </c>
      <c r="S67" s="13" t="e">
        <f>$P$51*#REF!/1000000</f>
        <v>#REF!</v>
      </c>
      <c r="T67" s="13" t="e">
        <f>$P$51*#REF!/1000000</f>
        <v>#REF!</v>
      </c>
      <c r="U67" s="13" t="e">
        <f>$P$51*#REF!/1000000</f>
        <v>#REF!</v>
      </c>
      <c r="V67" s="13" t="e">
        <f>$P$51*#REF!/1000000</f>
        <v>#REF!</v>
      </c>
      <c r="W67" s="13" t="e">
        <f>$P$51*#REF!/1000000</f>
        <v>#REF!</v>
      </c>
      <c r="X67" s="13" t="e">
        <f>$P$51*#REF!/1000000</f>
        <v>#REF!</v>
      </c>
      <c r="Y67" s="13" t="e">
        <f>$P$51*#REF!/1000000</f>
        <v>#REF!</v>
      </c>
      <c r="Z67" s="13" t="e">
        <f>$P$51*#REF!/1000000</f>
        <v>#REF!</v>
      </c>
      <c r="AA67" s="13" t="e">
        <f>$P$51*#REF!/1000000</f>
        <v>#REF!</v>
      </c>
      <c r="AB67" s="13" t="e">
        <f>$P$51*#REF!/1000000</f>
        <v>#REF!</v>
      </c>
      <c r="AC67" s="13" t="e">
        <f>$P$51*#REF!/1000000</f>
        <v>#REF!</v>
      </c>
      <c r="AD67" s="13" t="e">
        <f>$P$51*#REF!/1000000</f>
        <v>#REF!</v>
      </c>
      <c r="AE67" s="13" t="e">
        <f>$P$51*#REF!/1000000</f>
        <v>#REF!</v>
      </c>
      <c r="AF67" s="13" t="e">
        <f>$P$51*#REF!/1000000</f>
        <v>#REF!</v>
      </c>
      <c r="AG67" s="13" t="e">
        <f>$P$51*#REF!/1000000</f>
        <v>#REF!</v>
      </c>
      <c r="AH67" s="13" t="e">
        <f>$P$51*#REF!/1000000</f>
        <v>#REF!</v>
      </c>
      <c r="AI67" s="13" t="e">
        <f>$P$51*#REF!/1000000</f>
        <v>#REF!</v>
      </c>
      <c r="AJ67" s="13" t="e">
        <f>$P$51*#REF!/1000000</f>
        <v>#REF!</v>
      </c>
      <c r="AK67" s="13" t="e">
        <f>$P$51*#REF!/1000000</f>
        <v>#REF!</v>
      </c>
      <c r="AL67" s="13" t="e">
        <f>$P$51*#REF!/1000000</f>
        <v>#REF!</v>
      </c>
      <c r="AM67" s="13" t="e">
        <f>$P$51*#REF!/1000000</f>
        <v>#REF!</v>
      </c>
    </row>
    <row r="68" spans="1:48" hidden="1" outlineLevel="1" x14ac:dyDescent="0.25">
      <c r="A68">
        <v>2028</v>
      </c>
      <c r="Q68" s="13" t="e">
        <f>$Q$51*#REF!/1000000</f>
        <v>#REF!</v>
      </c>
      <c r="R68" s="13" t="e">
        <f>$Q$51*#REF!/1000000</f>
        <v>#REF!</v>
      </c>
      <c r="S68" s="13" t="e">
        <f>$Q$51*#REF!/1000000</f>
        <v>#REF!</v>
      </c>
      <c r="T68" s="13" t="e">
        <f>$Q$51*#REF!/1000000</f>
        <v>#REF!</v>
      </c>
      <c r="U68" s="13" t="e">
        <f>$Q$51*#REF!/1000000</f>
        <v>#REF!</v>
      </c>
      <c r="V68" s="13" t="e">
        <f>$Q$51*#REF!/1000000</f>
        <v>#REF!</v>
      </c>
      <c r="W68" s="13" t="e">
        <f>$Q$51*#REF!/1000000</f>
        <v>#REF!</v>
      </c>
      <c r="X68" s="13" t="e">
        <f>$Q$51*#REF!/1000000</f>
        <v>#REF!</v>
      </c>
      <c r="Y68" s="13" t="e">
        <f>$Q$51*#REF!/1000000</f>
        <v>#REF!</v>
      </c>
      <c r="Z68" s="13" t="e">
        <f>$Q$51*#REF!/1000000</f>
        <v>#REF!</v>
      </c>
      <c r="AA68" s="13" t="e">
        <f>$Q$51*#REF!/1000000</f>
        <v>#REF!</v>
      </c>
      <c r="AB68" s="13" t="e">
        <f>$Q$51*#REF!/1000000</f>
        <v>#REF!</v>
      </c>
      <c r="AC68" s="13" t="e">
        <f>$Q$51*#REF!/1000000</f>
        <v>#REF!</v>
      </c>
      <c r="AD68" s="13" t="e">
        <f>$Q$51*#REF!/1000000</f>
        <v>#REF!</v>
      </c>
      <c r="AE68" s="13" t="e">
        <f>$Q$51*#REF!/1000000</f>
        <v>#REF!</v>
      </c>
      <c r="AF68" s="13" t="e">
        <f>$Q$51*#REF!/1000000</f>
        <v>#REF!</v>
      </c>
      <c r="AG68" s="13" t="e">
        <f>$Q$51*#REF!/1000000</f>
        <v>#REF!</v>
      </c>
      <c r="AH68" s="13" t="e">
        <f>$Q$51*#REF!/1000000</f>
        <v>#REF!</v>
      </c>
      <c r="AI68" s="13" t="e">
        <f>$Q$51*#REF!/1000000</f>
        <v>#REF!</v>
      </c>
      <c r="AJ68" s="13" t="e">
        <f>$Q$51*#REF!/1000000</f>
        <v>#REF!</v>
      </c>
      <c r="AK68" s="13" t="e">
        <f>$Q$51*#REF!/1000000</f>
        <v>#REF!</v>
      </c>
      <c r="AL68" s="13" t="e">
        <f>$Q$51*#REF!/1000000</f>
        <v>#REF!</v>
      </c>
      <c r="AM68" s="13" t="e">
        <f>$Q$51*#REF!/1000000</f>
        <v>#REF!</v>
      </c>
    </row>
    <row r="69" spans="1:48" hidden="1" outlineLevel="1" x14ac:dyDescent="0.25">
      <c r="A69">
        <v>2029</v>
      </c>
      <c r="R69" s="13" t="e">
        <f>$R$51*#REF!/1000000</f>
        <v>#REF!</v>
      </c>
      <c r="S69" s="13" t="e">
        <f>$R$51*#REF!/1000000</f>
        <v>#REF!</v>
      </c>
      <c r="T69" s="13" t="e">
        <f>$R$51*#REF!/1000000</f>
        <v>#REF!</v>
      </c>
      <c r="U69" s="13" t="e">
        <f>$R$51*#REF!/1000000</f>
        <v>#REF!</v>
      </c>
      <c r="V69" s="13" t="e">
        <f>$R$51*#REF!/1000000</f>
        <v>#REF!</v>
      </c>
      <c r="W69" s="13" t="e">
        <f>$R$51*#REF!/1000000</f>
        <v>#REF!</v>
      </c>
      <c r="X69" s="13" t="e">
        <f>$R$51*#REF!/1000000</f>
        <v>#REF!</v>
      </c>
      <c r="Y69" s="13" t="e">
        <f>$R$51*#REF!/1000000</f>
        <v>#REF!</v>
      </c>
      <c r="Z69" s="13" t="e">
        <f>$R$51*#REF!/1000000</f>
        <v>#REF!</v>
      </c>
      <c r="AA69" s="13" t="e">
        <f>$R$51*#REF!/1000000</f>
        <v>#REF!</v>
      </c>
      <c r="AB69" s="13" t="e">
        <f>$R$51*#REF!/1000000</f>
        <v>#REF!</v>
      </c>
      <c r="AC69" s="13" t="e">
        <f>$R$51*#REF!/1000000</f>
        <v>#REF!</v>
      </c>
      <c r="AD69" s="13" t="e">
        <f>$R$51*#REF!/1000000</f>
        <v>#REF!</v>
      </c>
      <c r="AE69" s="13" t="e">
        <f>$R$51*#REF!/1000000</f>
        <v>#REF!</v>
      </c>
      <c r="AF69" s="13" t="e">
        <f>$R$51*#REF!/1000000</f>
        <v>#REF!</v>
      </c>
      <c r="AG69" s="13" t="e">
        <f>$R$51*#REF!/1000000</f>
        <v>#REF!</v>
      </c>
      <c r="AH69" s="13" t="e">
        <f>$R$51*#REF!/1000000</f>
        <v>#REF!</v>
      </c>
      <c r="AI69" s="13" t="e">
        <f>$R$51*#REF!/1000000</f>
        <v>#REF!</v>
      </c>
      <c r="AJ69" s="13" t="e">
        <f>$R$51*#REF!/1000000</f>
        <v>#REF!</v>
      </c>
      <c r="AK69" s="13" t="e">
        <f>$R$51*#REF!/1000000</f>
        <v>#REF!</v>
      </c>
      <c r="AL69" s="13" t="e">
        <f>$R$51*#REF!/1000000</f>
        <v>#REF!</v>
      </c>
      <c r="AM69" s="13" t="e">
        <f>$R$51*#REF!/1000000</f>
        <v>#REF!</v>
      </c>
    </row>
    <row r="70" spans="1:48" hidden="1" outlineLevel="1" x14ac:dyDescent="0.25">
      <c r="A70">
        <v>2030</v>
      </c>
      <c r="S70" s="13" t="e">
        <f>$S$51*#REF!/1000000</f>
        <v>#REF!</v>
      </c>
      <c r="T70" s="13" t="e">
        <f>$S$51*#REF!/1000000</f>
        <v>#REF!</v>
      </c>
      <c r="U70" s="13" t="e">
        <f>$S$51*#REF!/1000000</f>
        <v>#REF!</v>
      </c>
      <c r="V70" s="13" t="e">
        <f>$S$51*#REF!/1000000</f>
        <v>#REF!</v>
      </c>
      <c r="W70" s="13" t="e">
        <f>$S$51*#REF!/1000000</f>
        <v>#REF!</v>
      </c>
      <c r="X70" s="13" t="e">
        <f>$S$51*#REF!/1000000</f>
        <v>#REF!</v>
      </c>
      <c r="Y70" s="13" t="e">
        <f>$S$51*#REF!/1000000</f>
        <v>#REF!</v>
      </c>
      <c r="Z70" s="13" t="e">
        <f>$S$51*#REF!/1000000</f>
        <v>#REF!</v>
      </c>
      <c r="AA70" s="13" t="e">
        <f>$S$51*#REF!/1000000</f>
        <v>#REF!</v>
      </c>
      <c r="AB70" s="13" t="e">
        <f>$S$51*#REF!/1000000</f>
        <v>#REF!</v>
      </c>
      <c r="AC70" s="13" t="e">
        <f>$S$51*#REF!/1000000</f>
        <v>#REF!</v>
      </c>
      <c r="AD70" s="13" t="e">
        <f>$S$51*#REF!/1000000</f>
        <v>#REF!</v>
      </c>
      <c r="AE70" s="13" t="e">
        <f>$S$51*#REF!/1000000</f>
        <v>#REF!</v>
      </c>
      <c r="AF70" s="13" t="e">
        <f>$S$51*#REF!/1000000</f>
        <v>#REF!</v>
      </c>
      <c r="AG70" s="13" t="e">
        <f>$S$51*#REF!/1000000</f>
        <v>#REF!</v>
      </c>
      <c r="AH70" s="13" t="e">
        <f>$S$51*#REF!/1000000</f>
        <v>#REF!</v>
      </c>
      <c r="AI70" s="13" t="e">
        <f>$S$51*#REF!/1000000</f>
        <v>#REF!</v>
      </c>
      <c r="AJ70" s="13" t="e">
        <f>$S$51*#REF!/1000000</f>
        <v>#REF!</v>
      </c>
      <c r="AK70" s="13" t="e">
        <f>$S$51*#REF!/1000000</f>
        <v>#REF!</v>
      </c>
      <c r="AL70" s="13" t="e">
        <f>$S$51*#REF!/1000000</f>
        <v>#REF!</v>
      </c>
      <c r="AM70" s="13" t="e">
        <f>$S$51*#REF!/1000000</f>
        <v>#REF!</v>
      </c>
    </row>
    <row r="71" spans="1:48" hidden="1" outlineLevel="1" x14ac:dyDescent="0.25">
      <c r="A71">
        <v>2031</v>
      </c>
      <c r="T71" s="13" t="e">
        <f>$T$51*#REF!/1000000</f>
        <v>#REF!</v>
      </c>
      <c r="U71" s="13" t="e">
        <f>$T$51*#REF!/1000000</f>
        <v>#REF!</v>
      </c>
      <c r="V71" s="13" t="e">
        <f>$T$51*#REF!/1000000</f>
        <v>#REF!</v>
      </c>
      <c r="W71" s="13" t="e">
        <f>$T$51*#REF!/1000000</f>
        <v>#REF!</v>
      </c>
      <c r="X71" s="13" t="e">
        <f>$T$51*#REF!/1000000</f>
        <v>#REF!</v>
      </c>
      <c r="Y71" s="13" t="e">
        <f>$T$51*#REF!/1000000</f>
        <v>#REF!</v>
      </c>
      <c r="Z71" s="13" t="e">
        <f>$T$51*#REF!/1000000</f>
        <v>#REF!</v>
      </c>
      <c r="AA71" s="13" t="e">
        <f>$T$51*#REF!/1000000</f>
        <v>#REF!</v>
      </c>
      <c r="AB71" s="13" t="e">
        <f>$T$51*#REF!/1000000</f>
        <v>#REF!</v>
      </c>
      <c r="AC71" s="13" t="e">
        <f>$T$51*#REF!/1000000</f>
        <v>#REF!</v>
      </c>
      <c r="AD71" s="13" t="e">
        <f>$T$51*#REF!/1000000</f>
        <v>#REF!</v>
      </c>
      <c r="AE71" s="13" t="e">
        <f>$T$51*#REF!/1000000</f>
        <v>#REF!</v>
      </c>
      <c r="AF71" s="13" t="e">
        <f>$T$51*#REF!/1000000</f>
        <v>#REF!</v>
      </c>
      <c r="AG71" s="13" t="e">
        <f>$T$51*#REF!/1000000</f>
        <v>#REF!</v>
      </c>
      <c r="AH71" s="13" t="e">
        <f>$T$51*#REF!/1000000</f>
        <v>#REF!</v>
      </c>
      <c r="AI71" s="13" t="e">
        <f>$T$51*#REF!/1000000</f>
        <v>#REF!</v>
      </c>
      <c r="AJ71" s="13" t="e">
        <f>$T$51*#REF!/1000000</f>
        <v>#REF!</v>
      </c>
      <c r="AK71" s="13" t="e">
        <f>$T$51*#REF!/1000000</f>
        <v>#REF!</v>
      </c>
      <c r="AL71" s="13" t="e">
        <f>$T$51*#REF!/1000000</f>
        <v>#REF!</v>
      </c>
      <c r="AM71" s="13" t="e">
        <f>$T$51*#REF!/1000000</f>
        <v>#REF!</v>
      </c>
    </row>
    <row r="72" spans="1:48" hidden="1" outlineLevel="1" x14ac:dyDescent="0.25">
      <c r="A72">
        <v>2032</v>
      </c>
      <c r="U72" s="13" t="e">
        <f>$U$51*#REF!/1000000</f>
        <v>#REF!</v>
      </c>
      <c r="V72" s="13" t="e">
        <f>$U$51*#REF!/1000000</f>
        <v>#REF!</v>
      </c>
      <c r="W72" s="13" t="e">
        <f>$U$51*#REF!/1000000</f>
        <v>#REF!</v>
      </c>
      <c r="X72" s="13" t="e">
        <f>$U$51*#REF!/1000000</f>
        <v>#REF!</v>
      </c>
      <c r="Y72" s="13" t="e">
        <f>$U$51*#REF!/1000000</f>
        <v>#REF!</v>
      </c>
      <c r="Z72" s="13" t="e">
        <f>$U$51*#REF!/1000000</f>
        <v>#REF!</v>
      </c>
      <c r="AA72" s="13" t="e">
        <f>$U$51*#REF!/1000000</f>
        <v>#REF!</v>
      </c>
      <c r="AB72" s="13" t="e">
        <f>$U$51*#REF!/1000000</f>
        <v>#REF!</v>
      </c>
      <c r="AC72" s="13" t="e">
        <f>$U$51*#REF!/1000000</f>
        <v>#REF!</v>
      </c>
      <c r="AD72" s="13" t="e">
        <f>$U$51*#REF!/1000000</f>
        <v>#REF!</v>
      </c>
      <c r="AE72" s="13" t="e">
        <f>$U$51*#REF!/1000000</f>
        <v>#REF!</v>
      </c>
      <c r="AF72" s="13" t="e">
        <f>$U$51*#REF!/1000000</f>
        <v>#REF!</v>
      </c>
      <c r="AG72" s="13" t="e">
        <f>$U$51*#REF!/1000000</f>
        <v>#REF!</v>
      </c>
      <c r="AH72" s="13" t="e">
        <f>$U$51*#REF!/1000000</f>
        <v>#REF!</v>
      </c>
      <c r="AI72" s="13" t="e">
        <f>$U$51*#REF!/1000000</f>
        <v>#REF!</v>
      </c>
      <c r="AJ72" s="13" t="e">
        <f>$U$51*#REF!/1000000</f>
        <v>#REF!</v>
      </c>
      <c r="AK72" s="13" t="e">
        <f>$U$51*#REF!/1000000</f>
        <v>#REF!</v>
      </c>
      <c r="AL72" s="13" t="e">
        <f>$U$51*#REF!/1000000</f>
        <v>#REF!</v>
      </c>
      <c r="AM72" s="13" t="e">
        <f>$U$51*#REF!/1000000</f>
        <v>#REF!</v>
      </c>
      <c r="AN72" s="13"/>
    </row>
    <row r="73" spans="1:48" hidden="1" outlineLevel="1" x14ac:dyDescent="0.25">
      <c r="A73">
        <v>2033</v>
      </c>
      <c r="V73" s="13" t="e">
        <f>$V$51*#REF!/1000000</f>
        <v>#REF!</v>
      </c>
      <c r="W73" s="13" t="e">
        <f>$V$51*#REF!/1000000</f>
        <v>#REF!</v>
      </c>
      <c r="X73" s="13" t="e">
        <f>$V$51*#REF!/1000000</f>
        <v>#REF!</v>
      </c>
      <c r="Y73" s="13" t="e">
        <f>$V$51*#REF!/1000000</f>
        <v>#REF!</v>
      </c>
      <c r="Z73" s="13" t="e">
        <f>$V$51*#REF!/1000000</f>
        <v>#REF!</v>
      </c>
      <c r="AA73" s="13" t="e">
        <f>$V$51*#REF!/1000000</f>
        <v>#REF!</v>
      </c>
      <c r="AB73" s="13" t="e">
        <f>$V$51*#REF!/1000000</f>
        <v>#REF!</v>
      </c>
      <c r="AC73" s="13" t="e">
        <f>$V$51*#REF!/1000000</f>
        <v>#REF!</v>
      </c>
      <c r="AD73" s="13" t="e">
        <f>$V$51*#REF!/1000000</f>
        <v>#REF!</v>
      </c>
      <c r="AE73" s="13" t="e">
        <f>$V$51*#REF!/1000000</f>
        <v>#REF!</v>
      </c>
      <c r="AF73" s="13" t="e">
        <f>$V$51*#REF!/1000000</f>
        <v>#REF!</v>
      </c>
      <c r="AG73" s="13" t="e">
        <f>$V$51*#REF!/1000000</f>
        <v>#REF!</v>
      </c>
      <c r="AH73" s="13" t="e">
        <f>$V$51*#REF!/1000000</f>
        <v>#REF!</v>
      </c>
      <c r="AI73" s="13" t="e">
        <f>$V$51*#REF!/1000000</f>
        <v>#REF!</v>
      </c>
      <c r="AJ73" s="13" t="e">
        <f>$V$51*#REF!/1000000</f>
        <v>#REF!</v>
      </c>
      <c r="AK73" s="13" t="e">
        <f>$V$51*#REF!/1000000</f>
        <v>#REF!</v>
      </c>
      <c r="AL73" s="13" t="e">
        <f>$V$51*#REF!/1000000</f>
        <v>#REF!</v>
      </c>
      <c r="AM73" s="13" t="e">
        <f>$V$51*#REF!/1000000</f>
        <v>#REF!</v>
      </c>
      <c r="AN73" s="13"/>
      <c r="AO73" s="13"/>
    </row>
    <row r="74" spans="1:48" hidden="1" outlineLevel="1" x14ac:dyDescent="0.25">
      <c r="A74">
        <v>2034</v>
      </c>
      <c r="W74" s="13" t="e">
        <f>$W$51*#REF!/1000000</f>
        <v>#REF!</v>
      </c>
      <c r="X74" s="13" t="e">
        <f>$W$51*#REF!/1000000</f>
        <v>#REF!</v>
      </c>
      <c r="Y74" s="13" t="e">
        <f>$W$51*#REF!/1000000</f>
        <v>#REF!</v>
      </c>
      <c r="Z74" s="13" t="e">
        <f>$W$51*#REF!/1000000</f>
        <v>#REF!</v>
      </c>
      <c r="AA74" s="13" t="e">
        <f>$W$51*#REF!/1000000</f>
        <v>#REF!</v>
      </c>
      <c r="AB74" s="13" t="e">
        <f>$W$51*#REF!/1000000</f>
        <v>#REF!</v>
      </c>
      <c r="AC74" s="13" t="e">
        <f>$W$51*#REF!/1000000</f>
        <v>#REF!</v>
      </c>
      <c r="AD74" s="13" t="e">
        <f>$W$51*#REF!/1000000</f>
        <v>#REF!</v>
      </c>
      <c r="AE74" s="13" t="e">
        <f>$W$51*#REF!/1000000</f>
        <v>#REF!</v>
      </c>
      <c r="AF74" s="13" t="e">
        <f>$W$51*#REF!/1000000</f>
        <v>#REF!</v>
      </c>
      <c r="AG74" s="13" t="e">
        <f>$W$51*#REF!/1000000</f>
        <v>#REF!</v>
      </c>
      <c r="AH74" s="13" t="e">
        <f>$W$51*#REF!/1000000</f>
        <v>#REF!</v>
      </c>
      <c r="AI74" s="13" t="e">
        <f>$W$51*#REF!/1000000</f>
        <v>#REF!</v>
      </c>
      <c r="AJ74" s="13" t="e">
        <f>$W$51*#REF!/1000000</f>
        <v>#REF!</v>
      </c>
      <c r="AK74" s="13" t="e">
        <f>$W$51*#REF!/1000000</f>
        <v>#REF!</v>
      </c>
      <c r="AL74" s="13" t="e">
        <f>$W$51*#REF!/1000000</f>
        <v>#REF!</v>
      </c>
      <c r="AM74" s="13" t="e">
        <f>$W$51*#REF!/1000000</f>
        <v>#REF!</v>
      </c>
      <c r="AN74" s="13"/>
      <c r="AO74" s="13"/>
      <c r="AP74" s="13"/>
    </row>
    <row r="75" spans="1:48" hidden="1" outlineLevel="1" x14ac:dyDescent="0.25">
      <c r="A75">
        <v>2035</v>
      </c>
      <c r="X75" s="13" t="e">
        <f>$X$51*#REF!/1000000</f>
        <v>#REF!</v>
      </c>
      <c r="Y75" s="13" t="e">
        <f>$X$51*#REF!/1000000</f>
        <v>#REF!</v>
      </c>
      <c r="Z75" s="13" t="e">
        <f>$X$51*#REF!/1000000</f>
        <v>#REF!</v>
      </c>
      <c r="AA75" s="13" t="e">
        <f>$X$51*#REF!/1000000</f>
        <v>#REF!</v>
      </c>
      <c r="AB75" s="13" t="e">
        <f>$X$51*#REF!/1000000</f>
        <v>#REF!</v>
      </c>
      <c r="AC75" s="13" t="e">
        <f>$X$51*#REF!/1000000</f>
        <v>#REF!</v>
      </c>
      <c r="AD75" s="13" t="e">
        <f>$X$51*#REF!/1000000</f>
        <v>#REF!</v>
      </c>
      <c r="AE75" s="13" t="e">
        <f>$X$51*#REF!/1000000</f>
        <v>#REF!</v>
      </c>
      <c r="AF75" s="13" t="e">
        <f>$X$51*#REF!/1000000</f>
        <v>#REF!</v>
      </c>
      <c r="AG75" s="13" t="e">
        <f>$X$51*#REF!/1000000</f>
        <v>#REF!</v>
      </c>
      <c r="AH75" s="13" t="e">
        <f>$X$51*#REF!/1000000</f>
        <v>#REF!</v>
      </c>
      <c r="AI75" s="13" t="e">
        <f>$X$51*#REF!/1000000</f>
        <v>#REF!</v>
      </c>
      <c r="AJ75" s="13" t="e">
        <f>$X$51*#REF!/1000000</f>
        <v>#REF!</v>
      </c>
      <c r="AK75" s="13" t="e">
        <f>$X$51*#REF!/1000000</f>
        <v>#REF!</v>
      </c>
      <c r="AL75" s="13" t="e">
        <f>$X$51*#REF!/1000000</f>
        <v>#REF!</v>
      </c>
      <c r="AM75" s="13" t="e">
        <f>$X$51*#REF!/1000000</f>
        <v>#REF!</v>
      </c>
      <c r="AN75" s="13"/>
      <c r="AO75" s="13"/>
      <c r="AP75" s="13"/>
      <c r="AQ75" s="13"/>
    </row>
    <row r="76" spans="1:48" hidden="1" outlineLevel="1" x14ac:dyDescent="0.25">
      <c r="A76">
        <v>2036</v>
      </c>
      <c r="Y76" s="13" t="e">
        <f>$Y$51*#REF!/1000000</f>
        <v>#REF!</v>
      </c>
      <c r="Z76" s="13" t="e">
        <f>$Y$51*#REF!/1000000</f>
        <v>#REF!</v>
      </c>
      <c r="AA76" s="13" t="e">
        <f>$Y$51*#REF!/1000000</f>
        <v>#REF!</v>
      </c>
      <c r="AB76" s="13" t="e">
        <f>$Y$51*#REF!/1000000</f>
        <v>#REF!</v>
      </c>
      <c r="AC76" s="13" t="e">
        <f>$Y$51*#REF!/1000000</f>
        <v>#REF!</v>
      </c>
      <c r="AD76" s="13" t="e">
        <f>$Y$51*#REF!/1000000</f>
        <v>#REF!</v>
      </c>
      <c r="AE76" s="13" t="e">
        <f>$Y$51*#REF!/1000000</f>
        <v>#REF!</v>
      </c>
      <c r="AF76" s="13" t="e">
        <f>$Y$51*#REF!/1000000</f>
        <v>#REF!</v>
      </c>
      <c r="AG76" s="13" t="e">
        <f>$Y$51*#REF!/1000000</f>
        <v>#REF!</v>
      </c>
      <c r="AH76" s="13" t="e">
        <f>$Y$51*#REF!/1000000</f>
        <v>#REF!</v>
      </c>
      <c r="AI76" s="13" t="e">
        <f>$Y$51*#REF!/1000000</f>
        <v>#REF!</v>
      </c>
      <c r="AJ76" s="13" t="e">
        <f>$Y$51*#REF!/1000000</f>
        <v>#REF!</v>
      </c>
      <c r="AK76" s="13" t="e">
        <f>$Y$51*#REF!/1000000</f>
        <v>#REF!</v>
      </c>
      <c r="AL76" s="13" t="e">
        <f>$Y$51*#REF!/1000000</f>
        <v>#REF!</v>
      </c>
      <c r="AM76" s="13" t="e">
        <f>$Y$51*#REF!/1000000</f>
        <v>#REF!</v>
      </c>
      <c r="AN76" s="13"/>
      <c r="AO76" s="13"/>
      <c r="AP76" s="13"/>
      <c r="AQ76" s="13"/>
      <c r="AR76" s="13"/>
    </row>
    <row r="77" spans="1:48" hidden="1" outlineLevel="1" x14ac:dyDescent="0.25">
      <c r="A77">
        <v>2037</v>
      </c>
      <c r="Z77" s="13" t="e">
        <f>$Z$51*#REF!/1000000</f>
        <v>#REF!</v>
      </c>
      <c r="AA77" s="13" t="e">
        <f>$Z$51*#REF!/1000000</f>
        <v>#REF!</v>
      </c>
      <c r="AB77" s="13" t="e">
        <f>$Z$51*#REF!/1000000</f>
        <v>#REF!</v>
      </c>
      <c r="AC77" s="13" t="e">
        <f>$Z$51*#REF!/1000000</f>
        <v>#REF!</v>
      </c>
      <c r="AD77" s="13" t="e">
        <f>$Z$51*#REF!/1000000</f>
        <v>#REF!</v>
      </c>
      <c r="AE77" s="13" t="e">
        <f>$Z$51*#REF!/1000000</f>
        <v>#REF!</v>
      </c>
      <c r="AF77" s="13" t="e">
        <f>$Z$51*#REF!/1000000</f>
        <v>#REF!</v>
      </c>
      <c r="AG77" s="13" t="e">
        <f>$Z$51*#REF!/1000000</f>
        <v>#REF!</v>
      </c>
      <c r="AH77" s="13" t="e">
        <f>$Z$51*#REF!/1000000</f>
        <v>#REF!</v>
      </c>
      <c r="AI77" s="13" t="e">
        <f>$Z$51*#REF!/1000000</f>
        <v>#REF!</v>
      </c>
      <c r="AJ77" s="13" t="e">
        <f>$Z$51*#REF!/1000000</f>
        <v>#REF!</v>
      </c>
      <c r="AK77" s="13" t="e">
        <f>$Z$51*#REF!/1000000</f>
        <v>#REF!</v>
      </c>
      <c r="AL77" s="13" t="e">
        <f>$Z$51*#REF!/1000000</f>
        <v>#REF!</v>
      </c>
      <c r="AM77" s="13" t="e">
        <f>$Z$51*#REF!/1000000</f>
        <v>#REF!</v>
      </c>
      <c r="AN77" s="13"/>
      <c r="AO77" s="13"/>
      <c r="AP77" s="13"/>
      <c r="AQ77" s="13"/>
      <c r="AR77" s="13"/>
      <c r="AS77" s="13"/>
    </row>
    <row r="78" spans="1:48" hidden="1" outlineLevel="1" x14ac:dyDescent="0.25">
      <c r="A78">
        <v>2038</v>
      </c>
      <c r="AA78" s="13" t="e">
        <f>$AA$51*#REF!/1000000</f>
        <v>#REF!</v>
      </c>
      <c r="AB78" s="13" t="e">
        <f>$AA$51*#REF!/1000000</f>
        <v>#REF!</v>
      </c>
      <c r="AC78" s="13" t="e">
        <f>$AA$51*#REF!/1000000</f>
        <v>#REF!</v>
      </c>
      <c r="AD78" s="13" t="e">
        <f>$AA$51*#REF!/1000000</f>
        <v>#REF!</v>
      </c>
      <c r="AE78" s="13" t="e">
        <f>$AA$51*#REF!/1000000</f>
        <v>#REF!</v>
      </c>
      <c r="AF78" s="13" t="e">
        <f>$AA$51*#REF!/1000000</f>
        <v>#REF!</v>
      </c>
      <c r="AG78" s="13" t="e">
        <f>$AA$51*#REF!/1000000</f>
        <v>#REF!</v>
      </c>
      <c r="AH78" s="13" t="e">
        <f>$AA$51*#REF!/1000000</f>
        <v>#REF!</v>
      </c>
      <c r="AI78" s="13" t="e">
        <f>$AA$51*#REF!/1000000</f>
        <v>#REF!</v>
      </c>
      <c r="AJ78" s="13" t="e">
        <f>$AA$51*#REF!/1000000</f>
        <v>#REF!</v>
      </c>
      <c r="AK78" s="13" t="e">
        <f>$AA$51*#REF!/1000000</f>
        <v>#REF!</v>
      </c>
      <c r="AL78" s="13" t="e">
        <f>$AA$51*#REF!/1000000</f>
        <v>#REF!</v>
      </c>
      <c r="AM78" s="13" t="e">
        <f>$AA$51*#REF!/1000000</f>
        <v>#REF!</v>
      </c>
      <c r="AN78" s="13"/>
      <c r="AO78" s="13"/>
      <c r="AP78" s="13"/>
      <c r="AQ78" s="13"/>
      <c r="AR78" s="13"/>
      <c r="AS78" s="13"/>
      <c r="AT78" s="13"/>
    </row>
    <row r="79" spans="1:48" hidden="1" outlineLevel="1" x14ac:dyDescent="0.25">
      <c r="A79">
        <v>2039</v>
      </c>
      <c r="AB79" s="13" t="e">
        <f>$AB$51*#REF!/1000000</f>
        <v>#REF!</v>
      </c>
      <c r="AC79" s="13" t="e">
        <f>$AB$51*#REF!/1000000</f>
        <v>#REF!</v>
      </c>
      <c r="AD79" s="13" t="e">
        <f>$AB$51*#REF!/1000000</f>
        <v>#REF!</v>
      </c>
      <c r="AE79" s="13" t="e">
        <f>$AB$51*#REF!/1000000</f>
        <v>#REF!</v>
      </c>
      <c r="AF79" s="13" t="e">
        <f>$AB$51*#REF!/1000000</f>
        <v>#REF!</v>
      </c>
      <c r="AG79" s="13" t="e">
        <f>$AB$51*#REF!/1000000</f>
        <v>#REF!</v>
      </c>
      <c r="AH79" s="13" t="e">
        <f>$AB$51*#REF!/1000000</f>
        <v>#REF!</v>
      </c>
      <c r="AI79" s="13" t="e">
        <f>$AB$51*#REF!/1000000</f>
        <v>#REF!</v>
      </c>
      <c r="AJ79" s="13" t="e">
        <f>$AB$51*#REF!/1000000</f>
        <v>#REF!</v>
      </c>
      <c r="AK79" s="13" t="e">
        <f>$AB$51*#REF!/1000000</f>
        <v>#REF!</v>
      </c>
      <c r="AL79" s="13" t="e">
        <f>$AB$51*#REF!/1000000</f>
        <v>#REF!</v>
      </c>
      <c r="AM79" s="13" t="e">
        <f>$AB$51*#REF!/1000000</f>
        <v>#REF!</v>
      </c>
      <c r="AN79" s="13"/>
      <c r="AO79" s="13"/>
      <c r="AP79" s="13"/>
      <c r="AQ79" s="13"/>
      <c r="AR79" s="13"/>
      <c r="AS79" s="13"/>
      <c r="AT79" s="13"/>
      <c r="AU79" s="13"/>
    </row>
    <row r="80" spans="1:48" hidden="1" outlineLevel="1" x14ac:dyDescent="0.25">
      <c r="A80">
        <v>2040</v>
      </c>
      <c r="AC80" s="13" t="e">
        <f>$AC$51*#REF!/1000000</f>
        <v>#REF!</v>
      </c>
      <c r="AD80" s="13" t="e">
        <f>$AC$51*#REF!/1000000</f>
        <v>#REF!</v>
      </c>
      <c r="AE80" s="13" t="e">
        <f>$AC$51*#REF!/1000000</f>
        <v>#REF!</v>
      </c>
      <c r="AF80" s="13" t="e">
        <f>$AC$51*#REF!/1000000</f>
        <v>#REF!</v>
      </c>
      <c r="AG80" s="13" t="e">
        <f>$AC$51*#REF!/1000000</f>
        <v>#REF!</v>
      </c>
      <c r="AH80" s="13" t="e">
        <f>$AC$51*#REF!/1000000</f>
        <v>#REF!</v>
      </c>
      <c r="AI80" s="13" t="e">
        <f>$AC$51*#REF!/1000000</f>
        <v>#REF!</v>
      </c>
      <c r="AJ80" s="13" t="e">
        <f>$AC$51*#REF!/1000000</f>
        <v>#REF!</v>
      </c>
      <c r="AK80" s="13" t="e">
        <f>$AC$51*#REF!/1000000</f>
        <v>#REF!</v>
      </c>
      <c r="AL80" s="13" t="e">
        <f>$AC$51*#REF!/1000000</f>
        <v>#REF!</v>
      </c>
      <c r="AM80" s="13" t="e">
        <f>$AC$51*#REF!/1000000</f>
        <v>#REF!</v>
      </c>
      <c r="AN80" s="13"/>
      <c r="AO80" s="13"/>
      <c r="AP80" s="13"/>
      <c r="AQ80" s="13"/>
      <c r="AR80" s="13"/>
      <c r="AS80" s="13"/>
      <c r="AT80" s="13"/>
      <c r="AU80" s="13"/>
      <c r="AV80" s="13"/>
    </row>
    <row r="81" spans="1:58" hidden="1" outlineLevel="1" x14ac:dyDescent="0.25">
      <c r="A81">
        <v>2041</v>
      </c>
      <c r="AD81" s="13" t="e">
        <f>$AD$51*#REF!/1000000</f>
        <v>#REF!</v>
      </c>
      <c r="AE81" s="13" t="e">
        <f>$AD$51*#REF!/1000000</f>
        <v>#REF!</v>
      </c>
      <c r="AF81" s="13" t="e">
        <f>$AD$51*#REF!/1000000</f>
        <v>#REF!</v>
      </c>
      <c r="AG81" s="13" t="e">
        <f>$AD$51*#REF!/1000000</f>
        <v>#REF!</v>
      </c>
      <c r="AH81" s="13" t="e">
        <f>$AD$51*#REF!/1000000</f>
        <v>#REF!</v>
      </c>
      <c r="AI81" s="13" t="e">
        <f>$AD$51*#REF!/1000000</f>
        <v>#REF!</v>
      </c>
      <c r="AJ81" s="13" t="e">
        <f>$AD$51*#REF!/1000000</f>
        <v>#REF!</v>
      </c>
      <c r="AK81" s="13" t="e">
        <f>$AD$51*#REF!/1000000</f>
        <v>#REF!</v>
      </c>
      <c r="AL81" s="13" t="e">
        <f>$AD$51*#REF!/1000000</f>
        <v>#REF!</v>
      </c>
      <c r="AM81" s="13" t="e">
        <f>$AD$51*#REF!/1000000</f>
        <v>#REF!</v>
      </c>
      <c r="AN81" s="13"/>
      <c r="AO81" s="13"/>
      <c r="AP81" s="13"/>
      <c r="AQ81" s="13"/>
      <c r="AR81" s="13"/>
      <c r="AS81" s="13"/>
      <c r="AT81" s="13"/>
      <c r="AU81" s="13"/>
      <c r="AV81" s="13"/>
      <c r="AW81" s="13"/>
    </row>
    <row r="82" spans="1:58" hidden="1" outlineLevel="1" x14ac:dyDescent="0.25">
      <c r="A82">
        <v>2042</v>
      </c>
      <c r="AE82" s="13" t="e">
        <f>$AE$51*#REF!/1000000</f>
        <v>#REF!</v>
      </c>
      <c r="AF82" s="13" t="e">
        <f>$AE$51*#REF!/1000000</f>
        <v>#REF!</v>
      </c>
      <c r="AG82" s="13" t="e">
        <f>$AE$51*#REF!/1000000</f>
        <v>#REF!</v>
      </c>
      <c r="AH82" s="13" t="e">
        <f>$AE$51*#REF!/1000000</f>
        <v>#REF!</v>
      </c>
      <c r="AI82" s="13" t="e">
        <f>$AE$51*#REF!/1000000</f>
        <v>#REF!</v>
      </c>
      <c r="AJ82" s="13" t="e">
        <f>$AE$51*#REF!/1000000</f>
        <v>#REF!</v>
      </c>
      <c r="AK82" s="13" t="e">
        <f>$AE$51*#REF!/1000000</f>
        <v>#REF!</v>
      </c>
      <c r="AL82" s="13" t="e">
        <f>$AE$51*#REF!/1000000</f>
        <v>#REF!</v>
      </c>
      <c r="AM82" s="13" t="e">
        <f>$AE$51*#REF!/1000000</f>
        <v>#REF!</v>
      </c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spans="1:58" hidden="1" outlineLevel="1" x14ac:dyDescent="0.25">
      <c r="A83">
        <v>2043</v>
      </c>
      <c r="AF83" s="13" t="e">
        <f>$AF$51*#REF!/1000000</f>
        <v>#REF!</v>
      </c>
      <c r="AG83" s="13" t="e">
        <f>$AF$51*#REF!/1000000</f>
        <v>#REF!</v>
      </c>
      <c r="AH83" s="13" t="e">
        <f>$AF$51*#REF!/1000000</f>
        <v>#REF!</v>
      </c>
      <c r="AI83" s="13" t="e">
        <f>$AF$51*#REF!/1000000</f>
        <v>#REF!</v>
      </c>
      <c r="AJ83" s="13" t="e">
        <f>$AF$51*#REF!/1000000</f>
        <v>#REF!</v>
      </c>
      <c r="AK83" s="13" t="e">
        <f>$AF$51*#REF!/1000000</f>
        <v>#REF!</v>
      </c>
      <c r="AL83" s="13" t="e">
        <f>$AF$51*#REF!/1000000</f>
        <v>#REF!</v>
      </c>
      <c r="AM83" s="13" t="e">
        <f>$AF$51*#REF!/1000000</f>
        <v>#REF!</v>
      </c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</row>
    <row r="84" spans="1:58" hidden="1" outlineLevel="1" x14ac:dyDescent="0.25">
      <c r="A84">
        <v>2044</v>
      </c>
      <c r="AG84" s="13" t="e">
        <f>$AG$51*#REF!/1000000</f>
        <v>#REF!</v>
      </c>
      <c r="AH84" s="13" t="e">
        <f>$AG$51*#REF!/1000000</f>
        <v>#REF!</v>
      </c>
      <c r="AI84" s="13" t="e">
        <f>$AG$51*#REF!/1000000</f>
        <v>#REF!</v>
      </c>
      <c r="AJ84" s="13" t="e">
        <f>$AG$51*#REF!/1000000</f>
        <v>#REF!</v>
      </c>
      <c r="AK84" s="13" t="e">
        <f>$AG$51*#REF!/1000000</f>
        <v>#REF!</v>
      </c>
      <c r="AL84" s="13" t="e">
        <f>$AG$51*#REF!/1000000</f>
        <v>#REF!</v>
      </c>
      <c r="AM84" s="13" t="e">
        <f>$AG$51*#REF!/1000000</f>
        <v>#REF!</v>
      </c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spans="1:58" hidden="1" outlineLevel="1" x14ac:dyDescent="0.25">
      <c r="A85">
        <v>2045</v>
      </c>
      <c r="AH85" s="13" t="e">
        <f>$AH$51*#REF!/1000000</f>
        <v>#REF!</v>
      </c>
      <c r="AI85" s="13" t="e">
        <f>$AH$51*#REF!/1000000</f>
        <v>#REF!</v>
      </c>
      <c r="AJ85" s="13" t="e">
        <f>$AH$51*#REF!/1000000</f>
        <v>#REF!</v>
      </c>
      <c r="AK85" s="13" t="e">
        <f>$AH$51*#REF!/1000000</f>
        <v>#REF!</v>
      </c>
      <c r="AL85" s="13" t="e">
        <f>$AH$51*#REF!/1000000</f>
        <v>#REF!</v>
      </c>
      <c r="AM85" s="13" t="e">
        <f>$AH$51*#REF!/1000000</f>
        <v>#REF!</v>
      </c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</row>
    <row r="86" spans="1:58" hidden="1" outlineLevel="1" x14ac:dyDescent="0.25">
      <c r="A86">
        <v>2046</v>
      </c>
      <c r="AI86" s="13" t="e">
        <f>$AI$51*#REF!/1000000</f>
        <v>#REF!</v>
      </c>
      <c r="AJ86" s="13" t="e">
        <f>$AI$51*#REF!/1000000</f>
        <v>#REF!</v>
      </c>
      <c r="AK86" s="13" t="e">
        <f>$AI$51*#REF!/1000000</f>
        <v>#REF!</v>
      </c>
      <c r="AL86" s="13" t="e">
        <f>$AI$51*#REF!/1000000</f>
        <v>#REF!</v>
      </c>
      <c r="AM86" s="13" t="e">
        <f>$AI$51*#REF!/1000000</f>
        <v>#REF!</v>
      </c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8" hidden="1" outlineLevel="1" x14ac:dyDescent="0.25">
      <c r="A87">
        <v>2047</v>
      </c>
      <c r="AJ87" s="13" t="e">
        <f>$AJ$51*#REF!/1000000</f>
        <v>#REF!</v>
      </c>
      <c r="AK87" s="13" t="e">
        <f>$AJ$51*#REF!/1000000</f>
        <v>#REF!</v>
      </c>
      <c r="AL87" s="13" t="e">
        <f>$AJ$51*#REF!/1000000</f>
        <v>#REF!</v>
      </c>
      <c r="AM87" s="13" t="e">
        <f>$AJ$51*#REF!/1000000</f>
        <v>#REF!</v>
      </c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8" hidden="1" outlineLevel="1" x14ac:dyDescent="0.25">
      <c r="A88">
        <v>2048</v>
      </c>
      <c r="AK88" s="13" t="e">
        <f>$AK$51*#REF!/1000000</f>
        <v>#REF!</v>
      </c>
      <c r="AL88" s="13" t="e">
        <f>$AK$51*#REF!/1000000</f>
        <v>#REF!</v>
      </c>
      <c r="AM88" s="13" t="e">
        <f>$AK$51*#REF!/1000000</f>
        <v>#REF!</v>
      </c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</row>
    <row r="89" spans="1:58" hidden="1" outlineLevel="1" x14ac:dyDescent="0.25">
      <c r="A89">
        <v>2049</v>
      </c>
      <c r="AL89" s="13" t="e">
        <f>$AL$51*#REF!/1000000</f>
        <v>#REF!</v>
      </c>
      <c r="AM89" s="13" t="e">
        <f>$AL$51*#REF!/1000000</f>
        <v>#REF!</v>
      </c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spans="1:58" hidden="1" outlineLevel="1" x14ac:dyDescent="0.25">
      <c r="A90">
        <v>2050</v>
      </c>
      <c r="AM90" s="13" t="e">
        <f>$AM$51*#REF!/1000000</f>
        <v>#REF!</v>
      </c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spans="1:58" collapsed="1" x14ac:dyDescent="0.25"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58" x14ac:dyDescent="0.25"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58" x14ac:dyDescent="0.25"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spans="1:58" x14ac:dyDescent="0.25"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</row>
    <row r="95" spans="1:58" x14ac:dyDescent="0.25"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spans="1:58" x14ac:dyDescent="0.25"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</row>
    <row r="97" spans="33:58" x14ac:dyDescent="0.25"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33:58" x14ac:dyDescent="0.25"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33:58" x14ac:dyDescent="0.25"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33:58" x14ac:dyDescent="0.25"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33:58" x14ac:dyDescent="0.25"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 spans="33:58" x14ac:dyDescent="0.25"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spans="33:58" x14ac:dyDescent="0.25"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</row>
  </sheetData>
  <dataConsolidate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8"/>
  <sheetViews>
    <sheetView workbookViewId="0">
      <pane xSplit="4650" topLeftCell="C1" activePane="topRight"/>
      <selection activeCell="A11" sqref="A11"/>
      <selection pane="topRight" activeCell="D8" sqref="D8"/>
    </sheetView>
  </sheetViews>
  <sheetFormatPr baseColWidth="10" defaultColWidth="9.140625" defaultRowHeight="15" outlineLevelRow="1" x14ac:dyDescent="0.25"/>
  <cols>
    <col min="1" max="1" width="35.28515625" bestFit="1" customWidth="1"/>
    <col min="2" max="2" width="11.7109375" bestFit="1" customWidth="1"/>
    <col min="3" max="5" width="11.28515625" customWidth="1"/>
    <col min="6" max="6" width="12.7109375" bestFit="1" customWidth="1"/>
    <col min="7" max="38" width="11.28515625" customWidth="1"/>
    <col min="39" max="39" width="18.7109375" bestFit="1" customWidth="1"/>
    <col min="40" max="41" width="18.7109375" customWidth="1"/>
    <col min="42" max="42" width="18" bestFit="1" customWidth="1"/>
    <col min="43" max="43" width="12.28515625" bestFit="1" customWidth="1"/>
    <col min="44" max="44" width="21" bestFit="1" customWidth="1"/>
    <col min="45" max="45" width="24" bestFit="1" customWidth="1"/>
    <col min="46" max="46" width="17.7109375" bestFit="1" customWidth="1"/>
    <col min="47" max="47" width="27.7109375" bestFit="1" customWidth="1"/>
  </cols>
  <sheetData>
    <row r="1" spans="1:47" x14ac:dyDescent="0.25">
      <c r="A1" s="5" t="s">
        <v>27</v>
      </c>
      <c r="B1" s="6">
        <v>2013</v>
      </c>
      <c r="C1" s="6">
        <v>2014</v>
      </c>
      <c r="D1" s="6">
        <v>2015</v>
      </c>
      <c r="E1" s="6">
        <v>2016</v>
      </c>
      <c r="F1" s="6">
        <v>2017</v>
      </c>
      <c r="G1" s="6">
        <v>2018</v>
      </c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 t="s">
        <v>175</v>
      </c>
      <c r="AN1" s="6" t="s">
        <v>109</v>
      </c>
      <c r="AO1" s="6" t="s">
        <v>89</v>
      </c>
      <c r="AP1" s="6" t="s">
        <v>6</v>
      </c>
      <c r="AQ1" s="6" t="s">
        <v>30</v>
      </c>
      <c r="AR1" s="6" t="s">
        <v>31</v>
      </c>
      <c r="AS1" s="6" t="s">
        <v>7</v>
      </c>
      <c r="AT1" s="6" t="s">
        <v>20</v>
      </c>
      <c r="AU1" s="7" t="s">
        <v>23</v>
      </c>
    </row>
    <row r="2" spans="1:47" ht="15.75" thickBot="1" x14ac:dyDescent="0.3">
      <c r="A2" s="8" t="s">
        <v>178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11"/>
      <c r="AN2" s="11"/>
      <c r="AO2" s="11"/>
      <c r="AP2" s="11"/>
      <c r="AQ2" s="11"/>
      <c r="AR2" s="11"/>
      <c r="AS2" s="11"/>
      <c r="AT2" s="11"/>
      <c r="AU2" s="12"/>
    </row>
    <row r="3" spans="1:47" x14ac:dyDescent="0.25">
      <c r="A3" s="4" t="s">
        <v>19</v>
      </c>
      <c r="B3" s="87">
        <v>70</v>
      </c>
      <c r="C3" s="87">
        <v>70</v>
      </c>
      <c r="D3" s="87">
        <v>70</v>
      </c>
      <c r="E3" s="87">
        <v>70</v>
      </c>
      <c r="F3" s="87">
        <v>70</v>
      </c>
      <c r="G3" s="87">
        <v>70</v>
      </c>
      <c r="H3" s="87">
        <v>70</v>
      </c>
      <c r="I3" s="87">
        <v>70</v>
      </c>
      <c r="J3" s="87">
        <v>70</v>
      </c>
      <c r="K3" s="87">
        <v>70</v>
      </c>
      <c r="L3" s="87">
        <v>70</v>
      </c>
      <c r="M3" s="87">
        <v>70</v>
      </c>
      <c r="N3" s="87">
        <v>70</v>
      </c>
      <c r="O3" s="87">
        <v>70</v>
      </c>
      <c r="P3" s="87">
        <v>70</v>
      </c>
      <c r="Q3" s="87">
        <v>70</v>
      </c>
      <c r="R3" s="87">
        <v>70</v>
      </c>
      <c r="S3" s="87">
        <v>70</v>
      </c>
      <c r="T3" s="87">
        <v>70</v>
      </c>
      <c r="U3" s="87">
        <v>70</v>
      </c>
      <c r="V3" s="87">
        <v>70</v>
      </c>
      <c r="W3" s="87">
        <v>70</v>
      </c>
      <c r="X3" s="87">
        <v>70</v>
      </c>
      <c r="Y3" s="87">
        <v>70</v>
      </c>
      <c r="Z3" s="87">
        <v>70</v>
      </c>
      <c r="AA3" s="87">
        <v>70</v>
      </c>
      <c r="AB3" s="87">
        <v>70</v>
      </c>
      <c r="AC3" s="87">
        <v>70</v>
      </c>
      <c r="AD3" s="87">
        <v>70</v>
      </c>
      <c r="AE3" s="87">
        <v>70</v>
      </c>
      <c r="AF3" s="87">
        <v>70</v>
      </c>
      <c r="AG3" s="87">
        <v>70</v>
      </c>
      <c r="AH3" s="87">
        <v>70</v>
      </c>
      <c r="AI3" s="87">
        <v>70</v>
      </c>
      <c r="AJ3" s="87">
        <v>70</v>
      </c>
      <c r="AK3" s="87">
        <v>70</v>
      </c>
      <c r="AL3" s="87">
        <v>70</v>
      </c>
      <c r="AM3" s="100">
        <v>70</v>
      </c>
      <c r="AN3" s="71">
        <f>AO3</f>
        <v>3759</v>
      </c>
      <c r="AO3" s="71">
        <f>AP3</f>
        <v>3759</v>
      </c>
      <c r="AP3" s="71">
        <v>3759</v>
      </c>
      <c r="AQ3" s="9">
        <v>25</v>
      </c>
      <c r="AR3" s="71">
        <f>AP3/AQ3</f>
        <v>150.36000000000001</v>
      </c>
      <c r="AS3" s="71">
        <v>83</v>
      </c>
      <c r="AT3" s="9">
        <v>1.6</v>
      </c>
      <c r="AU3" s="10"/>
    </row>
    <row r="4" spans="1:47" x14ac:dyDescent="0.25">
      <c r="A4" s="4" t="s">
        <v>21</v>
      </c>
      <c r="B4" s="87">
        <v>60</v>
      </c>
      <c r="C4" s="87">
        <v>60</v>
      </c>
      <c r="D4" s="87">
        <v>60</v>
      </c>
      <c r="E4" s="87">
        <v>60</v>
      </c>
      <c r="F4" s="87">
        <v>60</v>
      </c>
      <c r="G4" s="87">
        <v>60</v>
      </c>
      <c r="H4" s="87">
        <v>60</v>
      </c>
      <c r="I4" s="87">
        <v>60</v>
      </c>
      <c r="J4" s="87">
        <v>60</v>
      </c>
      <c r="K4" s="87">
        <v>60</v>
      </c>
      <c r="L4" s="87">
        <v>60</v>
      </c>
      <c r="M4" s="87">
        <v>60</v>
      </c>
      <c r="N4" s="87">
        <v>60</v>
      </c>
      <c r="O4" s="87">
        <v>60</v>
      </c>
      <c r="P4" s="87">
        <v>60</v>
      </c>
      <c r="Q4" s="87">
        <v>60</v>
      </c>
      <c r="R4" s="87">
        <v>60</v>
      </c>
      <c r="S4" s="87">
        <v>60</v>
      </c>
      <c r="T4" s="87">
        <v>60</v>
      </c>
      <c r="U4" s="87">
        <v>60</v>
      </c>
      <c r="V4" s="87">
        <v>60</v>
      </c>
      <c r="W4" s="87">
        <v>60</v>
      </c>
      <c r="X4" s="87">
        <v>60</v>
      </c>
      <c r="Y4" s="87">
        <v>60</v>
      </c>
      <c r="Z4" s="87">
        <v>60</v>
      </c>
      <c r="AA4" s="87">
        <v>60</v>
      </c>
      <c r="AB4" s="87">
        <v>60</v>
      </c>
      <c r="AC4" s="87">
        <v>60</v>
      </c>
      <c r="AD4" s="87">
        <v>60</v>
      </c>
      <c r="AE4" s="87">
        <v>60</v>
      </c>
      <c r="AF4" s="87">
        <v>60</v>
      </c>
      <c r="AG4" s="87">
        <v>60</v>
      </c>
      <c r="AH4" s="87">
        <v>60</v>
      </c>
      <c r="AI4" s="87">
        <v>60</v>
      </c>
      <c r="AJ4" s="87">
        <v>60</v>
      </c>
      <c r="AK4" s="87">
        <v>60</v>
      </c>
      <c r="AL4" s="87">
        <v>60</v>
      </c>
      <c r="AM4" s="100">
        <v>60</v>
      </c>
      <c r="AN4" s="71">
        <f>AO4</f>
        <v>6538</v>
      </c>
      <c r="AO4" s="71">
        <f>AP4</f>
        <v>6538</v>
      </c>
      <c r="AP4" s="71">
        <v>6538</v>
      </c>
      <c r="AQ4" s="9">
        <v>25</v>
      </c>
      <c r="AR4" s="71">
        <f>AP4/AQ4</f>
        <v>261.52</v>
      </c>
      <c r="AS4" s="71">
        <v>98</v>
      </c>
      <c r="AT4" s="9"/>
      <c r="AU4" s="10"/>
    </row>
    <row r="5" spans="1:47" x14ac:dyDescent="0.25">
      <c r="A5" s="4" t="s">
        <v>22</v>
      </c>
      <c r="B5" s="99">
        <v>150</v>
      </c>
      <c r="C5" s="101">
        <f>B5+($S5-$B5)/(2030-2013)</f>
        <v>147.05882352941177</v>
      </c>
      <c r="D5" s="101">
        <f t="shared" ref="D5:R5" si="0">C5+($S5-$B5)/(2030-2013)</f>
        <v>144.11764705882354</v>
      </c>
      <c r="E5" s="101">
        <f t="shared" si="0"/>
        <v>141.1764705882353</v>
      </c>
      <c r="F5" s="101">
        <f t="shared" si="0"/>
        <v>138.23529411764707</v>
      </c>
      <c r="G5" s="101">
        <f t="shared" si="0"/>
        <v>135.29411764705884</v>
      </c>
      <c r="H5" s="101">
        <f t="shared" si="0"/>
        <v>132.35294117647061</v>
      </c>
      <c r="I5" s="101">
        <f t="shared" si="0"/>
        <v>129.41176470588238</v>
      </c>
      <c r="J5" s="101">
        <f t="shared" si="0"/>
        <v>126.47058823529414</v>
      </c>
      <c r="K5" s="101">
        <f t="shared" si="0"/>
        <v>123.52941176470591</v>
      </c>
      <c r="L5" s="101">
        <f t="shared" si="0"/>
        <v>120.58823529411768</v>
      </c>
      <c r="M5" s="101">
        <f t="shared" si="0"/>
        <v>117.64705882352945</v>
      </c>
      <c r="N5" s="101">
        <f t="shared" si="0"/>
        <v>114.70588235294122</v>
      </c>
      <c r="O5" s="101">
        <f t="shared" si="0"/>
        <v>111.76470588235298</v>
      </c>
      <c r="P5" s="101">
        <f t="shared" si="0"/>
        <v>108.82352941176475</v>
      </c>
      <c r="Q5" s="101">
        <f t="shared" si="0"/>
        <v>105.88235294117652</v>
      </c>
      <c r="R5" s="101">
        <f t="shared" si="0"/>
        <v>102.94117647058829</v>
      </c>
      <c r="S5" s="99">
        <v>100</v>
      </c>
      <c r="T5" s="101">
        <f>S5+($AM5-$S5)/(2050-2030)</f>
        <v>97.5</v>
      </c>
      <c r="U5" s="101">
        <f t="shared" ref="U5:AL5" si="1">T5+($AM5-$S5)/(2050-2030)</f>
        <v>95</v>
      </c>
      <c r="V5" s="101">
        <f t="shared" si="1"/>
        <v>92.5</v>
      </c>
      <c r="W5" s="101">
        <f t="shared" si="1"/>
        <v>90</v>
      </c>
      <c r="X5" s="101">
        <f t="shared" si="1"/>
        <v>87.5</v>
      </c>
      <c r="Y5" s="101">
        <f t="shared" si="1"/>
        <v>85</v>
      </c>
      <c r="Z5" s="101">
        <f t="shared" si="1"/>
        <v>82.5</v>
      </c>
      <c r="AA5" s="101">
        <f t="shared" si="1"/>
        <v>80</v>
      </c>
      <c r="AB5" s="101">
        <f t="shared" si="1"/>
        <v>77.5</v>
      </c>
      <c r="AC5" s="101">
        <f t="shared" si="1"/>
        <v>75</v>
      </c>
      <c r="AD5" s="101">
        <f t="shared" si="1"/>
        <v>72.5</v>
      </c>
      <c r="AE5" s="101">
        <f t="shared" si="1"/>
        <v>70</v>
      </c>
      <c r="AF5" s="101">
        <f t="shared" si="1"/>
        <v>67.5</v>
      </c>
      <c r="AG5" s="101">
        <f t="shared" si="1"/>
        <v>65</v>
      </c>
      <c r="AH5" s="101">
        <f t="shared" si="1"/>
        <v>62.5</v>
      </c>
      <c r="AI5" s="101">
        <f t="shared" si="1"/>
        <v>60</v>
      </c>
      <c r="AJ5" s="101">
        <f t="shared" si="1"/>
        <v>57.5</v>
      </c>
      <c r="AK5" s="101">
        <f t="shared" si="1"/>
        <v>55</v>
      </c>
      <c r="AL5" s="101">
        <f t="shared" si="1"/>
        <v>52.5</v>
      </c>
      <c r="AM5" s="100">
        <v>50</v>
      </c>
      <c r="AN5" s="71">
        <f>AP5*15/AM5</f>
        <v>863.7</v>
      </c>
      <c r="AO5" s="71">
        <f>AP5*10/AM5</f>
        <v>575.79999999999995</v>
      </c>
      <c r="AP5" s="71">
        <v>2879</v>
      </c>
      <c r="AQ5" s="9">
        <v>20</v>
      </c>
      <c r="AR5" s="71">
        <f>AP5/AQ5</f>
        <v>143.94999999999999</v>
      </c>
      <c r="AS5" s="71">
        <v>181</v>
      </c>
      <c r="AT5" s="9"/>
      <c r="AU5" s="10"/>
    </row>
    <row r="6" spans="1:47" outlineLevel="1" x14ac:dyDescent="0.25">
      <c r="A6" s="4" t="s">
        <v>8</v>
      </c>
      <c r="B6" s="99">
        <v>80</v>
      </c>
      <c r="C6" s="101">
        <f>B6+($S6-$B6)/(2030-2013)</f>
        <v>79.411764705882348</v>
      </c>
      <c r="D6" s="101">
        <f t="shared" ref="D6:D7" si="2">C6+($S6-$B6)/(2030-2013)</f>
        <v>78.823529411764696</v>
      </c>
      <c r="E6" s="101">
        <f t="shared" ref="E6:E7" si="3">D6+($S6-$B6)/(2030-2013)</f>
        <v>78.235294117647044</v>
      </c>
      <c r="F6" s="101">
        <f t="shared" ref="F6:F7" si="4">E6+($S6-$B6)/(2030-2013)</f>
        <v>77.647058823529392</v>
      </c>
      <c r="G6" s="101">
        <f t="shared" ref="G6:G7" si="5">F6+($S6-$B6)/(2030-2013)</f>
        <v>77.05882352941174</v>
      </c>
      <c r="H6" s="101">
        <f t="shared" ref="H6:H7" si="6">G6+($S6-$B6)/(2030-2013)</f>
        <v>76.470588235294088</v>
      </c>
      <c r="I6" s="101">
        <f t="shared" ref="I6:I7" si="7">H6+($S6-$B6)/(2030-2013)</f>
        <v>75.882352941176435</v>
      </c>
      <c r="J6" s="101">
        <f t="shared" ref="J6:J7" si="8">I6+($S6-$B6)/(2030-2013)</f>
        <v>75.294117647058783</v>
      </c>
      <c r="K6" s="101">
        <f t="shared" ref="K6:K7" si="9">J6+($S6-$B6)/(2030-2013)</f>
        <v>74.705882352941131</v>
      </c>
      <c r="L6" s="101">
        <f t="shared" ref="L6:L7" si="10">K6+($S6-$B6)/(2030-2013)</f>
        <v>74.117647058823479</v>
      </c>
      <c r="M6" s="101">
        <f t="shared" ref="M6:M7" si="11">L6+($S6-$B6)/(2030-2013)</f>
        <v>73.529411764705827</v>
      </c>
      <c r="N6" s="101">
        <f t="shared" ref="N6:N7" si="12">M6+($S6-$B6)/(2030-2013)</f>
        <v>72.941176470588175</v>
      </c>
      <c r="O6" s="101">
        <f t="shared" ref="O6:O7" si="13">N6+($S6-$B6)/(2030-2013)</f>
        <v>72.352941176470523</v>
      </c>
      <c r="P6" s="101">
        <f t="shared" ref="P6:P7" si="14">O6+($S6-$B6)/(2030-2013)</f>
        <v>71.764705882352871</v>
      </c>
      <c r="Q6" s="101">
        <f t="shared" ref="Q6:Q7" si="15">P6+($S6-$B6)/(2030-2013)</f>
        <v>71.176470588235219</v>
      </c>
      <c r="R6" s="101">
        <f t="shared" ref="R6:R7" si="16">Q6+($S6-$B6)/(2030-2013)</f>
        <v>70.588235294117567</v>
      </c>
      <c r="S6" s="99">
        <v>70</v>
      </c>
      <c r="T6" s="101">
        <f>S6+($AM6-$S6)/(2050-2030)</f>
        <v>69.75</v>
      </c>
      <c r="U6" s="101">
        <f t="shared" ref="U6:U7" si="17">T6+($AM6-$S6)/(2050-2030)</f>
        <v>69.5</v>
      </c>
      <c r="V6" s="101">
        <f t="shared" ref="V6:V7" si="18">U6+($AM6-$S6)/(2050-2030)</f>
        <v>69.25</v>
      </c>
      <c r="W6" s="101">
        <f t="shared" ref="W6:W7" si="19">V6+($AM6-$S6)/(2050-2030)</f>
        <v>69</v>
      </c>
      <c r="X6" s="101">
        <f t="shared" ref="X6:X7" si="20">W6+($AM6-$S6)/(2050-2030)</f>
        <v>68.75</v>
      </c>
      <c r="Y6" s="101">
        <f t="shared" ref="Y6:Y7" si="21">X6+($AM6-$S6)/(2050-2030)</f>
        <v>68.5</v>
      </c>
      <c r="Z6" s="101">
        <f t="shared" ref="Z6:Z7" si="22">Y6+($AM6-$S6)/(2050-2030)</f>
        <v>68.25</v>
      </c>
      <c r="AA6" s="101">
        <f t="shared" ref="AA6:AA7" si="23">Z6+($AM6-$S6)/(2050-2030)</f>
        <v>68</v>
      </c>
      <c r="AB6" s="101">
        <f t="shared" ref="AB6:AB7" si="24">AA6+($AM6-$S6)/(2050-2030)</f>
        <v>67.75</v>
      </c>
      <c r="AC6" s="101">
        <f t="shared" ref="AC6:AC7" si="25">AB6+($AM6-$S6)/(2050-2030)</f>
        <v>67.5</v>
      </c>
      <c r="AD6" s="101">
        <f t="shared" ref="AD6:AD7" si="26">AC6+($AM6-$S6)/(2050-2030)</f>
        <v>67.25</v>
      </c>
      <c r="AE6" s="101">
        <f t="shared" ref="AE6:AE7" si="27">AD6+($AM6-$S6)/(2050-2030)</f>
        <v>67</v>
      </c>
      <c r="AF6" s="101">
        <f t="shared" ref="AF6:AF7" si="28">AE6+($AM6-$S6)/(2050-2030)</f>
        <v>66.75</v>
      </c>
      <c r="AG6" s="101">
        <f t="shared" ref="AG6:AG7" si="29">AF6+($AM6-$S6)/(2050-2030)</f>
        <v>66.5</v>
      </c>
      <c r="AH6" s="101">
        <f t="shared" ref="AH6:AH7" si="30">AG6+($AM6-$S6)/(2050-2030)</f>
        <v>66.25</v>
      </c>
      <c r="AI6" s="101">
        <f t="shared" ref="AI6:AI7" si="31">AH6+($AM6-$S6)/(2050-2030)</f>
        <v>66</v>
      </c>
      <c r="AJ6" s="101">
        <f t="shared" ref="AJ6:AJ7" si="32">AI6+($AM6-$S6)/(2050-2030)</f>
        <v>65.75</v>
      </c>
      <c r="AK6" s="101">
        <f t="shared" ref="AK6:AK7" si="33">AJ6+($AM6-$S6)/(2050-2030)</f>
        <v>65.5</v>
      </c>
      <c r="AL6" s="101">
        <f t="shared" ref="AL6:AL7" si="34">AK6+($AM6-$S6)/(2050-2030)</f>
        <v>65.25</v>
      </c>
      <c r="AM6" s="100">
        <v>65</v>
      </c>
      <c r="AN6" s="71">
        <f>AP6*8/6.5</f>
        <v>1457.2307692307693</v>
      </c>
      <c r="AO6" s="71">
        <f>AP6*7/6.5</f>
        <v>1275.0769230769231</v>
      </c>
      <c r="AP6" s="71">
        <v>1184</v>
      </c>
      <c r="AQ6" s="9">
        <v>20</v>
      </c>
      <c r="AR6" s="71">
        <f>AP6/AQ6</f>
        <v>59.2</v>
      </c>
      <c r="AS6" s="71">
        <v>47</v>
      </c>
      <c r="AT6" s="9"/>
      <c r="AU6" s="10">
        <v>208292640.72203231</v>
      </c>
    </row>
    <row r="7" spans="1:47" outlineLevel="1" x14ac:dyDescent="0.25">
      <c r="A7" s="4" t="s">
        <v>9</v>
      </c>
      <c r="B7" s="99">
        <v>80</v>
      </c>
      <c r="C7" s="101">
        <f>B7+($S7-$B7)/(2030-2013)</f>
        <v>79.411764705882348</v>
      </c>
      <c r="D7" s="101">
        <f t="shared" si="2"/>
        <v>78.823529411764696</v>
      </c>
      <c r="E7" s="101">
        <f t="shared" si="3"/>
        <v>78.235294117647044</v>
      </c>
      <c r="F7" s="101">
        <f t="shared" si="4"/>
        <v>77.647058823529392</v>
      </c>
      <c r="G7" s="101">
        <f t="shared" si="5"/>
        <v>77.05882352941174</v>
      </c>
      <c r="H7" s="101">
        <f t="shared" si="6"/>
        <v>76.470588235294088</v>
      </c>
      <c r="I7" s="101">
        <f t="shared" si="7"/>
        <v>75.882352941176435</v>
      </c>
      <c r="J7" s="101">
        <f t="shared" si="8"/>
        <v>75.294117647058783</v>
      </c>
      <c r="K7" s="101">
        <f t="shared" si="9"/>
        <v>74.705882352941131</v>
      </c>
      <c r="L7" s="101">
        <f t="shared" si="10"/>
        <v>74.117647058823479</v>
      </c>
      <c r="M7" s="101">
        <f t="shared" si="11"/>
        <v>73.529411764705827</v>
      </c>
      <c r="N7" s="101">
        <f t="shared" si="12"/>
        <v>72.941176470588175</v>
      </c>
      <c r="O7" s="101">
        <f t="shared" si="13"/>
        <v>72.352941176470523</v>
      </c>
      <c r="P7" s="101">
        <f t="shared" si="14"/>
        <v>71.764705882352871</v>
      </c>
      <c r="Q7" s="101">
        <f t="shared" si="15"/>
        <v>71.176470588235219</v>
      </c>
      <c r="R7" s="101">
        <f t="shared" si="16"/>
        <v>70.588235294117567</v>
      </c>
      <c r="S7" s="99">
        <v>70</v>
      </c>
      <c r="T7" s="101">
        <f>S7+($AM7-$S7)/(2050-2030)</f>
        <v>69.75</v>
      </c>
      <c r="U7" s="101">
        <f t="shared" si="17"/>
        <v>69.5</v>
      </c>
      <c r="V7" s="101">
        <f t="shared" si="18"/>
        <v>69.25</v>
      </c>
      <c r="W7" s="101">
        <f t="shared" si="19"/>
        <v>69</v>
      </c>
      <c r="X7" s="101">
        <f t="shared" si="20"/>
        <v>68.75</v>
      </c>
      <c r="Y7" s="101">
        <f t="shared" si="21"/>
        <v>68.5</v>
      </c>
      <c r="Z7" s="101">
        <f t="shared" si="22"/>
        <v>68.25</v>
      </c>
      <c r="AA7" s="101">
        <f t="shared" si="23"/>
        <v>68</v>
      </c>
      <c r="AB7" s="101">
        <f t="shared" si="24"/>
        <v>67.75</v>
      </c>
      <c r="AC7" s="101">
        <f t="shared" si="25"/>
        <v>67.5</v>
      </c>
      <c r="AD7" s="101">
        <f t="shared" si="26"/>
        <v>67.25</v>
      </c>
      <c r="AE7" s="101">
        <f t="shared" si="27"/>
        <v>67</v>
      </c>
      <c r="AF7" s="101">
        <f t="shared" si="28"/>
        <v>66.75</v>
      </c>
      <c r="AG7" s="101">
        <f t="shared" si="29"/>
        <v>66.5</v>
      </c>
      <c r="AH7" s="101">
        <f t="shared" si="30"/>
        <v>66.25</v>
      </c>
      <c r="AI7" s="101">
        <f t="shared" si="31"/>
        <v>66</v>
      </c>
      <c r="AJ7" s="101">
        <f t="shared" si="32"/>
        <v>65.75</v>
      </c>
      <c r="AK7" s="101">
        <f t="shared" si="33"/>
        <v>65.5</v>
      </c>
      <c r="AL7" s="101">
        <f t="shared" si="34"/>
        <v>65.25</v>
      </c>
      <c r="AM7" s="100">
        <v>65</v>
      </c>
      <c r="AN7" s="71">
        <f>AP7*8/6.5</f>
        <v>1879.3846153846155</v>
      </c>
      <c r="AO7" s="71">
        <f>AP7*7/6.5</f>
        <v>1644.4615384615386</v>
      </c>
      <c r="AP7" s="71">
        <v>1527</v>
      </c>
      <c r="AQ7" s="9">
        <v>20</v>
      </c>
      <c r="AR7" s="71">
        <f>AP7/AQ7</f>
        <v>76.349999999999994</v>
      </c>
      <c r="AS7" s="71">
        <v>61.1</v>
      </c>
      <c r="AT7" s="9"/>
      <c r="AU7" s="10">
        <v>52921510.708347961</v>
      </c>
    </row>
    <row r="8" spans="1:47" x14ac:dyDescent="0.25">
      <c r="A8" s="4" t="s">
        <v>174</v>
      </c>
      <c r="B8" s="99">
        <f>S8*SUM(B6:B7)/SUM(S6:S7)</f>
        <v>80</v>
      </c>
      <c r="C8" s="101">
        <f t="shared" ref="C8:C18" si="35">B8+($S8-$B8)/(2030-2013)</f>
        <v>79.411764705882348</v>
      </c>
      <c r="D8" s="101">
        <f t="shared" ref="D8:R18" si="36">C8+($S8-$B8)/(2030-2013)</f>
        <v>78.823529411764696</v>
      </c>
      <c r="E8" s="101">
        <f t="shared" si="36"/>
        <v>78.235294117647044</v>
      </c>
      <c r="F8" s="101">
        <f t="shared" si="36"/>
        <v>77.647058823529392</v>
      </c>
      <c r="G8" s="101">
        <f t="shared" si="36"/>
        <v>77.05882352941174</v>
      </c>
      <c r="H8" s="101">
        <f t="shared" si="36"/>
        <v>76.470588235294088</v>
      </c>
      <c r="I8" s="101">
        <f t="shared" si="36"/>
        <v>75.882352941176435</v>
      </c>
      <c r="J8" s="101">
        <f t="shared" si="36"/>
        <v>75.294117647058783</v>
      </c>
      <c r="K8" s="101">
        <f t="shared" si="36"/>
        <v>74.705882352941131</v>
      </c>
      <c r="L8" s="101">
        <f t="shared" si="36"/>
        <v>74.117647058823479</v>
      </c>
      <c r="M8" s="101">
        <f t="shared" si="36"/>
        <v>73.529411764705827</v>
      </c>
      <c r="N8" s="101">
        <f t="shared" si="36"/>
        <v>72.941176470588175</v>
      </c>
      <c r="O8" s="101">
        <f t="shared" si="36"/>
        <v>72.352941176470523</v>
      </c>
      <c r="P8" s="101">
        <f t="shared" si="36"/>
        <v>71.764705882352871</v>
      </c>
      <c r="Q8" s="101">
        <f t="shared" si="36"/>
        <v>71.176470588235219</v>
      </c>
      <c r="R8" s="101">
        <f t="shared" si="36"/>
        <v>70.588235294117567</v>
      </c>
      <c r="S8" s="99">
        <f>AM8*SUM(S6:S7)/SUM(AM6:AM7)</f>
        <v>70</v>
      </c>
      <c r="T8" s="101">
        <f t="shared" ref="T8:T18" si="37">S8+($AM8-$S8)/(2050-2030)</f>
        <v>69.75</v>
      </c>
      <c r="U8" s="101">
        <f t="shared" ref="U8:AL18" si="38">T8+($AM8-$S8)/(2050-2030)</f>
        <v>69.5</v>
      </c>
      <c r="V8" s="101">
        <f t="shared" si="38"/>
        <v>69.25</v>
      </c>
      <c r="W8" s="101">
        <f t="shared" si="38"/>
        <v>69</v>
      </c>
      <c r="X8" s="101">
        <f t="shared" si="38"/>
        <v>68.75</v>
      </c>
      <c r="Y8" s="101">
        <f t="shared" si="38"/>
        <v>68.5</v>
      </c>
      <c r="Z8" s="101">
        <f t="shared" si="38"/>
        <v>68.25</v>
      </c>
      <c r="AA8" s="101">
        <f t="shared" si="38"/>
        <v>68</v>
      </c>
      <c r="AB8" s="101">
        <f t="shared" si="38"/>
        <v>67.75</v>
      </c>
      <c r="AC8" s="101">
        <f t="shared" si="38"/>
        <v>67.5</v>
      </c>
      <c r="AD8" s="101">
        <f t="shared" si="38"/>
        <v>67.25</v>
      </c>
      <c r="AE8" s="101">
        <f t="shared" si="38"/>
        <v>67</v>
      </c>
      <c r="AF8" s="101">
        <f t="shared" si="38"/>
        <v>66.75</v>
      </c>
      <c r="AG8" s="101">
        <f t="shared" si="38"/>
        <v>66.5</v>
      </c>
      <c r="AH8" s="101">
        <f t="shared" si="38"/>
        <v>66.25</v>
      </c>
      <c r="AI8" s="101">
        <f t="shared" si="38"/>
        <v>66</v>
      </c>
      <c r="AJ8" s="101">
        <f t="shared" si="38"/>
        <v>65.75</v>
      </c>
      <c r="AK8" s="101">
        <f t="shared" si="38"/>
        <v>65.5</v>
      </c>
      <c r="AL8" s="101">
        <f t="shared" si="38"/>
        <v>65.25</v>
      </c>
      <c r="AM8" s="100">
        <f>(Production!C9+Production!C10)/(Production!B9+Production!B10)*1000000</f>
        <v>65</v>
      </c>
      <c r="AN8" s="71"/>
      <c r="AO8" s="71"/>
      <c r="AP8" s="71"/>
      <c r="AQ8" s="9">
        <v>20</v>
      </c>
      <c r="AR8" s="71"/>
      <c r="AS8" s="71">
        <f>(AS6*1000*'Capacités installées'!B9+AS7*1000*'Capacités installées'!B10)/('Capacités installées'!B9*1000+'Capacités installées'!B10*1000)</f>
        <v>50.349481864468942</v>
      </c>
      <c r="AT8" s="9"/>
      <c r="AU8" s="10"/>
    </row>
    <row r="9" spans="1:47" outlineLevel="1" x14ac:dyDescent="0.25">
      <c r="A9" s="4" t="s">
        <v>10</v>
      </c>
      <c r="B9" s="99">
        <v>150</v>
      </c>
      <c r="C9" s="101">
        <f t="shared" si="35"/>
        <v>146.76470588235293</v>
      </c>
      <c r="D9" s="101">
        <f t="shared" si="36"/>
        <v>143.52941176470586</v>
      </c>
      <c r="E9" s="101">
        <f t="shared" si="36"/>
        <v>140.29411764705878</v>
      </c>
      <c r="F9" s="101">
        <f t="shared" si="36"/>
        <v>137.05882352941171</v>
      </c>
      <c r="G9" s="101">
        <f t="shared" si="36"/>
        <v>133.82352941176464</v>
      </c>
      <c r="H9" s="101">
        <f t="shared" si="36"/>
        <v>130.58823529411757</v>
      </c>
      <c r="I9" s="101">
        <f t="shared" si="36"/>
        <v>127.35294117647051</v>
      </c>
      <c r="J9" s="101">
        <f t="shared" si="36"/>
        <v>124.11764705882345</v>
      </c>
      <c r="K9" s="101">
        <f t="shared" si="36"/>
        <v>120.88235294117639</v>
      </c>
      <c r="L9" s="101">
        <f t="shared" si="36"/>
        <v>117.64705882352933</v>
      </c>
      <c r="M9" s="101">
        <f t="shared" si="36"/>
        <v>114.41176470588228</v>
      </c>
      <c r="N9" s="101">
        <f t="shared" si="36"/>
        <v>111.17647058823522</v>
      </c>
      <c r="O9" s="101">
        <f t="shared" si="36"/>
        <v>107.94117647058816</v>
      </c>
      <c r="P9" s="101">
        <f t="shared" si="36"/>
        <v>104.7058823529411</v>
      </c>
      <c r="Q9" s="101">
        <f t="shared" si="36"/>
        <v>101.47058823529404</v>
      </c>
      <c r="R9" s="101">
        <f t="shared" si="36"/>
        <v>98.235294117646987</v>
      </c>
      <c r="S9" s="99">
        <v>95</v>
      </c>
      <c r="T9" s="101">
        <f t="shared" si="37"/>
        <v>94.25</v>
      </c>
      <c r="U9" s="101">
        <f t="shared" si="38"/>
        <v>93.5</v>
      </c>
      <c r="V9" s="101">
        <f t="shared" si="38"/>
        <v>92.75</v>
      </c>
      <c r="W9" s="101">
        <f t="shared" si="38"/>
        <v>92</v>
      </c>
      <c r="X9" s="101">
        <f t="shared" si="38"/>
        <v>91.25</v>
      </c>
      <c r="Y9" s="101">
        <f t="shared" si="38"/>
        <v>90.5</v>
      </c>
      <c r="Z9" s="101">
        <f t="shared" si="38"/>
        <v>89.75</v>
      </c>
      <c r="AA9" s="101">
        <f t="shared" si="38"/>
        <v>89</v>
      </c>
      <c r="AB9" s="101">
        <f t="shared" si="38"/>
        <v>88.25</v>
      </c>
      <c r="AC9" s="101">
        <f t="shared" si="38"/>
        <v>87.5</v>
      </c>
      <c r="AD9" s="101">
        <f t="shared" si="38"/>
        <v>86.75</v>
      </c>
      <c r="AE9" s="101">
        <f t="shared" si="38"/>
        <v>86</v>
      </c>
      <c r="AF9" s="101">
        <f t="shared" si="38"/>
        <v>85.25</v>
      </c>
      <c r="AG9" s="101">
        <f t="shared" si="38"/>
        <v>84.5</v>
      </c>
      <c r="AH9" s="101">
        <f t="shared" si="38"/>
        <v>83.75</v>
      </c>
      <c r="AI9" s="101">
        <f t="shared" si="38"/>
        <v>83</v>
      </c>
      <c r="AJ9" s="101">
        <f t="shared" si="38"/>
        <v>82.25</v>
      </c>
      <c r="AK9" s="101">
        <f t="shared" si="38"/>
        <v>81.5</v>
      </c>
      <c r="AL9" s="101">
        <f t="shared" si="38"/>
        <v>80.75</v>
      </c>
      <c r="AM9" s="100">
        <v>80</v>
      </c>
      <c r="AN9" s="71">
        <f>AP9*15/8</f>
        <v>4479.375</v>
      </c>
      <c r="AO9" s="71">
        <f>AP9*9.5/8</f>
        <v>2836.9375</v>
      </c>
      <c r="AP9" s="71">
        <v>2389</v>
      </c>
      <c r="AQ9" s="9">
        <v>20</v>
      </c>
      <c r="AR9" s="71">
        <f>AP9/AQ9</f>
        <v>119.45</v>
      </c>
      <c r="AS9" s="71">
        <v>143</v>
      </c>
      <c r="AT9" s="9"/>
      <c r="AU9" s="10">
        <v>41876556.038815998</v>
      </c>
    </row>
    <row r="10" spans="1:47" outlineLevel="1" x14ac:dyDescent="0.25">
      <c r="A10" s="4" t="s">
        <v>11</v>
      </c>
      <c r="B10" s="99">
        <v>450</v>
      </c>
      <c r="C10" s="101">
        <f t="shared" si="35"/>
        <v>434.70588235294116</v>
      </c>
      <c r="D10" s="101">
        <f t="shared" si="36"/>
        <v>419.41176470588232</v>
      </c>
      <c r="E10" s="101">
        <f t="shared" si="36"/>
        <v>404.11764705882348</v>
      </c>
      <c r="F10" s="101">
        <f t="shared" si="36"/>
        <v>388.82352941176464</v>
      </c>
      <c r="G10" s="101">
        <f t="shared" si="36"/>
        <v>373.5294117647058</v>
      </c>
      <c r="H10" s="101">
        <f t="shared" si="36"/>
        <v>358.23529411764696</v>
      </c>
      <c r="I10" s="101">
        <f t="shared" si="36"/>
        <v>342.94117647058812</v>
      </c>
      <c r="J10" s="101">
        <f t="shared" si="36"/>
        <v>327.64705882352928</v>
      </c>
      <c r="K10" s="101">
        <f t="shared" si="36"/>
        <v>312.35294117647044</v>
      </c>
      <c r="L10" s="101">
        <f t="shared" si="36"/>
        <v>297.0588235294116</v>
      </c>
      <c r="M10" s="101">
        <f t="shared" si="36"/>
        <v>281.76470588235276</v>
      </c>
      <c r="N10" s="101">
        <f t="shared" si="36"/>
        <v>266.47058823529392</v>
      </c>
      <c r="O10" s="101">
        <f t="shared" si="36"/>
        <v>251.17647058823511</v>
      </c>
      <c r="P10" s="101">
        <f t="shared" si="36"/>
        <v>235.88235294117629</v>
      </c>
      <c r="Q10" s="101">
        <f t="shared" si="36"/>
        <v>220.58823529411748</v>
      </c>
      <c r="R10" s="101">
        <f t="shared" si="36"/>
        <v>205.29411764705867</v>
      </c>
      <c r="S10" s="99">
        <v>190</v>
      </c>
      <c r="T10" s="101">
        <f t="shared" si="37"/>
        <v>186</v>
      </c>
      <c r="U10" s="101">
        <f t="shared" si="38"/>
        <v>182</v>
      </c>
      <c r="V10" s="101">
        <f t="shared" si="38"/>
        <v>178</v>
      </c>
      <c r="W10" s="101">
        <f t="shared" si="38"/>
        <v>174</v>
      </c>
      <c r="X10" s="101">
        <f t="shared" si="38"/>
        <v>170</v>
      </c>
      <c r="Y10" s="101">
        <f t="shared" si="38"/>
        <v>166</v>
      </c>
      <c r="Z10" s="101">
        <f t="shared" si="38"/>
        <v>162</v>
      </c>
      <c r="AA10" s="101">
        <f t="shared" si="38"/>
        <v>158</v>
      </c>
      <c r="AB10" s="101">
        <f t="shared" si="38"/>
        <v>154</v>
      </c>
      <c r="AC10" s="101">
        <f t="shared" si="38"/>
        <v>150</v>
      </c>
      <c r="AD10" s="101">
        <f t="shared" si="38"/>
        <v>146</v>
      </c>
      <c r="AE10" s="101">
        <f t="shared" si="38"/>
        <v>142</v>
      </c>
      <c r="AF10" s="101">
        <f t="shared" si="38"/>
        <v>138</v>
      </c>
      <c r="AG10" s="101">
        <f t="shared" si="38"/>
        <v>134</v>
      </c>
      <c r="AH10" s="101">
        <f t="shared" si="38"/>
        <v>130</v>
      </c>
      <c r="AI10" s="101">
        <f t="shared" si="38"/>
        <v>126</v>
      </c>
      <c r="AJ10" s="101">
        <f t="shared" si="38"/>
        <v>122</v>
      </c>
      <c r="AK10" s="101">
        <f t="shared" si="38"/>
        <v>118</v>
      </c>
      <c r="AL10" s="101">
        <f t="shared" si="38"/>
        <v>114</v>
      </c>
      <c r="AM10" s="100">
        <v>110</v>
      </c>
      <c r="AN10" s="71">
        <f>AP10*45/AM10</f>
        <v>1111.090909090909</v>
      </c>
      <c r="AO10" s="71">
        <f>AP10*19/AM10</f>
        <v>469.12727272727273</v>
      </c>
      <c r="AP10" s="71">
        <v>2716</v>
      </c>
      <c r="AQ10" s="9">
        <v>20</v>
      </c>
      <c r="AR10" s="71">
        <f>AP10/AQ10</f>
        <v>135.80000000000001</v>
      </c>
      <c r="AS10" s="71">
        <v>272</v>
      </c>
      <c r="AT10" s="9"/>
      <c r="AU10" s="10">
        <v>0</v>
      </c>
    </row>
    <row r="11" spans="1:47" x14ac:dyDescent="0.25">
      <c r="A11" s="4" t="s">
        <v>176</v>
      </c>
      <c r="B11" s="99">
        <f>S11*(B9+B10*0)/(S9+S10*0)</f>
        <v>150</v>
      </c>
      <c r="C11" s="101">
        <f t="shared" si="35"/>
        <v>146.76470588235293</v>
      </c>
      <c r="D11" s="101">
        <f t="shared" si="36"/>
        <v>143.52941176470586</v>
      </c>
      <c r="E11" s="101">
        <f t="shared" si="36"/>
        <v>140.29411764705878</v>
      </c>
      <c r="F11" s="101">
        <f t="shared" si="36"/>
        <v>137.05882352941171</v>
      </c>
      <c r="G11" s="101">
        <f t="shared" si="36"/>
        <v>133.82352941176464</v>
      </c>
      <c r="H11" s="101">
        <f t="shared" si="36"/>
        <v>130.58823529411757</v>
      </c>
      <c r="I11" s="101">
        <f t="shared" si="36"/>
        <v>127.35294117647051</v>
      </c>
      <c r="J11" s="101">
        <f t="shared" si="36"/>
        <v>124.11764705882345</v>
      </c>
      <c r="K11" s="101">
        <f t="shared" si="36"/>
        <v>120.88235294117639</v>
      </c>
      <c r="L11" s="101">
        <f t="shared" si="36"/>
        <v>117.64705882352933</v>
      </c>
      <c r="M11" s="101">
        <f t="shared" si="36"/>
        <v>114.41176470588228</v>
      </c>
      <c r="N11" s="101">
        <f t="shared" si="36"/>
        <v>111.17647058823522</v>
      </c>
      <c r="O11" s="101">
        <f t="shared" si="36"/>
        <v>107.94117647058816</v>
      </c>
      <c r="P11" s="101">
        <f t="shared" si="36"/>
        <v>104.7058823529411</v>
      </c>
      <c r="Q11" s="101">
        <f t="shared" si="36"/>
        <v>101.47058823529404</v>
      </c>
      <c r="R11" s="101">
        <f t="shared" si="36"/>
        <v>98.235294117646987</v>
      </c>
      <c r="S11" s="99">
        <f>AM11*(S9+S10*0)/(AM9+AM10*0)</f>
        <v>95</v>
      </c>
      <c r="T11" s="101">
        <f t="shared" si="37"/>
        <v>94.25</v>
      </c>
      <c r="U11" s="101">
        <f t="shared" si="38"/>
        <v>93.5</v>
      </c>
      <c r="V11" s="101">
        <f t="shared" si="38"/>
        <v>92.75</v>
      </c>
      <c r="W11" s="101">
        <f t="shared" si="38"/>
        <v>92</v>
      </c>
      <c r="X11" s="101">
        <f t="shared" si="38"/>
        <v>91.25</v>
      </c>
      <c r="Y11" s="101">
        <f t="shared" si="38"/>
        <v>90.5</v>
      </c>
      <c r="Z11" s="101">
        <f t="shared" si="38"/>
        <v>89.75</v>
      </c>
      <c r="AA11" s="101">
        <f t="shared" si="38"/>
        <v>89</v>
      </c>
      <c r="AB11" s="101">
        <f t="shared" si="38"/>
        <v>88.25</v>
      </c>
      <c r="AC11" s="101">
        <f t="shared" si="38"/>
        <v>87.5</v>
      </c>
      <c r="AD11" s="101">
        <f t="shared" si="38"/>
        <v>86.75</v>
      </c>
      <c r="AE11" s="101">
        <f t="shared" si="38"/>
        <v>86</v>
      </c>
      <c r="AF11" s="101">
        <f t="shared" si="38"/>
        <v>85.25</v>
      </c>
      <c r="AG11" s="101">
        <f t="shared" si="38"/>
        <v>84.5</v>
      </c>
      <c r="AH11" s="101">
        <f t="shared" si="38"/>
        <v>83.75</v>
      </c>
      <c r="AI11" s="101">
        <f t="shared" si="38"/>
        <v>83</v>
      </c>
      <c r="AJ11" s="101">
        <f t="shared" si="38"/>
        <v>82.25</v>
      </c>
      <c r="AK11" s="101">
        <f t="shared" si="38"/>
        <v>81.5</v>
      </c>
      <c r="AL11" s="101">
        <f t="shared" si="38"/>
        <v>80.75</v>
      </c>
      <c r="AM11" s="100">
        <f>(Production!C11+Production!C20)/(Production!B11+Production!B20)*1000000</f>
        <v>80</v>
      </c>
      <c r="AN11" s="71"/>
      <c r="AO11" s="71"/>
      <c r="AP11" s="71"/>
      <c r="AQ11" s="9">
        <v>20</v>
      </c>
      <c r="AR11" s="71"/>
      <c r="AS11" s="71">
        <f>(AS9*'Capacités installées'!B11+'Capacités installées'!B20*LCOE!AS10)/('Capacités installées'!B11+'Capacités installées'!B20)</f>
        <v>143.0000011969432</v>
      </c>
      <c r="AT11" s="9"/>
      <c r="AU11" s="10"/>
    </row>
    <row r="12" spans="1:47" ht="15" customHeight="1" outlineLevel="1" x14ac:dyDescent="0.25">
      <c r="A12" s="4" t="s">
        <v>12</v>
      </c>
      <c r="B12" s="99">
        <v>160</v>
      </c>
      <c r="C12" s="101">
        <f t="shared" si="35"/>
        <v>156.47058823529412</v>
      </c>
      <c r="D12" s="101">
        <f t="shared" si="36"/>
        <v>152.94117647058823</v>
      </c>
      <c r="E12" s="101">
        <f t="shared" si="36"/>
        <v>149.41176470588235</v>
      </c>
      <c r="F12" s="101">
        <f t="shared" si="36"/>
        <v>145.88235294117646</v>
      </c>
      <c r="G12" s="101">
        <f t="shared" si="36"/>
        <v>142.35294117647058</v>
      </c>
      <c r="H12" s="101">
        <f t="shared" si="36"/>
        <v>138.8235294117647</v>
      </c>
      <c r="I12" s="101">
        <f t="shared" si="36"/>
        <v>135.29411764705881</v>
      </c>
      <c r="J12" s="101">
        <f t="shared" si="36"/>
        <v>131.76470588235293</v>
      </c>
      <c r="K12" s="101">
        <f t="shared" si="36"/>
        <v>128.23529411764704</v>
      </c>
      <c r="L12" s="101">
        <f t="shared" si="36"/>
        <v>124.70588235294116</v>
      </c>
      <c r="M12" s="101">
        <f t="shared" si="36"/>
        <v>121.17647058823528</v>
      </c>
      <c r="N12" s="101">
        <f t="shared" si="36"/>
        <v>117.64705882352939</v>
      </c>
      <c r="O12" s="101">
        <f t="shared" si="36"/>
        <v>114.11764705882351</v>
      </c>
      <c r="P12" s="101">
        <f t="shared" si="36"/>
        <v>110.58823529411762</v>
      </c>
      <c r="Q12" s="101">
        <f t="shared" si="36"/>
        <v>107.05882352941174</v>
      </c>
      <c r="R12" s="101">
        <f t="shared" si="36"/>
        <v>103.52941176470586</v>
      </c>
      <c r="S12" s="99">
        <v>100</v>
      </c>
      <c r="T12" s="101">
        <f t="shared" si="37"/>
        <v>98</v>
      </c>
      <c r="U12" s="101">
        <f t="shared" si="38"/>
        <v>96</v>
      </c>
      <c r="V12" s="101">
        <f t="shared" si="38"/>
        <v>94</v>
      </c>
      <c r="W12" s="101">
        <f t="shared" si="38"/>
        <v>92</v>
      </c>
      <c r="X12" s="101">
        <f t="shared" si="38"/>
        <v>90</v>
      </c>
      <c r="Y12" s="101">
        <f t="shared" si="38"/>
        <v>88</v>
      </c>
      <c r="Z12" s="101">
        <f t="shared" si="38"/>
        <v>86</v>
      </c>
      <c r="AA12" s="101">
        <f t="shared" si="38"/>
        <v>84</v>
      </c>
      <c r="AB12" s="101">
        <f t="shared" si="38"/>
        <v>82</v>
      </c>
      <c r="AC12" s="101">
        <f t="shared" si="38"/>
        <v>80</v>
      </c>
      <c r="AD12" s="101">
        <f t="shared" si="38"/>
        <v>78</v>
      </c>
      <c r="AE12" s="101">
        <f t="shared" si="38"/>
        <v>76</v>
      </c>
      <c r="AF12" s="101">
        <f t="shared" si="38"/>
        <v>74</v>
      </c>
      <c r="AG12" s="101">
        <f t="shared" si="38"/>
        <v>72</v>
      </c>
      <c r="AH12" s="101">
        <f t="shared" si="38"/>
        <v>70</v>
      </c>
      <c r="AI12" s="101">
        <f t="shared" si="38"/>
        <v>68</v>
      </c>
      <c r="AJ12" s="101">
        <f t="shared" si="38"/>
        <v>66</v>
      </c>
      <c r="AK12" s="101">
        <f t="shared" si="38"/>
        <v>64</v>
      </c>
      <c r="AL12" s="101">
        <f t="shared" si="38"/>
        <v>62</v>
      </c>
      <c r="AM12" s="100">
        <v>60</v>
      </c>
      <c r="AN12" s="71">
        <f>AP12*14/AM12</f>
        <v>238</v>
      </c>
      <c r="AO12" s="71">
        <f>AP12*10/AM12</f>
        <v>170</v>
      </c>
      <c r="AP12" s="71">
        <v>1020</v>
      </c>
      <c r="AQ12" s="9">
        <v>25</v>
      </c>
      <c r="AR12" s="71">
        <f>AP12/AQ12</f>
        <v>40.799999999999997</v>
      </c>
      <c r="AS12" s="71">
        <v>24</v>
      </c>
      <c r="AT12" s="9"/>
      <c r="AU12" s="10">
        <v>51437469.83673761</v>
      </c>
    </row>
    <row r="13" spans="1:47" ht="15" customHeight="1" outlineLevel="1" x14ac:dyDescent="0.25">
      <c r="A13" s="4" t="s">
        <v>13</v>
      </c>
      <c r="B13" s="99">
        <v>220</v>
      </c>
      <c r="C13" s="101">
        <f t="shared" si="35"/>
        <v>215.58823529411765</v>
      </c>
      <c r="D13" s="101">
        <f t="shared" si="36"/>
        <v>211.1764705882353</v>
      </c>
      <c r="E13" s="101">
        <f t="shared" si="36"/>
        <v>206.76470588235296</v>
      </c>
      <c r="F13" s="101">
        <f t="shared" si="36"/>
        <v>202.35294117647061</v>
      </c>
      <c r="G13" s="101">
        <f t="shared" si="36"/>
        <v>197.94117647058826</v>
      </c>
      <c r="H13" s="101">
        <f t="shared" si="36"/>
        <v>193.52941176470591</v>
      </c>
      <c r="I13" s="101">
        <f t="shared" si="36"/>
        <v>189.11764705882356</v>
      </c>
      <c r="J13" s="101">
        <f t="shared" si="36"/>
        <v>184.70588235294122</v>
      </c>
      <c r="K13" s="101">
        <f t="shared" si="36"/>
        <v>180.29411764705887</v>
      </c>
      <c r="L13" s="101">
        <f t="shared" si="36"/>
        <v>175.88235294117652</v>
      </c>
      <c r="M13" s="101">
        <f t="shared" si="36"/>
        <v>171.47058823529417</v>
      </c>
      <c r="N13" s="101">
        <f t="shared" si="36"/>
        <v>167.05882352941182</v>
      </c>
      <c r="O13" s="101">
        <f t="shared" si="36"/>
        <v>162.64705882352948</v>
      </c>
      <c r="P13" s="101">
        <f t="shared" si="36"/>
        <v>158.23529411764713</v>
      </c>
      <c r="Q13" s="101">
        <f t="shared" si="36"/>
        <v>153.82352941176478</v>
      </c>
      <c r="R13" s="101">
        <f t="shared" si="36"/>
        <v>149.41176470588243</v>
      </c>
      <c r="S13" s="99">
        <v>145</v>
      </c>
      <c r="T13" s="101">
        <f t="shared" si="37"/>
        <v>142</v>
      </c>
      <c r="U13" s="101">
        <f t="shared" si="38"/>
        <v>139</v>
      </c>
      <c r="V13" s="101">
        <f t="shared" si="38"/>
        <v>136</v>
      </c>
      <c r="W13" s="101">
        <f t="shared" si="38"/>
        <v>133</v>
      </c>
      <c r="X13" s="101">
        <f t="shared" si="38"/>
        <v>130</v>
      </c>
      <c r="Y13" s="101">
        <f t="shared" si="38"/>
        <v>127</v>
      </c>
      <c r="Z13" s="101">
        <f t="shared" si="38"/>
        <v>124</v>
      </c>
      <c r="AA13" s="101">
        <f t="shared" si="38"/>
        <v>121</v>
      </c>
      <c r="AB13" s="101">
        <f t="shared" si="38"/>
        <v>118</v>
      </c>
      <c r="AC13" s="101">
        <f t="shared" si="38"/>
        <v>115</v>
      </c>
      <c r="AD13" s="101">
        <f t="shared" si="38"/>
        <v>112</v>
      </c>
      <c r="AE13" s="101">
        <f t="shared" si="38"/>
        <v>109</v>
      </c>
      <c r="AF13" s="101">
        <f t="shared" si="38"/>
        <v>106</v>
      </c>
      <c r="AG13" s="101">
        <f t="shared" si="38"/>
        <v>103</v>
      </c>
      <c r="AH13" s="101">
        <f t="shared" si="38"/>
        <v>100</v>
      </c>
      <c r="AI13" s="101">
        <f t="shared" si="38"/>
        <v>97</v>
      </c>
      <c r="AJ13" s="101">
        <f t="shared" si="38"/>
        <v>94</v>
      </c>
      <c r="AK13" s="101">
        <f t="shared" si="38"/>
        <v>91</v>
      </c>
      <c r="AL13" s="101">
        <f t="shared" si="38"/>
        <v>88</v>
      </c>
      <c r="AM13" s="100">
        <v>85</v>
      </c>
      <c r="AN13" s="71">
        <f>AP13*18/AM13</f>
        <v>257.08235294117645</v>
      </c>
      <c r="AO13" s="71">
        <f>AP13*14/AM13</f>
        <v>199.95294117647057</v>
      </c>
      <c r="AP13" s="71">
        <v>1214</v>
      </c>
      <c r="AQ13" s="9">
        <v>25</v>
      </c>
      <c r="AR13" s="71">
        <f>AP13/AQ13</f>
        <v>48.56</v>
      </c>
      <c r="AS13" s="71">
        <v>12</v>
      </c>
      <c r="AT13" s="9"/>
      <c r="AU13" s="10">
        <v>30150719.921033908</v>
      </c>
    </row>
    <row r="14" spans="1:47" ht="15" customHeight="1" outlineLevel="1" x14ac:dyDescent="0.25">
      <c r="A14" s="4" t="s">
        <v>14</v>
      </c>
      <c r="B14" s="99">
        <v>500</v>
      </c>
      <c r="C14" s="101">
        <f t="shared" si="35"/>
        <v>491.1764705882353</v>
      </c>
      <c r="D14" s="101">
        <f t="shared" si="36"/>
        <v>482.35294117647061</v>
      </c>
      <c r="E14" s="101">
        <f t="shared" si="36"/>
        <v>473.52941176470591</v>
      </c>
      <c r="F14" s="101">
        <f t="shared" si="36"/>
        <v>464.70588235294122</v>
      </c>
      <c r="G14" s="101">
        <f t="shared" si="36"/>
        <v>455.88235294117652</v>
      </c>
      <c r="H14" s="101">
        <f t="shared" si="36"/>
        <v>447.05882352941182</v>
      </c>
      <c r="I14" s="101">
        <f t="shared" si="36"/>
        <v>438.23529411764713</v>
      </c>
      <c r="J14" s="101">
        <f t="shared" si="36"/>
        <v>429.41176470588243</v>
      </c>
      <c r="K14" s="101">
        <f t="shared" si="36"/>
        <v>420.58823529411774</v>
      </c>
      <c r="L14" s="101">
        <f t="shared" si="36"/>
        <v>411.76470588235304</v>
      </c>
      <c r="M14" s="101">
        <f t="shared" si="36"/>
        <v>402.94117647058835</v>
      </c>
      <c r="N14" s="101">
        <f t="shared" si="36"/>
        <v>394.11764705882365</v>
      </c>
      <c r="O14" s="101">
        <f t="shared" si="36"/>
        <v>385.29411764705895</v>
      </c>
      <c r="P14" s="101">
        <f t="shared" si="36"/>
        <v>376.47058823529426</v>
      </c>
      <c r="Q14" s="101">
        <f t="shared" si="36"/>
        <v>367.64705882352956</v>
      </c>
      <c r="R14" s="101">
        <f t="shared" si="36"/>
        <v>358.82352941176487</v>
      </c>
      <c r="S14" s="99">
        <v>350</v>
      </c>
      <c r="T14" s="101">
        <f t="shared" si="37"/>
        <v>347.5</v>
      </c>
      <c r="U14" s="101">
        <f t="shared" si="38"/>
        <v>345</v>
      </c>
      <c r="V14" s="101">
        <f t="shared" si="38"/>
        <v>342.5</v>
      </c>
      <c r="W14" s="101">
        <f t="shared" si="38"/>
        <v>340</v>
      </c>
      <c r="X14" s="101">
        <f t="shared" si="38"/>
        <v>337.5</v>
      </c>
      <c r="Y14" s="101">
        <f t="shared" si="38"/>
        <v>335</v>
      </c>
      <c r="Z14" s="101">
        <f t="shared" si="38"/>
        <v>332.5</v>
      </c>
      <c r="AA14" s="101">
        <f t="shared" si="38"/>
        <v>330</v>
      </c>
      <c r="AB14" s="101">
        <f t="shared" si="38"/>
        <v>327.5</v>
      </c>
      <c r="AC14" s="101">
        <f t="shared" si="38"/>
        <v>325</v>
      </c>
      <c r="AD14" s="101">
        <f t="shared" si="38"/>
        <v>322.5</v>
      </c>
      <c r="AE14" s="101">
        <f t="shared" si="38"/>
        <v>320</v>
      </c>
      <c r="AF14" s="101">
        <f t="shared" si="38"/>
        <v>317.5</v>
      </c>
      <c r="AG14" s="101">
        <f t="shared" si="38"/>
        <v>315</v>
      </c>
      <c r="AH14" s="101">
        <f t="shared" si="38"/>
        <v>312.5</v>
      </c>
      <c r="AI14" s="101">
        <f t="shared" si="38"/>
        <v>310</v>
      </c>
      <c r="AJ14" s="101">
        <f t="shared" si="38"/>
        <v>307.5</v>
      </c>
      <c r="AK14" s="101">
        <f t="shared" si="38"/>
        <v>305</v>
      </c>
      <c r="AL14" s="101">
        <f t="shared" si="38"/>
        <v>302.5</v>
      </c>
      <c r="AM14" s="100">
        <v>300</v>
      </c>
      <c r="AN14" s="71">
        <v>4800</v>
      </c>
      <c r="AO14" s="71">
        <v>3400</v>
      </c>
      <c r="AP14" s="71">
        <v>3131</v>
      </c>
      <c r="AQ14" s="9">
        <v>30</v>
      </c>
      <c r="AR14" s="71">
        <f>AP14/AQ14</f>
        <v>104.36666666666666</v>
      </c>
      <c r="AS14" s="71">
        <v>161</v>
      </c>
      <c r="AT14" s="9"/>
      <c r="AU14" s="10">
        <v>496821.65887754317</v>
      </c>
    </row>
    <row r="15" spans="1:47" x14ac:dyDescent="0.25">
      <c r="A15" s="4" t="s">
        <v>24</v>
      </c>
      <c r="B15" s="102">
        <f>B12*C35+B13*C36</f>
        <v>179.46998377501353</v>
      </c>
      <c r="C15" s="101">
        <f t="shared" si="35"/>
        <v>175.75540934960929</v>
      </c>
      <c r="D15" s="101">
        <f t="shared" si="36"/>
        <v>172.04083492420506</v>
      </c>
      <c r="E15" s="101">
        <f t="shared" si="36"/>
        <v>168.32626049880082</v>
      </c>
      <c r="F15" s="101">
        <f t="shared" si="36"/>
        <v>164.61168607339658</v>
      </c>
      <c r="G15" s="101">
        <f t="shared" si="36"/>
        <v>160.89711164799235</v>
      </c>
      <c r="H15" s="101">
        <f t="shared" si="36"/>
        <v>157.18253722258811</v>
      </c>
      <c r="I15" s="101">
        <f t="shared" si="36"/>
        <v>153.46796279718387</v>
      </c>
      <c r="J15" s="101">
        <f t="shared" si="36"/>
        <v>149.75338837177964</v>
      </c>
      <c r="K15" s="101">
        <f t="shared" si="36"/>
        <v>146.0388139463754</v>
      </c>
      <c r="L15" s="101">
        <f t="shared" si="36"/>
        <v>142.32423952097116</v>
      </c>
      <c r="M15" s="101">
        <f t="shared" si="36"/>
        <v>138.60966509556692</v>
      </c>
      <c r="N15" s="101">
        <f t="shared" si="36"/>
        <v>134.89509067016269</v>
      </c>
      <c r="O15" s="101">
        <f t="shared" si="36"/>
        <v>131.18051624475845</v>
      </c>
      <c r="P15" s="101">
        <f t="shared" si="36"/>
        <v>127.46594181935421</v>
      </c>
      <c r="Q15" s="101">
        <f t="shared" si="36"/>
        <v>123.75136739394998</v>
      </c>
      <c r="R15" s="101">
        <f t="shared" si="36"/>
        <v>120.03679296854574</v>
      </c>
      <c r="S15" s="102">
        <f>S14*E37+S13*E36+S12*E35</f>
        <v>116.32221854314145</v>
      </c>
      <c r="T15" s="101">
        <f t="shared" si="37"/>
        <v>114.03786862651216</v>
      </c>
      <c r="U15" s="101">
        <f t="shared" si="38"/>
        <v>111.75351870988288</v>
      </c>
      <c r="V15" s="101">
        <f t="shared" si="38"/>
        <v>109.4691687932536</v>
      </c>
      <c r="W15" s="101">
        <f t="shared" si="38"/>
        <v>107.18481887662432</v>
      </c>
      <c r="X15" s="101">
        <f t="shared" si="38"/>
        <v>104.90046895999504</v>
      </c>
      <c r="Y15" s="101">
        <f t="shared" si="38"/>
        <v>102.61611904336576</v>
      </c>
      <c r="Z15" s="101">
        <f t="shared" si="38"/>
        <v>100.33176912673648</v>
      </c>
      <c r="AA15" s="101">
        <f t="shared" si="38"/>
        <v>98.047419210107194</v>
      </c>
      <c r="AB15" s="101">
        <f t="shared" si="38"/>
        <v>95.763069293477912</v>
      </c>
      <c r="AC15" s="101">
        <f t="shared" si="38"/>
        <v>93.47871937684863</v>
      </c>
      <c r="AD15" s="101">
        <f t="shared" si="38"/>
        <v>91.194369460219349</v>
      </c>
      <c r="AE15" s="101">
        <f t="shared" si="38"/>
        <v>88.910019543590067</v>
      </c>
      <c r="AF15" s="101">
        <f t="shared" si="38"/>
        <v>86.625669626960786</v>
      </c>
      <c r="AG15" s="101">
        <f t="shared" si="38"/>
        <v>84.341319710331504</v>
      </c>
      <c r="AH15" s="101">
        <f t="shared" si="38"/>
        <v>82.056969793702223</v>
      </c>
      <c r="AI15" s="101">
        <f t="shared" si="38"/>
        <v>79.772619877072941</v>
      </c>
      <c r="AJ15" s="101">
        <f t="shared" si="38"/>
        <v>77.48826996044366</v>
      </c>
      <c r="AK15" s="101">
        <f t="shared" si="38"/>
        <v>75.203920043814378</v>
      </c>
      <c r="AL15" s="101">
        <f t="shared" si="38"/>
        <v>72.919570127185096</v>
      </c>
      <c r="AM15" s="100">
        <f>SUM(Production!C7:C8,Production!C21)/SUM(Production!B7:B8,Production!B21)*1000000</f>
        <v>70.635220210555701</v>
      </c>
      <c r="AN15" s="71"/>
      <c r="AO15" s="71"/>
      <c r="AP15" s="71"/>
      <c r="AQ15" s="9">
        <v>25</v>
      </c>
      <c r="AR15" s="71"/>
      <c r="AS15" s="71">
        <f>AS12*G35+G36*AS13+AS14*G37</f>
        <v>20.421385313587852</v>
      </c>
      <c r="AT15" s="9"/>
      <c r="AU15" s="10">
        <f>SUM(AU12:AU14)</f>
        <v>82085011.416649058</v>
      </c>
    </row>
    <row r="16" spans="1:47" x14ac:dyDescent="0.25">
      <c r="A16" s="4" t="s">
        <v>15</v>
      </c>
      <c r="B16" s="102">
        <f>160*4038/3211</f>
        <v>201.20834630956088</v>
      </c>
      <c r="C16" s="101">
        <f t="shared" si="35"/>
        <v>198.78432593841023</v>
      </c>
      <c r="D16" s="101">
        <f t="shared" si="36"/>
        <v>196.36030556725959</v>
      </c>
      <c r="E16" s="101">
        <f t="shared" si="36"/>
        <v>193.93628519610894</v>
      </c>
      <c r="F16" s="101">
        <f t="shared" si="36"/>
        <v>191.51226482495829</v>
      </c>
      <c r="G16" s="101">
        <f t="shared" si="36"/>
        <v>189.08824445380765</v>
      </c>
      <c r="H16" s="101">
        <f t="shared" si="36"/>
        <v>186.664224082657</v>
      </c>
      <c r="I16" s="101">
        <f t="shared" si="36"/>
        <v>184.24020371150635</v>
      </c>
      <c r="J16" s="101">
        <f t="shared" si="36"/>
        <v>181.81618334035571</v>
      </c>
      <c r="K16" s="101">
        <f t="shared" si="36"/>
        <v>179.39216296920506</v>
      </c>
      <c r="L16" s="101">
        <f t="shared" si="36"/>
        <v>176.96814259805441</v>
      </c>
      <c r="M16" s="101">
        <f t="shared" si="36"/>
        <v>174.54412222690377</v>
      </c>
      <c r="N16" s="101">
        <f t="shared" si="36"/>
        <v>172.12010185575312</v>
      </c>
      <c r="O16" s="101">
        <f t="shared" si="36"/>
        <v>169.69608148460247</v>
      </c>
      <c r="P16" s="101">
        <f t="shared" si="36"/>
        <v>167.27206111345183</v>
      </c>
      <c r="Q16" s="101">
        <f t="shared" si="36"/>
        <v>164.84804074230118</v>
      </c>
      <c r="R16" s="101">
        <f t="shared" si="36"/>
        <v>162.42402037115053</v>
      </c>
      <c r="S16" s="99">
        <v>160</v>
      </c>
      <c r="T16" s="101">
        <f t="shared" si="37"/>
        <v>160</v>
      </c>
      <c r="U16" s="101">
        <f t="shared" si="38"/>
        <v>160</v>
      </c>
      <c r="V16" s="101">
        <f t="shared" si="38"/>
        <v>160</v>
      </c>
      <c r="W16" s="101">
        <f t="shared" si="38"/>
        <v>160</v>
      </c>
      <c r="X16" s="101">
        <f t="shared" si="38"/>
        <v>160</v>
      </c>
      <c r="Y16" s="101">
        <f t="shared" si="38"/>
        <v>160</v>
      </c>
      <c r="Z16" s="101">
        <f t="shared" si="38"/>
        <v>160</v>
      </c>
      <c r="AA16" s="101">
        <f t="shared" si="38"/>
        <v>160</v>
      </c>
      <c r="AB16" s="101">
        <f t="shared" si="38"/>
        <v>160</v>
      </c>
      <c r="AC16" s="101">
        <f t="shared" si="38"/>
        <v>160</v>
      </c>
      <c r="AD16" s="101">
        <f t="shared" si="38"/>
        <v>160</v>
      </c>
      <c r="AE16" s="101">
        <f t="shared" si="38"/>
        <v>160</v>
      </c>
      <c r="AF16" s="101">
        <f t="shared" si="38"/>
        <v>160</v>
      </c>
      <c r="AG16" s="101">
        <f t="shared" si="38"/>
        <v>160</v>
      </c>
      <c r="AH16" s="101">
        <f t="shared" si="38"/>
        <v>160</v>
      </c>
      <c r="AI16" s="101">
        <f t="shared" si="38"/>
        <v>160</v>
      </c>
      <c r="AJ16" s="101">
        <f t="shared" si="38"/>
        <v>160</v>
      </c>
      <c r="AK16" s="101">
        <f t="shared" si="38"/>
        <v>160</v>
      </c>
      <c r="AL16" s="101">
        <f t="shared" si="38"/>
        <v>160</v>
      </c>
      <c r="AM16" s="100">
        <v>160</v>
      </c>
      <c r="AN16" s="71">
        <v>4238</v>
      </c>
      <c r="AO16" s="71">
        <f>AP16*16/AM16</f>
        <v>343.1</v>
      </c>
      <c r="AP16" s="71">
        <v>3431</v>
      </c>
      <c r="AQ16" s="9">
        <v>30</v>
      </c>
      <c r="AR16" s="71">
        <f>AP16/AQ16</f>
        <v>114.36666666666666</v>
      </c>
      <c r="AS16" s="71">
        <v>130</v>
      </c>
      <c r="AT16" s="9"/>
      <c r="AU16" s="10">
        <v>483899.25542237441</v>
      </c>
    </row>
    <row r="17" spans="1:47" s="2" customFormat="1" x14ac:dyDescent="0.25">
      <c r="A17" s="4" t="s">
        <v>18</v>
      </c>
      <c r="B17" s="99">
        <v>58</v>
      </c>
      <c r="C17" s="101">
        <f t="shared" si="35"/>
        <v>58</v>
      </c>
      <c r="D17" s="101">
        <f t="shared" si="36"/>
        <v>58</v>
      </c>
      <c r="E17" s="101">
        <f t="shared" si="36"/>
        <v>58</v>
      </c>
      <c r="F17" s="101">
        <f t="shared" si="36"/>
        <v>58</v>
      </c>
      <c r="G17" s="101">
        <f t="shared" si="36"/>
        <v>58</v>
      </c>
      <c r="H17" s="101">
        <f t="shared" si="36"/>
        <v>58</v>
      </c>
      <c r="I17" s="101">
        <f t="shared" si="36"/>
        <v>58</v>
      </c>
      <c r="J17" s="101">
        <f t="shared" si="36"/>
        <v>58</v>
      </c>
      <c r="K17" s="101">
        <f t="shared" si="36"/>
        <v>58</v>
      </c>
      <c r="L17" s="101">
        <f t="shared" si="36"/>
        <v>58</v>
      </c>
      <c r="M17" s="101">
        <f t="shared" si="36"/>
        <v>58</v>
      </c>
      <c r="N17" s="101">
        <f t="shared" si="36"/>
        <v>58</v>
      </c>
      <c r="O17" s="101">
        <f t="shared" si="36"/>
        <v>58</v>
      </c>
      <c r="P17" s="101">
        <f t="shared" si="36"/>
        <v>58</v>
      </c>
      <c r="Q17" s="101">
        <f t="shared" si="36"/>
        <v>58</v>
      </c>
      <c r="R17" s="101">
        <f t="shared" si="36"/>
        <v>58</v>
      </c>
      <c r="S17" s="99">
        <v>58</v>
      </c>
      <c r="T17" s="101">
        <f t="shared" si="37"/>
        <v>58</v>
      </c>
      <c r="U17" s="101">
        <f t="shared" si="38"/>
        <v>58</v>
      </c>
      <c r="V17" s="101">
        <f t="shared" si="38"/>
        <v>58</v>
      </c>
      <c r="W17" s="101">
        <f t="shared" si="38"/>
        <v>58</v>
      </c>
      <c r="X17" s="101">
        <f t="shared" si="38"/>
        <v>58</v>
      </c>
      <c r="Y17" s="101">
        <f t="shared" si="38"/>
        <v>58</v>
      </c>
      <c r="Z17" s="101">
        <f t="shared" si="38"/>
        <v>58</v>
      </c>
      <c r="AA17" s="101">
        <f t="shared" si="38"/>
        <v>58</v>
      </c>
      <c r="AB17" s="101">
        <f t="shared" si="38"/>
        <v>58</v>
      </c>
      <c r="AC17" s="101">
        <f t="shared" si="38"/>
        <v>58</v>
      </c>
      <c r="AD17" s="101">
        <f t="shared" si="38"/>
        <v>58</v>
      </c>
      <c r="AE17" s="101">
        <f t="shared" si="38"/>
        <v>58</v>
      </c>
      <c r="AF17" s="101">
        <f t="shared" si="38"/>
        <v>58</v>
      </c>
      <c r="AG17" s="101">
        <f t="shared" si="38"/>
        <v>58</v>
      </c>
      <c r="AH17" s="101">
        <f t="shared" si="38"/>
        <v>58</v>
      </c>
      <c r="AI17" s="101">
        <f t="shared" si="38"/>
        <v>58</v>
      </c>
      <c r="AJ17" s="101">
        <f t="shared" si="38"/>
        <v>58</v>
      </c>
      <c r="AK17" s="101">
        <f t="shared" si="38"/>
        <v>58</v>
      </c>
      <c r="AL17" s="101">
        <f t="shared" si="38"/>
        <v>58</v>
      </c>
      <c r="AM17" s="100">
        <v>58</v>
      </c>
      <c r="AN17" s="71">
        <f>AO17</f>
        <v>3550</v>
      </c>
      <c r="AO17" s="71">
        <f>AP17</f>
        <v>3550</v>
      </c>
      <c r="AP17" s="71">
        <v>3550</v>
      </c>
      <c r="AQ17" s="9">
        <v>20</v>
      </c>
      <c r="AR17" s="71">
        <f>AP17/AQ17</f>
        <v>177.5</v>
      </c>
      <c r="AS17" s="71">
        <v>124</v>
      </c>
      <c r="AT17" s="9"/>
      <c r="AU17" s="10"/>
    </row>
    <row r="18" spans="1:47" x14ac:dyDescent="0.25">
      <c r="A18" s="4" t="s">
        <v>155</v>
      </c>
      <c r="B18" s="103">
        <f>S18*3177/2869</f>
        <v>75.410840013942135</v>
      </c>
      <c r="C18" s="101">
        <f t="shared" si="35"/>
        <v>74.980790601357299</v>
      </c>
      <c r="D18" s="101">
        <f t="shared" si="36"/>
        <v>74.550741188772463</v>
      </c>
      <c r="E18" s="101">
        <f t="shared" si="36"/>
        <v>74.120691776187627</v>
      </c>
      <c r="F18" s="101">
        <f t="shared" si="36"/>
        <v>73.690642363602791</v>
      </c>
      <c r="G18" s="101">
        <f t="shared" si="36"/>
        <v>73.260592951017955</v>
      </c>
      <c r="H18" s="101">
        <f t="shared" si="36"/>
        <v>72.830543538433119</v>
      </c>
      <c r="I18" s="101">
        <f t="shared" si="36"/>
        <v>72.400494125848283</v>
      </c>
      <c r="J18" s="101">
        <f t="shared" si="36"/>
        <v>71.970444713263447</v>
      </c>
      <c r="K18" s="101">
        <f t="shared" si="36"/>
        <v>71.540395300678611</v>
      </c>
      <c r="L18" s="101">
        <f t="shared" si="36"/>
        <v>71.110345888093775</v>
      </c>
      <c r="M18" s="101">
        <f t="shared" si="36"/>
        <v>70.680296475508939</v>
      </c>
      <c r="N18" s="101">
        <f t="shared" si="36"/>
        <v>70.250247062924103</v>
      </c>
      <c r="O18" s="101">
        <f t="shared" si="36"/>
        <v>69.820197650339267</v>
      </c>
      <c r="P18" s="101">
        <f t="shared" si="36"/>
        <v>69.390148237754431</v>
      </c>
      <c r="Q18" s="101">
        <f t="shared" si="36"/>
        <v>68.960098825169595</v>
      </c>
      <c r="R18" s="101">
        <f t="shared" si="36"/>
        <v>68.530049412584759</v>
      </c>
      <c r="S18" s="100">
        <f>AM18</f>
        <v>68.099999999999994</v>
      </c>
      <c r="T18" s="101">
        <f t="shared" si="37"/>
        <v>68.099999999999994</v>
      </c>
      <c r="U18" s="101">
        <f t="shared" si="38"/>
        <v>68.099999999999994</v>
      </c>
      <c r="V18" s="101">
        <f t="shared" si="38"/>
        <v>68.099999999999994</v>
      </c>
      <c r="W18" s="101">
        <f t="shared" si="38"/>
        <v>68.099999999999994</v>
      </c>
      <c r="X18" s="101">
        <f t="shared" si="38"/>
        <v>68.099999999999994</v>
      </c>
      <c r="Y18" s="101">
        <f t="shared" si="38"/>
        <v>68.099999999999994</v>
      </c>
      <c r="Z18" s="101">
        <f t="shared" si="38"/>
        <v>68.099999999999994</v>
      </c>
      <c r="AA18" s="101">
        <f t="shared" si="38"/>
        <v>68.099999999999994</v>
      </c>
      <c r="AB18" s="101">
        <f t="shared" si="38"/>
        <v>68.099999999999994</v>
      </c>
      <c r="AC18" s="101">
        <f t="shared" si="38"/>
        <v>68.099999999999994</v>
      </c>
      <c r="AD18" s="101">
        <f t="shared" si="38"/>
        <v>68.099999999999994</v>
      </c>
      <c r="AE18" s="101">
        <f t="shared" si="38"/>
        <v>68.099999999999994</v>
      </c>
      <c r="AF18" s="101">
        <f t="shared" si="38"/>
        <v>68.099999999999994</v>
      </c>
      <c r="AG18" s="101">
        <f t="shared" si="38"/>
        <v>68.099999999999994</v>
      </c>
      <c r="AH18" s="101">
        <f t="shared" si="38"/>
        <v>68.099999999999994</v>
      </c>
      <c r="AI18" s="101">
        <f t="shared" si="38"/>
        <v>68.099999999999994</v>
      </c>
      <c r="AJ18" s="101">
        <f t="shared" si="38"/>
        <v>68.099999999999994</v>
      </c>
      <c r="AK18" s="101">
        <f t="shared" si="38"/>
        <v>68.099999999999994</v>
      </c>
      <c r="AL18" s="101">
        <f t="shared" si="38"/>
        <v>68.099999999999994</v>
      </c>
      <c r="AM18" s="100">
        <v>68.099999999999994</v>
      </c>
      <c r="AN18" s="71">
        <v>3177</v>
      </c>
      <c r="AO18" s="71">
        <v>2869</v>
      </c>
      <c r="AP18" s="71">
        <v>2869</v>
      </c>
      <c r="AQ18" s="9">
        <v>30</v>
      </c>
      <c r="AR18" s="71">
        <f>AP18/AQ18</f>
        <v>95.63333333333334</v>
      </c>
      <c r="AS18" s="71">
        <f>AP18*0.015</f>
        <v>43.034999999999997</v>
      </c>
      <c r="AT18" s="9"/>
      <c r="AU18" s="10"/>
    </row>
    <row r="19" spans="1:47" x14ac:dyDescent="0.25">
      <c r="A19" s="4"/>
      <c r="B19" s="103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0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0"/>
      <c r="AN19" s="71"/>
      <c r="AO19" s="71"/>
      <c r="AP19" s="71"/>
      <c r="AQ19" s="9"/>
      <c r="AR19" s="71"/>
      <c r="AS19" s="71"/>
      <c r="AT19" s="9"/>
      <c r="AU19" s="10"/>
    </row>
    <row r="20" spans="1:47" ht="15.75" thickBot="1" x14ac:dyDescent="0.3">
      <c r="A20" s="8" t="s">
        <v>177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11"/>
      <c r="AN20" s="11"/>
      <c r="AO20" s="11"/>
      <c r="AP20" s="11"/>
      <c r="AQ20" s="11"/>
      <c r="AR20" s="11"/>
      <c r="AS20" s="11"/>
      <c r="AT20" s="11"/>
      <c r="AU20" s="12"/>
    </row>
    <row r="21" spans="1:47" x14ac:dyDescent="0.25">
      <c r="A21" s="4" t="s">
        <v>75</v>
      </c>
      <c r="B21" s="102">
        <f>120*850/700</f>
        <v>145.71428571428572</v>
      </c>
      <c r="C21" s="101">
        <f>B21+($S21-$B21)/(2030-2013)</f>
        <v>144.20168067226891</v>
      </c>
      <c r="D21" s="101">
        <f t="shared" ref="D21:R22" si="39">C21+($S21-$B21)/(2030-2013)</f>
        <v>142.68907563025209</v>
      </c>
      <c r="E21" s="101">
        <f t="shared" si="39"/>
        <v>141.17647058823528</v>
      </c>
      <c r="F21" s="101">
        <f t="shared" si="39"/>
        <v>139.66386554621846</v>
      </c>
      <c r="G21" s="101">
        <f t="shared" si="39"/>
        <v>138.15126050420164</v>
      </c>
      <c r="H21" s="101">
        <f t="shared" si="39"/>
        <v>136.63865546218483</v>
      </c>
      <c r="I21" s="101">
        <f t="shared" si="39"/>
        <v>135.12605042016801</v>
      </c>
      <c r="J21" s="101">
        <f t="shared" si="39"/>
        <v>133.6134453781512</v>
      </c>
      <c r="K21" s="101">
        <f t="shared" si="39"/>
        <v>132.10084033613438</v>
      </c>
      <c r="L21" s="101">
        <f t="shared" si="39"/>
        <v>130.58823529411757</v>
      </c>
      <c r="M21" s="101">
        <f t="shared" si="39"/>
        <v>129.07563025210075</v>
      </c>
      <c r="N21" s="101">
        <f t="shared" si="39"/>
        <v>127.56302521008395</v>
      </c>
      <c r="O21" s="101">
        <f t="shared" si="39"/>
        <v>126.05042016806715</v>
      </c>
      <c r="P21" s="101">
        <f t="shared" si="39"/>
        <v>124.53781512605035</v>
      </c>
      <c r="Q21" s="101">
        <f t="shared" si="39"/>
        <v>123.02521008403355</v>
      </c>
      <c r="R21" s="101">
        <f t="shared" si="39"/>
        <v>121.51260504201674</v>
      </c>
      <c r="S21" s="99">
        <v>120</v>
      </c>
      <c r="T21" s="101">
        <f>S21+($AM21-$S21)/(2050-2030)</f>
        <v>120</v>
      </c>
      <c r="U21" s="101">
        <f t="shared" ref="U21:AL22" si="40">T21+($AM21-$S21)/(2050-2030)</f>
        <v>120</v>
      </c>
      <c r="V21" s="101">
        <f t="shared" si="40"/>
        <v>120</v>
      </c>
      <c r="W21" s="101">
        <f t="shared" si="40"/>
        <v>120</v>
      </c>
      <c r="X21" s="101">
        <f t="shared" si="40"/>
        <v>120</v>
      </c>
      <c r="Y21" s="101">
        <f t="shared" si="40"/>
        <v>120</v>
      </c>
      <c r="Z21" s="101">
        <f t="shared" si="40"/>
        <v>120</v>
      </c>
      <c r="AA21" s="101">
        <f t="shared" si="40"/>
        <v>120</v>
      </c>
      <c r="AB21" s="101">
        <f t="shared" si="40"/>
        <v>120</v>
      </c>
      <c r="AC21" s="101">
        <f t="shared" si="40"/>
        <v>120</v>
      </c>
      <c r="AD21" s="101">
        <f t="shared" si="40"/>
        <v>120</v>
      </c>
      <c r="AE21" s="101">
        <f t="shared" si="40"/>
        <v>120</v>
      </c>
      <c r="AF21" s="101">
        <f t="shared" si="40"/>
        <v>120</v>
      </c>
      <c r="AG21" s="101">
        <f t="shared" si="40"/>
        <v>120</v>
      </c>
      <c r="AH21" s="101">
        <f t="shared" si="40"/>
        <v>120</v>
      </c>
      <c r="AI21" s="101">
        <f t="shared" si="40"/>
        <v>120</v>
      </c>
      <c r="AJ21" s="101">
        <f t="shared" si="40"/>
        <v>120</v>
      </c>
      <c r="AK21" s="101">
        <f t="shared" si="40"/>
        <v>120</v>
      </c>
      <c r="AL21" s="101">
        <f t="shared" si="40"/>
        <v>120</v>
      </c>
      <c r="AM21" s="100">
        <v>120</v>
      </c>
      <c r="AN21" s="71"/>
      <c r="AO21" s="71"/>
      <c r="AP21" s="71">
        <v>692</v>
      </c>
      <c r="AQ21" s="9">
        <v>30</v>
      </c>
      <c r="AR21" s="71">
        <f>AP21/AQ21</f>
        <v>23.066666666666666</v>
      </c>
      <c r="AS21" s="71">
        <v>24</v>
      </c>
      <c r="AT21" s="9">
        <v>10</v>
      </c>
      <c r="AU21" s="10"/>
    </row>
    <row r="22" spans="1:47" x14ac:dyDescent="0.25">
      <c r="A22" s="4" t="s">
        <v>71</v>
      </c>
      <c r="B22" s="102">
        <f>180*700/610</f>
        <v>206.55737704918033</v>
      </c>
      <c r="C22" s="101">
        <f>B22+($S22-$B22)/(2030-2013)</f>
        <v>204.99517839922854</v>
      </c>
      <c r="D22" s="101">
        <f t="shared" si="39"/>
        <v>203.43297974927674</v>
      </c>
      <c r="E22" s="101">
        <f t="shared" si="39"/>
        <v>201.87078109932494</v>
      </c>
      <c r="F22" s="101">
        <f t="shared" si="39"/>
        <v>200.30858244937315</v>
      </c>
      <c r="G22" s="101">
        <f t="shared" si="39"/>
        <v>198.74638379942135</v>
      </c>
      <c r="H22" s="101">
        <f t="shared" si="39"/>
        <v>197.18418514946956</v>
      </c>
      <c r="I22" s="101">
        <f t="shared" si="39"/>
        <v>195.62198649951776</v>
      </c>
      <c r="J22" s="101">
        <f t="shared" si="39"/>
        <v>194.05978784956596</v>
      </c>
      <c r="K22" s="101">
        <f t="shared" si="39"/>
        <v>192.49758919961417</v>
      </c>
      <c r="L22" s="101">
        <f t="shared" si="39"/>
        <v>190.93539054966237</v>
      </c>
      <c r="M22" s="101">
        <f t="shared" si="39"/>
        <v>189.37319189971058</v>
      </c>
      <c r="N22" s="101">
        <f t="shared" si="39"/>
        <v>187.81099324975878</v>
      </c>
      <c r="O22" s="101">
        <f t="shared" si="39"/>
        <v>186.24879459980698</v>
      </c>
      <c r="P22" s="101">
        <f t="shared" si="39"/>
        <v>184.68659594985519</v>
      </c>
      <c r="Q22" s="101">
        <f t="shared" si="39"/>
        <v>183.12439729990339</v>
      </c>
      <c r="R22" s="101">
        <f t="shared" si="39"/>
        <v>181.5621986499516</v>
      </c>
      <c r="S22" s="99">
        <v>180</v>
      </c>
      <c r="T22" s="101">
        <f>S22+($AM22-$S22)/(2050-2030)</f>
        <v>180</v>
      </c>
      <c r="U22" s="101">
        <f t="shared" si="40"/>
        <v>180</v>
      </c>
      <c r="V22" s="101">
        <f t="shared" si="40"/>
        <v>180</v>
      </c>
      <c r="W22" s="101">
        <f t="shared" si="40"/>
        <v>180</v>
      </c>
      <c r="X22" s="101">
        <f t="shared" si="40"/>
        <v>180</v>
      </c>
      <c r="Y22" s="101">
        <f t="shared" si="40"/>
        <v>180</v>
      </c>
      <c r="Z22" s="101">
        <f t="shared" si="40"/>
        <v>180</v>
      </c>
      <c r="AA22" s="101">
        <f t="shared" si="40"/>
        <v>180</v>
      </c>
      <c r="AB22" s="101">
        <f t="shared" si="40"/>
        <v>180</v>
      </c>
      <c r="AC22" s="101">
        <f t="shared" si="40"/>
        <v>180</v>
      </c>
      <c r="AD22" s="101">
        <f t="shared" si="40"/>
        <v>180</v>
      </c>
      <c r="AE22" s="101">
        <f t="shared" si="40"/>
        <v>180</v>
      </c>
      <c r="AF22" s="101">
        <f t="shared" si="40"/>
        <v>180</v>
      </c>
      <c r="AG22" s="101">
        <f t="shared" si="40"/>
        <v>180</v>
      </c>
      <c r="AH22" s="101">
        <f t="shared" si="40"/>
        <v>180</v>
      </c>
      <c r="AI22" s="101">
        <f t="shared" si="40"/>
        <v>180</v>
      </c>
      <c r="AJ22" s="101">
        <f t="shared" si="40"/>
        <v>180</v>
      </c>
      <c r="AK22" s="101">
        <f t="shared" si="40"/>
        <v>180</v>
      </c>
      <c r="AL22" s="101">
        <f t="shared" si="40"/>
        <v>180</v>
      </c>
      <c r="AM22" s="100">
        <v>180</v>
      </c>
      <c r="AN22" s="71"/>
      <c r="AO22" s="71"/>
      <c r="AP22" s="71">
        <v>615</v>
      </c>
      <c r="AQ22" s="9">
        <v>30</v>
      </c>
      <c r="AR22" s="71">
        <f>AP22/AQ22</f>
        <v>20.5</v>
      </c>
      <c r="AS22" s="71">
        <v>22</v>
      </c>
      <c r="AT22" s="9">
        <v>15</v>
      </c>
      <c r="AU22" s="10"/>
    </row>
    <row r="23" spans="1:47" x14ac:dyDescent="0.25">
      <c r="A23" s="4"/>
      <c r="B23" s="102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99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0"/>
      <c r="AN23" s="71"/>
      <c r="AO23" s="71"/>
      <c r="AP23" s="71"/>
      <c r="AQ23" s="9"/>
      <c r="AR23" s="71"/>
      <c r="AS23" s="71"/>
      <c r="AT23" s="9"/>
      <c r="AU23" s="10"/>
    </row>
    <row r="24" spans="1:47" ht="15.75" thickBot="1" x14ac:dyDescent="0.3">
      <c r="A24" s="8" t="s">
        <v>126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11"/>
      <c r="AN24" s="11"/>
      <c r="AO24" s="11"/>
      <c r="AP24" s="11"/>
      <c r="AQ24" s="11"/>
      <c r="AR24" s="11"/>
      <c r="AS24" s="11"/>
      <c r="AT24" s="11"/>
      <c r="AU24" s="12"/>
    </row>
    <row r="25" spans="1:47" x14ac:dyDescent="0.25">
      <c r="A25" s="4" t="s">
        <v>16</v>
      </c>
      <c r="B25" s="99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100"/>
      <c r="AN25" s="71">
        <f>3077-((3077-2769)/10*3)</f>
        <v>2984.6</v>
      </c>
      <c r="AO25" s="71">
        <f>AP25</f>
        <v>1140</v>
      </c>
      <c r="AP25" s="71">
        <v>1140</v>
      </c>
      <c r="AQ25" s="9">
        <v>40</v>
      </c>
      <c r="AR25" s="71">
        <f>AP25/AQ25</f>
        <v>28.5</v>
      </c>
      <c r="AS25" s="71">
        <v>14.8</v>
      </c>
      <c r="AT25" s="9"/>
      <c r="AU25" s="10"/>
    </row>
    <row r="26" spans="1:47" x14ac:dyDescent="0.25">
      <c r="A26" s="4" t="s">
        <v>17</v>
      </c>
      <c r="B26" s="9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00"/>
      <c r="AN26" s="71"/>
      <c r="AO26" s="71">
        <f>AP26</f>
        <v>2080</v>
      </c>
      <c r="AP26" s="71">
        <v>2080</v>
      </c>
      <c r="AQ26" s="9">
        <v>40</v>
      </c>
      <c r="AR26" s="71">
        <f>AP26/AQ26</f>
        <v>52</v>
      </c>
      <c r="AS26" s="71">
        <v>14.8</v>
      </c>
      <c r="AT26" s="9"/>
      <c r="AU26" s="10"/>
    </row>
    <row r="27" spans="1:47" x14ac:dyDescent="0.25">
      <c r="A27" s="4" t="s">
        <v>28</v>
      </c>
      <c r="B27" s="99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100"/>
      <c r="AN27" s="71">
        <v>900</v>
      </c>
      <c r="AO27" s="71">
        <v>805</v>
      </c>
      <c r="AP27" s="71">
        <v>753</v>
      </c>
      <c r="AQ27" s="9">
        <v>20</v>
      </c>
      <c r="AR27" s="71">
        <v>48</v>
      </c>
      <c r="AS27" s="71">
        <v>14</v>
      </c>
      <c r="AT27" s="9"/>
      <c r="AU27" s="10"/>
    </row>
    <row r="28" spans="1:47" x14ac:dyDescent="0.25">
      <c r="A28" s="4" t="s">
        <v>29</v>
      </c>
      <c r="B28" s="99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100"/>
      <c r="AN28" s="71">
        <f>AN27*AO28/AO27</f>
        <v>836.65338645418331</v>
      </c>
      <c r="AO28" s="71">
        <f>AO27*AP28/AP27</f>
        <v>748.33997343957503</v>
      </c>
      <c r="AP28" s="71">
        <v>700</v>
      </c>
      <c r="AQ28" s="9">
        <v>35</v>
      </c>
      <c r="AR28" s="71">
        <v>42</v>
      </c>
      <c r="AS28" s="71">
        <v>52</v>
      </c>
      <c r="AT28" s="9"/>
      <c r="AU28" s="10"/>
    </row>
    <row r="29" spans="1:47" ht="15.75" thickBot="1" x14ac:dyDescent="0.3">
      <c r="A29" s="8" t="s">
        <v>154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11"/>
      <c r="AN29" s="11"/>
      <c r="AO29" s="11"/>
      <c r="AP29" s="11"/>
      <c r="AQ29" s="11"/>
      <c r="AR29" s="11"/>
      <c r="AS29" s="11"/>
      <c r="AT29" s="11"/>
      <c r="AU29" s="12"/>
    </row>
    <row r="30" spans="1:47" x14ac:dyDescent="0.25">
      <c r="A30" s="4" t="s">
        <v>147</v>
      </c>
      <c r="B30" s="99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100"/>
      <c r="AN30" s="71"/>
      <c r="AO30" s="71"/>
      <c r="AP30" s="71">
        <v>1336</v>
      </c>
      <c r="AQ30" s="9">
        <v>16</v>
      </c>
      <c r="AR30" s="71">
        <v>119</v>
      </c>
      <c r="AS30" s="71">
        <v>15</v>
      </c>
      <c r="AT30" s="9"/>
      <c r="AU30" s="10"/>
    </row>
    <row r="33" spans="1:7" x14ac:dyDescent="0.25">
      <c r="A33" t="s">
        <v>179</v>
      </c>
      <c r="B33" s="171">
        <v>2013</v>
      </c>
      <c r="C33" s="171"/>
      <c r="D33" s="171">
        <v>2030</v>
      </c>
      <c r="E33" s="171"/>
      <c r="F33" s="171">
        <v>2050</v>
      </c>
      <c r="G33" s="171"/>
    </row>
    <row r="34" spans="1:7" x14ac:dyDescent="0.25">
      <c r="B34" s="86" t="s">
        <v>180</v>
      </c>
      <c r="C34" s="86" t="s">
        <v>181</v>
      </c>
      <c r="D34" s="86" t="s">
        <v>180</v>
      </c>
      <c r="E34" s="86" t="s">
        <v>181</v>
      </c>
      <c r="F34" s="86" t="s">
        <v>180</v>
      </c>
      <c r="G34" s="86" t="s">
        <v>181</v>
      </c>
    </row>
    <row r="35" spans="1:7" x14ac:dyDescent="0.25">
      <c r="A35" t="s">
        <v>62</v>
      </c>
      <c r="B35" s="80">
        <v>6245000</v>
      </c>
      <c r="C35" s="81">
        <f>B35/B$38</f>
        <v>0.67550027041644134</v>
      </c>
      <c r="D35" s="80"/>
      <c r="E35" s="81">
        <f>(C35+G35)/2</f>
        <v>0.65106893227789453</v>
      </c>
      <c r="F35" s="80">
        <f>Production!B8</f>
        <v>51437166.159899898</v>
      </c>
      <c r="G35" s="81">
        <f>F35/F$38</f>
        <v>0.62663759413934772</v>
      </c>
    </row>
    <row r="36" spans="1:7" x14ac:dyDescent="0.25">
      <c r="A36" t="s">
        <v>61</v>
      </c>
      <c r="B36" s="80">
        <v>3000000</v>
      </c>
      <c r="C36" s="81">
        <f>B36/B$38</f>
        <v>0.32449972958355866</v>
      </c>
      <c r="D36" s="80"/>
      <c r="E36" s="81">
        <f>(C36+G36)/2</f>
        <v>0.34590511408480451</v>
      </c>
      <c r="F36" s="80">
        <f>Production!B7</f>
        <v>30150459.092700001</v>
      </c>
      <c r="G36" s="81">
        <f>F36/F$38</f>
        <v>0.36731049858605042</v>
      </c>
    </row>
    <row r="37" spans="1:7" x14ac:dyDescent="0.25">
      <c r="A37" t="s">
        <v>74</v>
      </c>
      <c r="B37" s="80">
        <v>0</v>
      </c>
      <c r="C37" s="81">
        <f>B37/B$38</f>
        <v>0</v>
      </c>
      <c r="D37" s="80"/>
      <c r="E37" s="81">
        <f>(C37+G37)/2</f>
        <v>3.0259536373009269E-3</v>
      </c>
      <c r="F37" s="80">
        <f>Production!B21</f>
        <v>496767.13140000199</v>
      </c>
      <c r="G37" s="81">
        <f>F37/F$38</f>
        <v>6.0519072746018539E-3</v>
      </c>
    </row>
    <row r="38" spans="1:7" x14ac:dyDescent="0.25">
      <c r="A38" t="s">
        <v>182</v>
      </c>
      <c r="B38" s="80">
        <f>SUM(B35:B37)</f>
        <v>9245000</v>
      </c>
      <c r="D38" s="80">
        <f>SUM(D35:D37)</f>
        <v>0</v>
      </c>
      <c r="F38" s="80">
        <f>SUM(F35:F37)</f>
        <v>82084392.383999899</v>
      </c>
    </row>
  </sheetData>
  <mergeCells count="3">
    <mergeCell ref="B33:C33"/>
    <mergeCell ref="D33:E33"/>
    <mergeCell ref="F33:G33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2"/>
  <sheetViews>
    <sheetView topLeftCell="A28" workbookViewId="0">
      <selection activeCell="B43" sqref="B43"/>
    </sheetView>
  </sheetViews>
  <sheetFormatPr baseColWidth="10" defaultColWidth="9.140625" defaultRowHeight="15" x14ac:dyDescent="0.25"/>
  <cols>
    <col min="1" max="1" width="58" bestFit="1" customWidth="1"/>
    <col min="2" max="2" width="15.85546875" bestFit="1" customWidth="1"/>
    <col min="3" max="3" width="18.5703125" bestFit="1" customWidth="1"/>
    <col min="4" max="4" width="17.140625" customWidth="1"/>
    <col min="5" max="5" width="18.5703125" bestFit="1" customWidth="1"/>
    <col min="6" max="6" width="17.140625" customWidth="1"/>
    <col min="7" max="7" width="18.5703125" bestFit="1" customWidth="1"/>
    <col min="8" max="8" width="17.140625" customWidth="1"/>
    <col min="9" max="9" width="18.5703125" bestFit="1" customWidth="1"/>
  </cols>
  <sheetData>
    <row r="1" spans="1:8" x14ac:dyDescent="0.25">
      <c r="A1" t="s">
        <v>118</v>
      </c>
      <c r="B1" s="44" t="s">
        <v>56</v>
      </c>
      <c r="C1" s="44" t="s">
        <v>145</v>
      </c>
      <c r="F1" t="s">
        <v>190</v>
      </c>
      <c r="G1" t="s">
        <v>191</v>
      </c>
      <c r="H1" t="s">
        <v>192</v>
      </c>
    </row>
    <row r="2" spans="1:8" x14ac:dyDescent="0.25">
      <c r="A2" s="75" t="s">
        <v>57</v>
      </c>
      <c r="B2" s="121">
        <v>3000</v>
      </c>
      <c r="C2" s="85">
        <f>B2*(LCOE!$AR$3+LCOE!$AS$3)/1000000</f>
        <v>0.70008000000000004</v>
      </c>
      <c r="D2" s="88">
        <f>C2*1000</f>
        <v>700.08</v>
      </c>
      <c r="F2" s="122">
        <v>3000</v>
      </c>
      <c r="G2" s="122">
        <v>3000</v>
      </c>
      <c r="H2" s="122">
        <v>3000</v>
      </c>
    </row>
    <row r="3" spans="1:8" x14ac:dyDescent="0.25">
      <c r="A3" s="75" t="s">
        <v>58</v>
      </c>
      <c r="B3" s="121">
        <v>16819.071381625599</v>
      </c>
      <c r="C3" s="85">
        <f>B3*(LCOE!$AR$22+LCOE!$AS$22)/1000000</f>
        <v>0.71481053371908798</v>
      </c>
      <c r="D3" s="88">
        <f t="shared" ref="D3:D25" si="0">C3*1000</f>
        <v>714.81053371908797</v>
      </c>
      <c r="F3" s="122">
        <v>8849.2313018426594</v>
      </c>
      <c r="G3" s="122">
        <v>1.0081246999999599E-3</v>
      </c>
      <c r="H3" s="122">
        <v>1.5049210999999901E-3</v>
      </c>
    </row>
    <row r="4" spans="1:8" x14ac:dyDescent="0.25">
      <c r="A4" s="75" t="s">
        <v>21</v>
      </c>
      <c r="B4" s="121">
        <v>429</v>
      </c>
      <c r="C4" s="85">
        <f>B4*(LCOE!$AR$4+LCOE!$AS$4)/1000000</f>
        <v>0.15423408</v>
      </c>
      <c r="D4" s="88">
        <f t="shared" si="0"/>
        <v>154.23408000000001</v>
      </c>
      <c r="F4" s="122">
        <v>429</v>
      </c>
      <c r="G4" s="122">
        <v>429</v>
      </c>
      <c r="H4" s="122">
        <v>429</v>
      </c>
    </row>
    <row r="5" spans="1:8" x14ac:dyDescent="0.25">
      <c r="A5" s="75" t="s">
        <v>59</v>
      </c>
      <c r="B5" s="121">
        <f>14022/2</f>
        <v>7011</v>
      </c>
      <c r="C5" s="85">
        <f>7000*(LCOE!$AR$25+LCOE!$AS$25)/1000000+('Capacités installées'!B5-7000)*(LCOE!$AR$26+LCOE!$AS$26)/1000000</f>
        <v>0.30383479999999996</v>
      </c>
      <c r="D5" s="88">
        <f t="shared" si="0"/>
        <v>303.83479999999997</v>
      </c>
      <c r="F5" s="122">
        <v>7000.0001000000002</v>
      </c>
      <c r="G5" s="122">
        <v>7000</v>
      </c>
      <c r="H5" s="122">
        <v>7000</v>
      </c>
    </row>
    <row r="6" spans="1:8" x14ac:dyDescent="0.25">
      <c r="A6" s="75" t="s">
        <v>60</v>
      </c>
      <c r="B6" s="121">
        <v>209.69763138799701</v>
      </c>
      <c r="C6" s="85">
        <f>B6*(LCOE!$AR$30+LCOE!$AS$30)/1000000</f>
        <v>2.8099482605991599E-2</v>
      </c>
      <c r="D6" s="88">
        <f t="shared" si="0"/>
        <v>28.0994826059916</v>
      </c>
      <c r="F6" s="122">
        <v>122.764120162702</v>
      </c>
      <c r="G6" s="122">
        <v>82.643518525497498</v>
      </c>
      <c r="H6" s="122">
        <v>204.95725567660099</v>
      </c>
    </row>
    <row r="7" spans="1:8" x14ac:dyDescent="0.25">
      <c r="A7" s="75" t="s">
        <v>61</v>
      </c>
      <c r="B7" s="121">
        <v>25449.739999999299</v>
      </c>
      <c r="C7" s="85">
        <f>B7*(LCOE!$AR$13+LCOE!$AS$13)/1000000</f>
        <v>1.5412362543999576</v>
      </c>
      <c r="D7" s="88">
        <f t="shared" si="0"/>
        <v>1541.2362543999575</v>
      </c>
      <c r="F7" s="122">
        <v>22438.450000000401</v>
      </c>
      <c r="G7" s="122">
        <v>18688.449999999699</v>
      </c>
      <c r="H7" s="122">
        <v>18215</v>
      </c>
    </row>
    <row r="8" spans="1:8" x14ac:dyDescent="0.25">
      <c r="A8" s="75" t="s">
        <v>62</v>
      </c>
      <c r="B8" s="121">
        <v>37642.660000000498</v>
      </c>
      <c r="C8" s="85">
        <f>B8*(LCOE!$AR$12+LCOE!$AS$12)/1000000</f>
        <v>2.4392443680000322</v>
      </c>
      <c r="D8" s="88">
        <f t="shared" si="0"/>
        <v>2439.2443680000324</v>
      </c>
      <c r="F8" s="122">
        <v>35235.947999999597</v>
      </c>
      <c r="G8" s="122">
        <v>22552.5449999999</v>
      </c>
      <c r="H8" s="122">
        <v>2360</v>
      </c>
    </row>
    <row r="9" spans="1:8" x14ac:dyDescent="0.25">
      <c r="A9" s="75" t="s">
        <v>63</v>
      </c>
      <c r="B9" s="121">
        <v>73574.577001264901</v>
      </c>
      <c r="C9" s="85">
        <f>B9*(LCOE!$AR$6+LCOE!$AS$6)/1000000</f>
        <v>7.813620077534333</v>
      </c>
      <c r="D9" s="88">
        <f t="shared" si="0"/>
        <v>7813.6200775343332</v>
      </c>
      <c r="F9" s="122">
        <v>63553.297000903403</v>
      </c>
      <c r="G9" s="122">
        <v>45685.655000177401</v>
      </c>
      <c r="H9" s="122">
        <v>7250.5380003357805</v>
      </c>
    </row>
    <row r="10" spans="1:8" x14ac:dyDescent="0.25">
      <c r="A10" s="75" t="s">
        <v>64</v>
      </c>
      <c r="B10" s="121">
        <v>22923.240372687102</v>
      </c>
      <c r="C10" s="85">
        <f>B10*(LCOE!$AR$7+LCOE!$AS$7)/1000000</f>
        <v>3.1507993892258419</v>
      </c>
      <c r="D10" s="88">
        <f t="shared" si="0"/>
        <v>3150.7993892258419</v>
      </c>
      <c r="F10" s="122">
        <v>21028.3553165823</v>
      </c>
      <c r="G10" s="122">
        <v>21000.000010841399</v>
      </c>
      <c r="H10" s="122">
        <v>7167.73000844135</v>
      </c>
    </row>
    <row r="11" spans="1:8" x14ac:dyDescent="0.25">
      <c r="A11" s="75" t="s">
        <v>65</v>
      </c>
      <c r="B11" s="121">
        <v>9976.0000065744098</v>
      </c>
      <c r="C11" s="85">
        <f>B11*(LCOE!$AR$9+LCOE!$AS$9)/1000000</f>
        <v>2.6182012017254537</v>
      </c>
      <c r="D11" s="88">
        <f t="shared" si="0"/>
        <v>2618.2012017254538</v>
      </c>
      <c r="F11" s="122">
        <v>7841.8650031098396</v>
      </c>
      <c r="G11" s="122">
        <v>3720.0000001032799</v>
      </c>
      <c r="H11" s="122">
        <v>2820.0000001314402</v>
      </c>
    </row>
    <row r="12" spans="1:8" x14ac:dyDescent="0.25">
      <c r="A12" s="75" t="s">
        <v>15</v>
      </c>
      <c r="B12" s="121">
        <v>240</v>
      </c>
      <c r="C12" s="85">
        <f>B12*(LCOE!$AR$16+LCOE!$AS$16)/1000000</f>
        <v>5.8647999999999999E-2</v>
      </c>
      <c r="D12" s="88">
        <f t="shared" si="0"/>
        <v>58.647999999999996</v>
      </c>
      <c r="F12" s="122">
        <v>240</v>
      </c>
      <c r="G12" s="122">
        <v>240</v>
      </c>
      <c r="H12" s="122">
        <v>240</v>
      </c>
    </row>
    <row r="13" spans="1:8" x14ac:dyDescent="0.25">
      <c r="A13" s="75" t="s">
        <v>66</v>
      </c>
      <c r="B13" s="121">
        <v>1.89601199999967E-5</v>
      </c>
      <c r="C13" s="85" t="e">
        <f>B13*(LCOE!#REF!+LCOE!#REF!)/1000000</f>
        <v>#REF!</v>
      </c>
      <c r="D13" s="88" t="e">
        <f t="shared" si="0"/>
        <v>#REF!</v>
      </c>
      <c r="F13" s="122">
        <v>7.8711799999994702E-6</v>
      </c>
      <c r="G13" s="122">
        <v>1.79947499999999E-7</v>
      </c>
      <c r="H13" s="122">
        <v>1.5565920000000099E-7</v>
      </c>
    </row>
    <row r="14" spans="1:8" x14ac:dyDescent="0.25">
      <c r="A14" s="26" t="s">
        <v>67</v>
      </c>
      <c r="B14" s="121">
        <v>8.9725211000014198E-7</v>
      </c>
      <c r="C14" s="85"/>
      <c r="D14" s="88">
        <f t="shared" si="0"/>
        <v>0</v>
      </c>
      <c r="F14" s="122">
        <v>1.91153499999999E-3</v>
      </c>
      <c r="G14" s="122">
        <v>7144.7567738158796</v>
      </c>
      <c r="H14" s="122">
        <v>36499.420382710297</v>
      </c>
    </row>
    <row r="15" spans="1:8" x14ac:dyDescent="0.25">
      <c r="A15" s="75" t="s">
        <v>68</v>
      </c>
      <c r="B15" s="121">
        <v>4.1199200000001201E-6</v>
      </c>
      <c r="C15" s="85" t="e">
        <f>B15*(LCOE!#REF!+LCOE!#REF!)/1000000</f>
        <v>#REF!</v>
      </c>
      <c r="D15" s="88" t="e">
        <f t="shared" si="0"/>
        <v>#REF!</v>
      </c>
      <c r="F15" s="122">
        <v>2.2880199999999802E-6</v>
      </c>
      <c r="G15" s="122">
        <v>5.1735999999995997E-8</v>
      </c>
      <c r="H15" s="122">
        <v>2.4674659999997301E-7</v>
      </c>
    </row>
    <row r="16" spans="1:8" x14ac:dyDescent="0.25">
      <c r="A16" t="s">
        <v>69</v>
      </c>
      <c r="B16" s="121">
        <v>13208</v>
      </c>
      <c r="C16" s="85">
        <f>B16*(LCOE!$AR$18+LCOE!$AS$18)/1000000</f>
        <v>1.8315313466666669</v>
      </c>
      <c r="D16" s="88">
        <f t="shared" si="0"/>
        <v>1831.5313466666669</v>
      </c>
      <c r="F16" s="122">
        <v>13208</v>
      </c>
      <c r="G16" s="122">
        <v>13208</v>
      </c>
      <c r="H16" s="122">
        <v>13208</v>
      </c>
    </row>
    <row r="17" spans="1:8" x14ac:dyDescent="0.25">
      <c r="A17" t="s">
        <v>70</v>
      </c>
      <c r="B17" s="121">
        <v>7628</v>
      </c>
      <c r="C17" s="85" t="e">
        <f>B17*(LCOE!#REF!+LCOE!#REF!)/1000000</f>
        <v>#REF!</v>
      </c>
      <c r="D17" s="88" t="e">
        <f t="shared" si="0"/>
        <v>#REF!</v>
      </c>
      <c r="F17" s="122">
        <v>7628</v>
      </c>
      <c r="G17" s="122">
        <v>7628</v>
      </c>
      <c r="H17" s="122">
        <v>7628</v>
      </c>
    </row>
    <row r="18" spans="1:8" x14ac:dyDescent="0.25">
      <c r="A18" s="75" t="s">
        <v>18</v>
      </c>
      <c r="B18" s="121">
        <v>135</v>
      </c>
      <c r="C18" s="85">
        <f>B18*(LCOE!$AR$17+LCOE!$AS$17)/1000000</f>
        <v>4.0702500000000003E-2</v>
      </c>
      <c r="D18" s="88">
        <f t="shared" si="0"/>
        <v>40.702500000000001</v>
      </c>
      <c r="F18" s="122">
        <v>135</v>
      </c>
      <c r="G18" s="122">
        <v>135</v>
      </c>
      <c r="H18" s="122">
        <v>135</v>
      </c>
    </row>
    <row r="19" spans="1:8" x14ac:dyDescent="0.25">
      <c r="A19" s="75" t="s">
        <v>71</v>
      </c>
      <c r="B19" s="121">
        <v>8.9725211000014198E-7</v>
      </c>
      <c r="C19" s="85">
        <f>B19*(LCOE!$AR$22+LCOE!$AS$22)/1000000</f>
        <v>3.8133214675006033E-11</v>
      </c>
      <c r="D19" s="88">
        <f t="shared" si="0"/>
        <v>3.8133214675006032E-8</v>
      </c>
      <c r="F19" s="122">
        <v>6.5839890000001997E-3</v>
      </c>
      <c r="G19" s="122">
        <v>7.9098850000001596E-4</v>
      </c>
      <c r="H19" s="122">
        <v>1869.8842267923801</v>
      </c>
    </row>
    <row r="20" spans="1:8" x14ac:dyDescent="0.25">
      <c r="A20" s="75" t="s">
        <v>72</v>
      </c>
      <c r="B20" s="121">
        <v>9.2563610000002294E-5</v>
      </c>
      <c r="C20" s="85">
        <f>B20*(LCOE!$AR$10+LCOE!$AS$10)/1000000</f>
        <v>3.7747440158000942E-8</v>
      </c>
      <c r="D20" s="88">
        <f t="shared" si="0"/>
        <v>3.7747440158000945E-5</v>
      </c>
      <c r="F20" s="122">
        <v>3.7756164779997897E-5</v>
      </c>
      <c r="G20" s="122">
        <v>5.5992889999997495E-7</v>
      </c>
      <c r="H20" s="122">
        <v>1.1873422999999301E-6</v>
      </c>
    </row>
    <row r="21" spans="1:8" x14ac:dyDescent="0.25">
      <c r="A21" s="75" t="s">
        <v>73</v>
      </c>
      <c r="B21" s="121">
        <v>17288.9946336742</v>
      </c>
      <c r="C21" s="85">
        <f>B21*(LCOE!$AR$28+LCOE!$AS$28)/1000000</f>
        <v>1.6251654955653749</v>
      </c>
      <c r="D21" s="88">
        <f t="shared" si="0"/>
        <v>1625.1654955653748</v>
      </c>
      <c r="F21" s="122">
        <v>7952.0178018598199</v>
      </c>
      <c r="G21" s="122">
        <v>112.005783547704</v>
      </c>
      <c r="H21" s="122">
        <v>6.19590200000014E-4</v>
      </c>
    </row>
    <row r="22" spans="1:8" x14ac:dyDescent="0.25">
      <c r="A22" s="75" t="s">
        <v>74</v>
      </c>
      <c r="B22" s="121">
        <v>416</v>
      </c>
      <c r="C22" s="85">
        <f>B22*(LCOE!$AR$14+LCOE!$AS$14)/1000000</f>
        <v>0.11039253333333333</v>
      </c>
      <c r="D22" s="88">
        <f t="shared" si="0"/>
        <v>110.39253333333333</v>
      </c>
      <c r="F22" s="122">
        <v>416</v>
      </c>
      <c r="G22" s="122">
        <v>416</v>
      </c>
      <c r="H22" s="122">
        <v>416</v>
      </c>
    </row>
    <row r="23" spans="1:8" x14ac:dyDescent="0.25">
      <c r="A23" t="s">
        <v>75</v>
      </c>
      <c r="B23" s="121">
        <v>8.9725211000014198E-7</v>
      </c>
      <c r="C23" s="85">
        <f>B23*(LCOE!$AR$21+LCOE!$AS$21)/1000000</f>
        <v>4.2230665977340016E-11</v>
      </c>
      <c r="D23" s="88">
        <f t="shared" si="0"/>
        <v>4.2230665977340018E-8</v>
      </c>
      <c r="F23" s="122">
        <v>12761.054787695801</v>
      </c>
      <c r="G23" s="122">
        <v>23318.956555237699</v>
      </c>
      <c r="H23" s="122">
        <v>14039.1991799311</v>
      </c>
    </row>
    <row r="24" spans="1:8" x14ac:dyDescent="0.25">
      <c r="A24" s="75" t="s">
        <v>76</v>
      </c>
      <c r="B24" s="121">
        <f>24307.2070512623/2</f>
        <v>12153.60352563115</v>
      </c>
      <c r="C24" s="85">
        <f>B24*(LCOE!$AR$27+LCOE!$AS$27)/1000000</f>
        <v>0.7535234185891313</v>
      </c>
      <c r="D24" s="88">
        <f t="shared" si="0"/>
        <v>753.52341858913132</v>
      </c>
      <c r="F24" s="122">
        <v>10877.2256773109</v>
      </c>
      <c r="G24" s="122">
        <v>8001.2754479640398</v>
      </c>
      <c r="H24" s="122">
        <v>2166.7207457263298</v>
      </c>
    </row>
    <row r="25" spans="1:8" x14ac:dyDescent="0.25">
      <c r="A25" s="75" t="s">
        <v>77</v>
      </c>
      <c r="B25" s="121">
        <v>916.64500000000396</v>
      </c>
      <c r="C25" s="85">
        <f>B25*(LCOE!$AR$5+LCOE!$AS$5)/1000000</f>
        <v>0.2978637927500013</v>
      </c>
      <c r="D25" s="88">
        <f t="shared" si="0"/>
        <v>297.86379275000132</v>
      </c>
      <c r="F25" s="122">
        <v>916.64480000000799</v>
      </c>
      <c r="G25" s="122">
        <v>916.64470000001802</v>
      </c>
      <c r="H25" s="122">
        <v>916.64470000001802</v>
      </c>
    </row>
    <row r="27" spans="1:8" x14ac:dyDescent="0.25">
      <c r="B27" s="84" t="s">
        <v>56</v>
      </c>
      <c r="C27" s="84" t="s">
        <v>153</v>
      </c>
    </row>
    <row r="28" spans="1:8" x14ac:dyDescent="0.25">
      <c r="A28" s="89" t="s">
        <v>132</v>
      </c>
      <c r="B28" s="90">
        <v>32292.045552836724</v>
      </c>
      <c r="C28" s="54" t="e">
        <f>(C2+C4+C7+C8+C9+C10+C11+C12+C13+C15+C16+C17+C18+C20+C21+C23+C25)*1000</f>
        <v>#REF!</v>
      </c>
    </row>
    <row r="29" spans="1:8" x14ac:dyDescent="0.25">
      <c r="A29" s="91" t="s">
        <v>133</v>
      </c>
      <c r="B29" s="92">
        <v>360.68590377119841</v>
      </c>
      <c r="C29" s="88">
        <f>'Coûts annuel génération élec'!AP26</f>
        <v>360.71199439292536</v>
      </c>
    </row>
    <row r="30" spans="1:8" x14ac:dyDescent="0.25">
      <c r="A30" s="89" t="s">
        <v>134</v>
      </c>
      <c r="B30" s="92">
        <v>28.099482605991597</v>
      </c>
      <c r="C30" s="88">
        <f>D6</f>
        <v>28.0994826059916</v>
      </c>
    </row>
    <row r="31" spans="1:8" x14ac:dyDescent="0.25">
      <c r="A31" s="89" t="s">
        <v>148</v>
      </c>
      <c r="B31" s="90">
        <v>53.312821728000003</v>
      </c>
    </row>
    <row r="32" spans="1:8" x14ac:dyDescent="0.25">
      <c r="A32" s="89" t="s">
        <v>135</v>
      </c>
      <c r="B32" s="92">
        <v>2241.2852778656193</v>
      </c>
      <c r="C32" s="88">
        <f>'Coûts annuels réseaux et stocka'!AP15</f>
        <v>2241.2852778656193</v>
      </c>
    </row>
    <row r="33" spans="1:3" x14ac:dyDescent="0.25">
      <c r="A33" s="89" t="s">
        <v>136</v>
      </c>
      <c r="B33" s="92">
        <v>11117.5</v>
      </c>
      <c r="C33" s="88">
        <f>'Coûts annuels réseaux et stocka'!AP10</f>
        <v>11117.5</v>
      </c>
    </row>
    <row r="34" spans="1:3" x14ac:dyDescent="0.25">
      <c r="A34" s="89" t="s">
        <v>137</v>
      </c>
      <c r="B34" s="90">
        <v>2645.4776418603101</v>
      </c>
      <c r="C34" s="88">
        <f>(C21+C3)*1000</f>
        <v>2339.976029284463</v>
      </c>
    </row>
    <row r="35" spans="1:3" x14ac:dyDescent="0.25">
      <c r="A35" s="89" t="s">
        <v>138</v>
      </c>
      <c r="B35" s="90">
        <v>578.040751</v>
      </c>
      <c r="C35" s="88">
        <f>C5*1000</f>
        <v>303.83479999999997</v>
      </c>
    </row>
    <row r="36" spans="1:3" x14ac:dyDescent="0.25">
      <c r="A36" s="89" t="s">
        <v>139</v>
      </c>
      <c r="B36" s="90">
        <v>746.58371097599593</v>
      </c>
      <c r="C36" s="88">
        <f>C24*1000</f>
        <v>753.52341858913132</v>
      </c>
    </row>
    <row r="37" spans="1:3" x14ac:dyDescent="0.25">
      <c r="A37" s="89" t="s">
        <v>140</v>
      </c>
      <c r="B37" s="90">
        <v>0</v>
      </c>
      <c r="C37" s="88">
        <f>(C14+C19+C23)*1000</f>
        <v>8.0363880652346043E-8</v>
      </c>
    </row>
    <row r="38" spans="1:3" x14ac:dyDescent="0.25">
      <c r="A38" s="89" t="s">
        <v>149</v>
      </c>
      <c r="B38" s="90">
        <v>0</v>
      </c>
      <c r="C38" s="88"/>
    </row>
    <row r="39" spans="1:3" x14ac:dyDescent="0.25">
      <c r="A39" s="89" t="s">
        <v>150</v>
      </c>
      <c r="B39" s="90">
        <v>0</v>
      </c>
      <c r="C39" s="88"/>
    </row>
    <row r="40" spans="1:3" x14ac:dyDescent="0.25">
      <c r="A40" s="89" t="s">
        <v>141</v>
      </c>
      <c r="B40" s="92">
        <v>450</v>
      </c>
      <c r="C40" s="88">
        <f>'Coûts annuels réseaux et stocka'!AP20</f>
        <v>453.5</v>
      </c>
    </row>
    <row r="41" spans="1:3" x14ac:dyDescent="0.25">
      <c r="A41" s="93" t="s">
        <v>151</v>
      </c>
      <c r="B41" s="94">
        <v>50406.405499187837</v>
      </c>
    </row>
    <row r="42" spans="1:3" x14ac:dyDescent="0.25">
      <c r="A42" s="91" t="s">
        <v>152</v>
      </c>
      <c r="B42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baseColWidth="10" defaultRowHeight="15" x14ac:dyDescent="0.25"/>
  <cols>
    <col min="1" max="1" width="26.7109375" bestFit="1" customWidth="1"/>
    <col min="2" max="2" width="16.42578125" bestFit="1" customWidth="1"/>
    <col min="3" max="3" width="33.28515625" bestFit="1" customWidth="1"/>
  </cols>
  <sheetData>
    <row r="1" spans="1:3" x14ac:dyDescent="0.25">
      <c r="B1" s="171"/>
      <c r="C1" s="171"/>
    </row>
    <row r="2" spans="1:3" s="78" customFormat="1" ht="44.45" customHeight="1" x14ac:dyDescent="0.25">
      <c r="B2" s="79" t="s">
        <v>194</v>
      </c>
      <c r="C2" s="79" t="s">
        <v>209</v>
      </c>
    </row>
    <row r="3" spans="1:3" x14ac:dyDescent="0.25">
      <c r="A3" t="s">
        <v>57</v>
      </c>
      <c r="B3" s="104">
        <v>22542868.985699899</v>
      </c>
      <c r="C3" s="95">
        <f>(B3*LCOE!AM3/1000000)-'Capacités installées'!C29</f>
        <v>1217.2888346060677</v>
      </c>
    </row>
    <row r="4" spans="1:3" x14ac:dyDescent="0.25">
      <c r="A4" t="s">
        <v>58</v>
      </c>
      <c r="B4" s="104">
        <v>19224151.217</v>
      </c>
      <c r="C4" s="95"/>
    </row>
    <row r="5" spans="1:3" x14ac:dyDescent="0.25">
      <c r="A5" t="s">
        <v>21</v>
      </c>
      <c r="B5" s="104">
        <v>3758040</v>
      </c>
      <c r="C5" s="95">
        <f>B5*LCOE!AM4/1000000</f>
        <v>225.48240000000001</v>
      </c>
    </row>
    <row r="6" spans="1:3" x14ac:dyDescent="0.25">
      <c r="A6" t="s">
        <v>59</v>
      </c>
      <c r="B6" s="104">
        <v>12543510.137099599</v>
      </c>
      <c r="C6" s="95"/>
    </row>
    <row r="7" spans="1:3" x14ac:dyDescent="0.25">
      <c r="A7" t="s">
        <v>61</v>
      </c>
      <c r="B7" s="104">
        <v>30150459.092700001</v>
      </c>
      <c r="C7" s="95">
        <f>B7*LCOE!AM13/1000000</f>
        <v>2562.7890228795</v>
      </c>
    </row>
    <row r="8" spans="1:3" x14ac:dyDescent="0.25">
      <c r="A8" t="s">
        <v>62</v>
      </c>
      <c r="B8" s="104">
        <v>51437166.159899898</v>
      </c>
      <c r="C8" s="95">
        <f>B8*LCOE!AM12/1000000</f>
        <v>3086.2299695939937</v>
      </c>
    </row>
    <row r="9" spans="1:3" x14ac:dyDescent="0.25">
      <c r="A9" t="s">
        <v>63</v>
      </c>
      <c r="B9" s="104">
        <v>208291977.092199</v>
      </c>
      <c r="C9" s="95">
        <f>B9*LCOE!AM6/1000000</f>
        <v>13538.978510992934</v>
      </c>
    </row>
    <row r="10" spans="1:3" x14ac:dyDescent="0.25">
      <c r="A10" t="s">
        <v>64</v>
      </c>
      <c r="B10" s="104">
        <v>52920996.8404999</v>
      </c>
      <c r="C10" s="95">
        <f>B10*LCOE!AM7/1000000</f>
        <v>3439.8647946324936</v>
      </c>
    </row>
    <row r="11" spans="1:3" x14ac:dyDescent="0.25">
      <c r="A11" t="s">
        <v>65</v>
      </c>
      <c r="B11" s="104">
        <v>41876115.495500498</v>
      </c>
      <c r="C11" s="95">
        <f>B11*LCOE!AM9/1000000</f>
        <v>3350.08923964004</v>
      </c>
    </row>
    <row r="12" spans="1:3" x14ac:dyDescent="0.25">
      <c r="A12" t="s">
        <v>15</v>
      </c>
      <c r="B12" s="104">
        <v>483876.24</v>
      </c>
      <c r="C12" s="95">
        <f>B12*LCOE!AM16/1000000</f>
        <v>77.420198400000004</v>
      </c>
    </row>
    <row r="13" spans="1:3" x14ac:dyDescent="0.25">
      <c r="A13" t="s">
        <v>66</v>
      </c>
      <c r="B13" s="104">
        <v>0</v>
      </c>
      <c r="C13" s="95"/>
    </row>
    <row r="14" spans="1:3" s="77" customFormat="1" x14ac:dyDescent="0.25">
      <c r="A14" t="s">
        <v>67</v>
      </c>
      <c r="B14" s="104">
        <v>0</v>
      </c>
      <c r="C14" s="95"/>
    </row>
    <row r="15" spans="1:3" x14ac:dyDescent="0.25">
      <c r="A15" t="s">
        <v>68</v>
      </c>
      <c r="B15" s="104">
        <v>0</v>
      </c>
      <c r="C15" s="95"/>
    </row>
    <row r="16" spans="1:3" x14ac:dyDescent="0.25">
      <c r="A16" t="s">
        <v>69</v>
      </c>
      <c r="B16" s="104">
        <v>27388899.0405007</v>
      </c>
      <c r="C16" s="95">
        <f>B16*LCOE!AM18/1000000</f>
        <v>1865.1840246580975</v>
      </c>
    </row>
    <row r="17" spans="1:3" x14ac:dyDescent="0.25">
      <c r="A17" t="s">
        <v>70</v>
      </c>
      <c r="B17" s="104">
        <v>33875129.009800799</v>
      </c>
      <c r="C17" s="95">
        <f>B17*LCOE!AM18/1000000</f>
        <v>2306.8962855674345</v>
      </c>
    </row>
    <row r="18" spans="1:3" x14ac:dyDescent="0.25">
      <c r="A18" t="s">
        <v>18</v>
      </c>
      <c r="B18" s="104">
        <v>1182600</v>
      </c>
      <c r="C18" s="95">
        <f>B18*LCOE!AM17/1000000</f>
        <v>68.590800000000002</v>
      </c>
    </row>
    <row r="19" spans="1:3" s="77" customFormat="1" x14ac:dyDescent="0.25">
      <c r="A19" t="s">
        <v>71</v>
      </c>
      <c r="B19" s="104">
        <v>0</v>
      </c>
      <c r="C19" s="95"/>
    </row>
    <row r="20" spans="1:3" x14ac:dyDescent="0.25">
      <c r="A20" t="s">
        <v>72</v>
      </c>
      <c r="B20" s="104">
        <v>0</v>
      </c>
      <c r="C20" s="95"/>
    </row>
    <row r="21" spans="1:3" x14ac:dyDescent="0.25">
      <c r="A21" t="s">
        <v>74</v>
      </c>
      <c r="B21" s="104">
        <v>496767.13140000199</v>
      </c>
      <c r="C21" s="95">
        <f>B21*LCOE!AM14/1000000</f>
        <v>149.03013942000058</v>
      </c>
    </row>
    <row r="22" spans="1:3" s="77" customFormat="1" x14ac:dyDescent="0.25">
      <c r="A22" t="s">
        <v>75</v>
      </c>
      <c r="B22" s="104">
        <v>0</v>
      </c>
      <c r="C22" s="95"/>
    </row>
    <row r="23" spans="1:3" x14ac:dyDescent="0.25">
      <c r="A23" t="s">
        <v>76</v>
      </c>
      <c r="B23" s="104">
        <v>12952975.0688999</v>
      </c>
      <c r="C23" s="96"/>
    </row>
    <row r="24" spans="1:3" x14ac:dyDescent="0.25">
      <c r="A24" t="s">
        <v>77</v>
      </c>
      <c r="B24" s="104">
        <v>8029606.6473000804</v>
      </c>
      <c r="C24" s="95">
        <f>B24*LCOE!AM5/1000000</f>
        <v>401.48033236500402</v>
      </c>
    </row>
    <row r="26" spans="1:3" s="82" customFormat="1" x14ac:dyDescent="0.25"/>
    <row r="27" spans="1:3" x14ac:dyDescent="0.25">
      <c r="A27" t="s">
        <v>208</v>
      </c>
      <c r="B27" s="83"/>
      <c r="C27" s="13">
        <f>SUM(C3:C24)</f>
        <v>32289.324552755566</v>
      </c>
    </row>
    <row r="28" spans="1:3" x14ac:dyDescent="0.25">
      <c r="B28" s="81"/>
      <c r="C28" s="81"/>
    </row>
    <row r="29" spans="1:3" x14ac:dyDescent="0.25">
      <c r="B29" s="81"/>
      <c r="C29" s="81"/>
    </row>
    <row r="31" spans="1:3" x14ac:dyDescent="0.25">
      <c r="B31" s="81"/>
      <c r="C31" s="81"/>
    </row>
    <row r="34" spans="2:3" x14ac:dyDescent="0.25">
      <c r="B34" s="81"/>
      <c r="C34" s="81"/>
    </row>
    <row r="35" spans="2:3" x14ac:dyDescent="0.25">
      <c r="B35" s="81"/>
      <c r="C35" s="81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50738B0D10A47B0C3439D2BCD38EB" ma:contentTypeVersion="0" ma:contentTypeDescription="Crée un document." ma:contentTypeScope="" ma:versionID="d299eb08eba33f729eeaf18368ca31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33b854f74fcf0ff73281e2add2a6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0813AC-14C3-4156-86B1-A2047BD62FF9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44FD6D-2906-4176-A917-99BCFDCB19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7C865-AA1B-4933-833A-B301D1036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Graphiques</vt:lpstr>
      </vt:variant>
      <vt:variant>
        <vt:i4>2</vt:i4>
      </vt:variant>
    </vt:vector>
  </HeadingPairs>
  <TitlesOfParts>
    <vt:vector size="14" baseType="lpstr">
      <vt:lpstr>Synthèse format 3ME</vt:lpstr>
      <vt:lpstr>Synthèse</vt:lpstr>
      <vt:lpstr>Coûts annuel génération élec</vt:lpstr>
      <vt:lpstr>Coûts annuels réseaux et stocka</vt:lpstr>
      <vt:lpstr>Données capacités de production</vt:lpstr>
      <vt:lpstr>Données capacités de stockage</vt:lpstr>
      <vt:lpstr>LCOE</vt:lpstr>
      <vt:lpstr>Capacités installées</vt:lpstr>
      <vt:lpstr>Production</vt:lpstr>
      <vt:lpstr>Linéarisation mix</vt:lpstr>
      <vt:lpstr>Structure de coûts RTE</vt:lpstr>
      <vt:lpstr>Données Linky</vt:lpstr>
      <vt:lpstr>Graphique1</vt:lpstr>
      <vt:lpstr>Graphique2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2018-02-08T21:42:14Z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0x010100D4F50738B0D10A47B0C3439D2BCD38EB</vt:lpwstr>
  </property>
</Properties>
</file>