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allonnecg\Github\ThreeME\data\calibrations\"/>
    </mc:Choice>
  </mc:AlternateContent>
  <bookViews>
    <workbookView xWindow="0" yWindow="0" windowWidth="19200" windowHeight="6470" firstSheet="1" activeTab="2"/>
  </bookViews>
  <sheets>
    <sheet name="Récapitulatif-IndustrieCCS-2030" sheetId="2" r:id="rId1"/>
    <sheet name="Récapitulatif-IndustrieCCS-2050" sheetId="1" r:id="rId2"/>
    <sheet name="donneesCCSmaj" sheetId="3" r:id="rId3"/>
    <sheet name="donnees tech-eco" sheetId="4" r:id="rId4"/>
  </sheets>
  <externalReferences>
    <externalReference r:id="rId5"/>
    <externalReference r:id="rId6"/>
    <externalReference r:id="rId7"/>
    <externalReference r:id="rId8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5" i="3" l="1"/>
  <c r="C19" i="4" l="1"/>
  <c r="G19" i="4"/>
  <c r="D15" i="4"/>
  <c r="I12" i="4"/>
  <c r="F12" i="4"/>
  <c r="E12" i="4"/>
  <c r="B12" i="4"/>
  <c r="K11" i="4"/>
  <c r="J11" i="4"/>
  <c r="I11" i="4"/>
  <c r="H11" i="4"/>
  <c r="G11" i="4"/>
  <c r="F11" i="4"/>
  <c r="F8" i="4" s="1"/>
  <c r="E11" i="4"/>
  <c r="E8" i="4" s="1"/>
  <c r="C11" i="4"/>
  <c r="B11" i="4"/>
  <c r="B8" i="4" s="1"/>
  <c r="I8" i="4"/>
  <c r="I7" i="4"/>
  <c r="I2" i="4" s="1"/>
  <c r="I15" i="4" s="1"/>
  <c r="F7" i="4"/>
  <c r="F2" i="4" s="1"/>
  <c r="I6" i="4"/>
  <c r="F5" i="4"/>
  <c r="E5" i="4"/>
  <c r="E7" i="4" s="1"/>
  <c r="E2" i="4" s="1"/>
  <c r="E15" i="4" s="1"/>
  <c r="C5" i="4"/>
  <c r="C7" i="4" s="1"/>
  <c r="B5" i="4"/>
  <c r="B7" i="4" s="1"/>
  <c r="B2" i="4" l="1"/>
  <c r="B15" i="4" s="1"/>
  <c r="F15" i="4"/>
  <c r="Q13" i="3" l="1"/>
  <c r="P13" i="3"/>
  <c r="O13" i="3"/>
  <c r="M13" i="3"/>
  <c r="L13" i="3"/>
  <c r="K13" i="3"/>
  <c r="J13" i="3"/>
  <c r="I13" i="3"/>
  <c r="F13" i="3"/>
  <c r="E13" i="3"/>
  <c r="Q12" i="3"/>
  <c r="O12" i="3"/>
  <c r="M12" i="3"/>
  <c r="L12" i="3"/>
  <c r="K12" i="3"/>
  <c r="J12" i="3"/>
  <c r="S12" i="3" s="1"/>
  <c r="F12" i="3"/>
  <c r="E12" i="3"/>
  <c r="N11" i="3"/>
  <c r="K11" i="3"/>
  <c r="I11" i="3" s="1"/>
  <c r="R11" i="3" s="1"/>
  <c r="F11" i="3"/>
  <c r="S11" i="3" s="1"/>
  <c r="E11" i="3"/>
  <c r="Q9" i="3"/>
  <c r="O9" i="3"/>
  <c r="N9" i="3"/>
  <c r="M9" i="3"/>
  <c r="L9" i="3"/>
  <c r="K9" i="3"/>
  <c r="J9" i="3"/>
  <c r="S9" i="3" s="1"/>
  <c r="I9" i="3"/>
  <c r="E9" i="3"/>
  <c r="Q8" i="3"/>
  <c r="O8" i="3"/>
  <c r="M8" i="3"/>
  <c r="L8" i="3"/>
  <c r="N8" i="3" s="1"/>
  <c r="K8" i="3"/>
  <c r="J8" i="3"/>
  <c r="S8" i="3" s="1"/>
  <c r="E8" i="3"/>
  <c r="G8" i="3" s="1"/>
  <c r="Q7" i="3"/>
  <c r="O7" i="3"/>
  <c r="M7" i="3"/>
  <c r="N7" i="3" s="1"/>
  <c r="L7" i="3"/>
  <c r="K7" i="3"/>
  <c r="J7" i="3"/>
  <c r="S7" i="3" s="1"/>
  <c r="E7" i="3"/>
  <c r="G7" i="3" s="1"/>
  <c r="S6" i="3"/>
  <c r="O6" i="3"/>
  <c r="N6" i="3"/>
  <c r="K6" i="3"/>
  <c r="I6" i="3" s="1"/>
  <c r="G6" i="3"/>
  <c r="E6" i="3"/>
  <c r="Q4" i="3"/>
  <c r="O4" i="3"/>
  <c r="M4" i="3"/>
  <c r="L4" i="3"/>
  <c r="K4" i="3"/>
  <c r="J4" i="3"/>
  <c r="I4" i="3"/>
  <c r="E4" i="3"/>
  <c r="G4" i="3" s="1"/>
  <c r="S4" i="3" l="1"/>
  <c r="R6" i="3"/>
  <c r="N12" i="3"/>
  <c r="N4" i="3"/>
  <c r="R4" i="3" s="1"/>
  <c r="N13" i="3"/>
  <c r="G12" i="3"/>
  <c r="R13" i="3"/>
  <c r="I8" i="3"/>
  <c r="R8" i="3" s="1"/>
  <c r="R9" i="3"/>
  <c r="G11" i="3"/>
  <c r="I12" i="3"/>
  <c r="S13" i="3"/>
  <c r="I7" i="3"/>
  <c r="R7" i="3" s="1"/>
  <c r="G13" i="3"/>
  <c r="R12" i="3" l="1"/>
  <c r="E38" i="2" l="1"/>
  <c r="E37" i="2"/>
  <c r="E39" i="2" s="1"/>
  <c r="D19" i="1" l="1"/>
  <c r="D17" i="1"/>
  <c r="D15" i="1"/>
  <c r="D14" i="1"/>
  <c r="D13" i="1"/>
  <c r="E19" i="1"/>
  <c r="E13" i="1"/>
  <c r="E17" i="1"/>
  <c r="E15" i="1"/>
  <c r="E14" i="1"/>
  <c r="E29" i="1"/>
  <c r="D27" i="1"/>
  <c r="D26" i="1"/>
  <c r="D25" i="1"/>
  <c r="D24" i="1"/>
  <c r="D23" i="1"/>
  <c r="E23" i="1"/>
  <c r="E24" i="1"/>
  <c r="E25" i="1"/>
  <c r="E26" i="1"/>
  <c r="E27" i="1"/>
  <c r="D28" i="1"/>
  <c r="E28" i="1"/>
  <c r="E39" i="1"/>
  <c r="D39" i="1"/>
  <c r="D37" i="1"/>
  <c r="E37" i="1"/>
  <c r="D38" i="1"/>
  <c r="E38" i="1"/>
  <c r="D29" i="1" l="1"/>
</calcChain>
</file>

<file path=xl/comments1.xml><?xml version="1.0" encoding="utf-8"?>
<comments xmlns="http://schemas.openxmlformats.org/spreadsheetml/2006/main">
  <authors>
    <author>EL KHAMLICHI Aïcha</author>
  </authors>
  <commentList>
    <comment ref="E2" authorId="0" shapeId="0">
      <text>
        <r>
          <rPr>
            <b/>
            <sz val="9"/>
            <color indexed="81"/>
            <rFont val="Tahoma"/>
            <family val="2"/>
          </rPr>
          <t>EL KHAMLICHI Aïcha:</t>
        </r>
        <r>
          <rPr>
            <sz val="9"/>
            <color indexed="81"/>
            <rFont val="Tahoma"/>
            <family val="2"/>
          </rPr>
          <t xml:space="preserve">
en fluo-emissions bioégniques qui ont été classées dans BECCS-industrie</t>
        </r>
      </text>
    </comment>
  </commentList>
</comments>
</file>

<file path=xl/comments2.xml><?xml version="1.0" encoding="utf-8"?>
<comments xmlns="http://schemas.openxmlformats.org/spreadsheetml/2006/main">
  <authors>
    <author>EL KHAMLICHI Aïcha</author>
  </authors>
  <commentList>
    <comment ref="E2" authorId="0" shapeId="0">
      <text>
        <r>
          <rPr>
            <b/>
            <sz val="9"/>
            <color indexed="81"/>
            <rFont val="Tahoma"/>
            <family val="2"/>
          </rPr>
          <t>EL KHAMLICHI Aïcha:</t>
        </r>
        <r>
          <rPr>
            <sz val="9"/>
            <color indexed="81"/>
            <rFont val="Tahoma"/>
            <family val="2"/>
          </rPr>
          <t xml:space="preserve">
en fluo-emissions bioégniques qui ont été classées dans BECCS-industrie</t>
        </r>
      </text>
    </comment>
  </commentList>
</comments>
</file>

<file path=xl/comments3.xml><?xml version="1.0" encoding="utf-8"?>
<comments xmlns="http://schemas.openxmlformats.org/spreadsheetml/2006/main">
  <authors>
    <author>EL KHAMLICHI Aïcha</author>
  </authors>
  <commentList>
    <comment ref="H3" authorId="0" shapeId="0">
      <text>
        <r>
          <rPr>
            <b/>
            <sz val="9"/>
            <color indexed="81"/>
            <rFont val="Tahoma"/>
            <family val="2"/>
          </rPr>
          <t>EL KHAMLICHI Aïcha:</t>
        </r>
        <r>
          <rPr>
            <sz val="9"/>
            <color indexed="81"/>
            <rFont val="Tahoma"/>
            <family val="2"/>
          </rPr>
          <t xml:space="preserve">
correspond à des émissions fossiles donc à mettre avec le CSC (je ne l'ai pas fait apparaitre dans la colonne D)
</t>
        </r>
      </text>
    </comment>
    <comment ref="C4" authorId="0" shapeId="0">
      <text>
        <r>
          <rPr>
            <b/>
            <sz val="9"/>
            <color indexed="81"/>
            <rFont val="Tahoma"/>
            <family val="2"/>
          </rPr>
          <t>EL KHAMLICHI Aïcha:</t>
        </r>
        <r>
          <rPr>
            <sz val="9"/>
            <color indexed="81"/>
            <rFont val="Tahoma"/>
            <family val="2"/>
          </rPr>
          <t xml:space="preserve">
pas mis à jour</t>
        </r>
      </text>
    </comment>
  </commentList>
</comments>
</file>

<file path=xl/comments4.xml><?xml version="1.0" encoding="utf-8"?>
<comments xmlns="http://schemas.openxmlformats.org/spreadsheetml/2006/main">
  <authors>
    <author>MINIER Quentin</author>
  </authors>
  <commentList>
    <comment ref="B14" authorId="0" shapeId="0">
      <text>
        <r>
          <rPr>
            <b/>
            <sz val="9"/>
            <color indexed="81"/>
            <rFont val="Tahoma"/>
            <family val="2"/>
          </rPr>
          <t>MINIER Quentin:</t>
        </r>
        <r>
          <rPr>
            <sz val="9"/>
            <color indexed="81"/>
            <rFont val="Tahoma"/>
            <family val="2"/>
          </rPr>
          <t xml:space="preserve">
OPEX très cher</t>
        </r>
      </text>
    </comment>
    <comment ref="E14" authorId="0" shapeId="0">
      <text>
        <r>
          <rPr>
            <b/>
            <sz val="9"/>
            <color indexed="81"/>
            <rFont val="Tahoma"/>
            <family val="2"/>
          </rPr>
          <t>MINIER Quentin:</t>
        </r>
        <r>
          <rPr>
            <sz val="9"/>
            <color indexed="81"/>
            <rFont val="Tahoma"/>
            <family val="2"/>
          </rPr>
          <t xml:space="preserve">
OPEX très cher</t>
        </r>
      </text>
    </comment>
    <comment ref="F14" authorId="0" shapeId="0">
      <text>
        <r>
          <rPr>
            <b/>
            <sz val="9"/>
            <color indexed="81"/>
            <rFont val="Tahoma"/>
            <family val="2"/>
          </rPr>
          <t>MINIER Quentin:</t>
        </r>
        <r>
          <rPr>
            <sz val="9"/>
            <color indexed="81"/>
            <rFont val="Tahoma"/>
            <family val="2"/>
          </rPr>
          <t xml:space="preserve">
OPEX très cher</t>
        </r>
      </text>
    </comment>
    <comment ref="I14" authorId="0" shapeId="0">
      <text>
        <r>
          <rPr>
            <b/>
            <sz val="9"/>
            <color indexed="81"/>
            <rFont val="Tahoma"/>
            <family val="2"/>
          </rPr>
          <t>MINIER Quentin:</t>
        </r>
        <r>
          <rPr>
            <sz val="9"/>
            <color indexed="81"/>
            <rFont val="Tahoma"/>
            <family val="2"/>
          </rPr>
          <t xml:space="preserve">
OPEX très cher</t>
        </r>
      </text>
    </comment>
  </commentList>
</comments>
</file>

<file path=xl/sharedStrings.xml><?xml version="1.0" encoding="utf-8"?>
<sst xmlns="http://schemas.openxmlformats.org/spreadsheetml/2006/main" count="208" uniqueCount="69">
  <si>
    <t>TEND</t>
  </si>
  <si>
    <t>Charbon</t>
  </si>
  <si>
    <t>Gaz nat</t>
  </si>
  <si>
    <t>Autres PP</t>
  </si>
  <si>
    <t>Biomasse</t>
  </si>
  <si>
    <t>Total</t>
  </si>
  <si>
    <t>Total Emissions process</t>
  </si>
  <si>
    <t>Cimenterie et chaux</t>
  </si>
  <si>
    <t>Sidérurgie - Total</t>
  </si>
  <si>
    <t>Production d'engrais - Total</t>
  </si>
  <si>
    <t>Chimie - Total</t>
  </si>
  <si>
    <t>Céramique et Verre - Total</t>
  </si>
  <si>
    <t>Autres matériaux - Total</t>
  </si>
  <si>
    <t>Total Emissions Combustion</t>
  </si>
  <si>
    <t>Gaz Renouvelable</t>
  </si>
  <si>
    <t>S2</t>
  </si>
  <si>
    <t>S3</t>
  </si>
  <si>
    <t>S4</t>
  </si>
  <si>
    <t xml:space="preserve">TEND </t>
  </si>
  <si>
    <t>(ktCO2)</t>
  </si>
  <si>
    <t>Scénario [ktCO2/year]</t>
  </si>
  <si>
    <t>CCS-industrie -Total</t>
  </si>
  <si>
    <t xml:space="preserve">dont BECCS-industrie </t>
  </si>
  <si>
    <t xml:space="preserve">dont CCS  fossile-industrie </t>
  </si>
  <si>
    <t xml:space="preserve"> CCS-emissions process</t>
  </si>
  <si>
    <t xml:space="preserve">CCS- incinération -Total </t>
  </si>
  <si>
    <t xml:space="preserve">dont BECCS- incinération </t>
  </si>
  <si>
    <t>CCS  fossile-incinération</t>
  </si>
  <si>
    <t xml:space="preserve">BECCS -cogénération industrie </t>
  </si>
  <si>
    <t>BECCS -cogénération - RC</t>
  </si>
  <si>
    <t>BECCS -Total-cogénération -industrie et RC</t>
  </si>
  <si>
    <t>BECCS-pyro et méthansation</t>
  </si>
  <si>
    <t>CCS-pyro</t>
  </si>
  <si>
    <t>BECCS sur bioraffineries</t>
  </si>
  <si>
    <t>CCS-BECCS total</t>
  </si>
  <si>
    <t>dont BECCS</t>
  </si>
  <si>
    <t>-</t>
  </si>
  <si>
    <t>S1</t>
  </si>
  <si>
    <t xml:space="preserve">Gael: </t>
  </si>
  <si>
    <t>S4-DACCS</t>
  </si>
  <si>
    <t>à compléter BECCS</t>
  </si>
  <si>
    <t>Captage</t>
  </si>
  <si>
    <t>Localisation</t>
  </si>
  <si>
    <t>Dunkerque</t>
  </si>
  <si>
    <t>Dunkerque / Le Havre / Vallée du Rhône</t>
  </si>
  <si>
    <t>Lacq</t>
  </si>
  <si>
    <t>Emissions captées (Mt/an)</t>
  </si>
  <si>
    <t>Coût captage hors chiffres Elliot (M€)</t>
  </si>
  <si>
    <t>Coût captage Elliot (M€)</t>
  </si>
  <si>
    <t>Coût captage total</t>
  </si>
  <si>
    <t>Transport</t>
  </si>
  <si>
    <t>Distance transport (km)</t>
  </si>
  <si>
    <t>Coût transport (M€/km)</t>
  </si>
  <si>
    <t>Coût transport total (M€)</t>
  </si>
  <si>
    <t>Stockage</t>
  </si>
  <si>
    <t>mer du Nord</t>
  </si>
  <si>
    <t>France</t>
  </si>
  <si>
    <t>Coût stockage (M€)</t>
  </si>
  <si>
    <t>Coût total (M€)</t>
  </si>
  <si>
    <t>cout estimé: TCO2/€</t>
  </si>
  <si>
    <t>captage industrie (moyenne)</t>
  </si>
  <si>
    <t>captage DACCS</t>
  </si>
  <si>
    <t>captage  BECCS (moyenne)</t>
  </si>
  <si>
    <t>stockage (onshore)</t>
  </si>
  <si>
    <t>stockage offshore</t>
  </si>
  <si>
    <t>Transport onshore (pipe)</t>
  </si>
  <si>
    <t>transport offshore (pipe)</t>
  </si>
  <si>
    <t>(ktCO2/an)</t>
  </si>
  <si>
    <t>ici tu as toutes les émissions par secteur/source pour CCS+ BECCS pour le DACCS, il n'a été considéré que dans S4 à hauteur de 27 MtCO2 à partir de 2040 (400€ en 2040 et 250€/tCO2 en 2050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</si>
</sst>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#,##0&quot; M€&quot;"/>
    <numFmt numFmtId="165" formatCode="#,##0.0"/>
    <numFmt numFmtId="166" formatCode="0&quot; M€&quot;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5" fillId="0" borderId="0"/>
  </cellStyleXfs>
  <cellXfs count="88">
    <xf numFmtId="0" fontId="0" fillId="0" borderId="0" xfId="0"/>
    <xf numFmtId="1" fontId="0" fillId="0" borderId="0" xfId="0" applyNumberFormat="1"/>
    <xf numFmtId="0" fontId="3" fillId="0" borderId="1" xfId="0" applyFont="1" applyBorder="1"/>
    <xf numFmtId="1" fontId="0" fillId="0" borderId="1" xfId="0" applyNumberFormat="1" applyBorder="1"/>
    <xf numFmtId="0" fontId="0" fillId="0" borderId="1" xfId="0" applyBorder="1"/>
    <xf numFmtId="0" fontId="3" fillId="0" borderId="1" xfId="0" applyFont="1" applyBorder="1" applyAlignment="1">
      <alignment wrapText="1"/>
    </xf>
    <xf numFmtId="0" fontId="3" fillId="2" borderId="1" xfId="0" applyFont="1" applyFill="1" applyBorder="1"/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NumberFormat="1" applyFont="1" applyBorder="1" applyAlignment="1">
      <alignment horizontal="center" vertical="center" wrapText="1"/>
    </xf>
    <xf numFmtId="0" fontId="3" fillId="3" borderId="1" xfId="0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 shrinkToFit="1"/>
    </xf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3" xfId="0" applyNumberFormat="1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" fontId="0" fillId="0" borderId="4" xfId="0" applyNumberFormat="1" applyBorder="1" applyAlignment="1">
      <alignment horizontal="center" vertical="center"/>
    </xf>
    <xf numFmtId="1" fontId="3" fillId="0" borderId="4" xfId="0" applyNumberFormat="1" applyFont="1" applyBorder="1" applyAlignment="1">
      <alignment horizontal="center" vertical="center"/>
    </xf>
    <xf numFmtId="1" fontId="3" fillId="0" borderId="5" xfId="0" applyNumberFormat="1" applyFont="1" applyBorder="1" applyAlignment="1">
      <alignment horizontal="center" vertical="center"/>
    </xf>
    <xf numFmtId="1" fontId="0" fillId="0" borderId="5" xfId="0" applyNumberFormat="1" applyFont="1" applyBorder="1" applyAlignment="1">
      <alignment horizontal="center" vertical="center"/>
    </xf>
    <xf numFmtId="1" fontId="0" fillId="0" borderId="5" xfId="0" applyNumberFormat="1" applyBorder="1" applyAlignment="1">
      <alignment horizontal="center" vertical="center"/>
    </xf>
    <xf numFmtId="1" fontId="0" fillId="4" borderId="1" xfId="0" applyNumberFormat="1" applyFill="1" applyBorder="1" applyAlignment="1">
      <alignment horizontal="center" vertical="center"/>
    </xf>
    <xf numFmtId="1" fontId="3" fillId="4" borderId="1" xfId="0" applyNumberFormat="1" applyFont="1" applyFill="1" applyBorder="1" applyAlignment="1">
      <alignment horizontal="center" vertical="center"/>
    </xf>
    <xf numFmtId="1" fontId="3" fillId="4" borderId="5" xfId="0" applyNumberFormat="1" applyFont="1" applyFill="1" applyBorder="1" applyAlignment="1">
      <alignment horizontal="center" vertical="center"/>
    </xf>
    <xf numFmtId="1" fontId="0" fillId="4" borderId="5" xfId="0" applyNumberFormat="1" applyFont="1" applyFill="1" applyBorder="1" applyAlignment="1">
      <alignment horizontal="center" vertical="center"/>
    </xf>
    <xf numFmtId="3" fontId="3" fillId="0" borderId="1" xfId="0" applyNumberFormat="1" applyFont="1" applyBorder="1" applyAlignment="1">
      <alignment horizontal="center" vertical="center"/>
    </xf>
    <xf numFmtId="3" fontId="0" fillId="0" borderId="1" xfId="0" applyNumberFormat="1" applyFont="1" applyBorder="1" applyAlignment="1">
      <alignment horizontal="center" vertical="center"/>
    </xf>
    <xf numFmtId="1" fontId="0" fillId="0" borderId="1" xfId="0" applyNumberFormat="1" applyFont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1" fontId="3" fillId="0" borderId="3" xfId="0" applyNumberFormat="1" applyFont="1" applyBorder="1" applyAlignment="1">
      <alignment horizontal="center" vertical="center"/>
    </xf>
    <xf numFmtId="1" fontId="0" fillId="0" borderId="3" xfId="0" applyNumberFormat="1" applyFont="1" applyBorder="1" applyAlignment="1">
      <alignment horizontal="center" vertical="center"/>
    </xf>
    <xf numFmtId="3" fontId="0" fillId="0" borderId="3" xfId="0" applyNumberFormat="1" applyFont="1" applyBorder="1" applyAlignment="1">
      <alignment horizontal="center" vertical="center"/>
    </xf>
    <xf numFmtId="1" fontId="0" fillId="0" borderId="3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" borderId="0" xfId="0" applyFill="1"/>
    <xf numFmtId="0" fontId="0" fillId="0" borderId="3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4" fillId="5" borderId="6" xfId="0" applyFont="1" applyFill="1" applyBorder="1"/>
    <xf numFmtId="0" fontId="2" fillId="5" borderId="6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left"/>
    </xf>
    <xf numFmtId="164" fontId="2" fillId="5" borderId="6" xfId="0" applyNumberFormat="1" applyFont="1" applyFill="1" applyBorder="1" applyAlignment="1">
      <alignment horizontal="center" vertical="center"/>
    </xf>
    <xf numFmtId="0" fontId="0" fillId="3" borderId="0" xfId="0" applyFont="1" applyFill="1" applyAlignment="1">
      <alignment horizontal="left"/>
    </xf>
    <xf numFmtId="0" fontId="0" fillId="3" borderId="8" xfId="0" applyFont="1" applyFill="1" applyBorder="1" applyAlignment="1">
      <alignment horizontal="center" vertical="center"/>
    </xf>
    <xf numFmtId="0" fontId="0" fillId="3" borderId="0" xfId="0" applyFont="1" applyFill="1" applyBorder="1" applyAlignment="1">
      <alignment horizontal="left" vertical="center"/>
    </xf>
    <xf numFmtId="165" fontId="0" fillId="3" borderId="7" xfId="0" applyNumberFormat="1" applyFont="1" applyFill="1" applyBorder="1" applyAlignment="1">
      <alignment horizontal="center" vertical="center"/>
    </xf>
    <xf numFmtId="165" fontId="0" fillId="3" borderId="8" xfId="0" applyNumberFormat="1" applyFont="1" applyFill="1" applyBorder="1" applyAlignment="1">
      <alignment horizontal="center" vertical="center"/>
    </xf>
    <xf numFmtId="3" fontId="8" fillId="3" borderId="9" xfId="0" applyNumberFormat="1" applyFont="1" applyFill="1" applyBorder="1" applyAlignment="1">
      <alignment horizontal="center" vertical="center"/>
    </xf>
    <xf numFmtId="3" fontId="8" fillId="3" borderId="0" xfId="0" applyNumberFormat="1" applyFont="1" applyFill="1" applyBorder="1" applyAlignment="1">
      <alignment horizontal="center" vertical="center"/>
    </xf>
    <xf numFmtId="3" fontId="8" fillId="3" borderId="8" xfId="0" applyNumberFormat="1" applyFont="1" applyFill="1" applyBorder="1" applyAlignment="1">
      <alignment horizontal="center" vertical="center"/>
    </xf>
    <xf numFmtId="164" fontId="0" fillId="3" borderId="0" xfId="0" applyNumberFormat="1" applyFont="1" applyFill="1" applyBorder="1" applyAlignment="1">
      <alignment horizontal="left" vertical="center"/>
    </xf>
    <xf numFmtId="164" fontId="0" fillId="3" borderId="7" xfId="0" applyNumberFormat="1" applyFont="1" applyFill="1" applyBorder="1" applyAlignment="1">
      <alignment horizontal="center" vertical="center"/>
    </xf>
    <xf numFmtId="164" fontId="0" fillId="3" borderId="8" xfId="0" applyNumberFormat="1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left" vertical="center"/>
    </xf>
    <xf numFmtId="3" fontId="0" fillId="3" borderId="7" xfId="0" applyNumberFormat="1" applyFont="1" applyFill="1" applyBorder="1" applyAlignment="1">
      <alignment horizontal="center" vertical="center"/>
    </xf>
    <xf numFmtId="3" fontId="0" fillId="3" borderId="8" xfId="0" applyNumberFormat="1" applyFont="1" applyFill="1" applyBorder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  <xf numFmtId="0" fontId="0" fillId="3" borderId="7" xfId="0" applyFont="1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9" xfId="0" applyFont="1" applyFill="1" applyBorder="1" applyAlignment="1">
      <alignment horizontal="center" vertical="center"/>
    </xf>
    <xf numFmtId="164" fontId="0" fillId="3" borderId="10" xfId="0" applyNumberFormat="1" applyFont="1" applyFill="1" applyBorder="1" applyAlignment="1">
      <alignment horizontal="left" vertical="center"/>
    </xf>
    <xf numFmtId="164" fontId="0" fillId="3" borderId="11" xfId="0" applyNumberFormat="1" applyFont="1" applyFill="1" applyBorder="1" applyAlignment="1">
      <alignment horizontal="center" vertical="center"/>
    </xf>
    <xf numFmtId="164" fontId="0" fillId="3" borderId="10" xfId="0" applyNumberFormat="1" applyFont="1" applyFill="1" applyBorder="1" applyAlignment="1">
      <alignment horizontal="center" vertical="center"/>
    </xf>
    <xf numFmtId="164" fontId="2" fillId="5" borderId="6" xfId="0" applyNumberFormat="1" applyFont="1" applyFill="1" applyBorder="1" applyAlignment="1">
      <alignment horizontal="left" vertical="center"/>
    </xf>
    <xf numFmtId="43" fontId="0" fillId="0" borderId="0" xfId="1" applyFont="1"/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164" fontId="2" fillId="5" borderId="6" xfId="0" applyNumberFormat="1" applyFont="1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7" xfId="0" applyFont="1" applyFill="1" applyBorder="1" applyAlignment="1">
      <alignment horizontal="center" vertical="center"/>
    </xf>
    <xf numFmtId="0" fontId="0" fillId="3" borderId="8" xfId="0" applyFont="1" applyFill="1" applyBorder="1" applyAlignment="1">
      <alignment horizontal="center" vertical="center"/>
    </xf>
    <xf numFmtId="0" fontId="0" fillId="3" borderId="9" xfId="0" applyFont="1" applyFill="1" applyBorder="1" applyAlignment="1">
      <alignment horizontal="center" vertical="center" wrapText="1"/>
    </xf>
    <xf numFmtId="0" fontId="0" fillId="3" borderId="0" xfId="0" applyFont="1" applyFill="1" applyBorder="1" applyAlignment="1">
      <alignment horizontal="center" vertical="center" wrapText="1"/>
    </xf>
    <xf numFmtId="164" fontId="0" fillId="3" borderId="9" xfId="0" applyNumberFormat="1" applyFill="1" applyBorder="1" applyAlignment="1">
      <alignment horizontal="center" vertical="center"/>
    </xf>
    <xf numFmtId="164" fontId="0" fillId="3" borderId="0" xfId="0" applyNumberFormat="1" applyFill="1" applyBorder="1" applyAlignment="1">
      <alignment horizontal="center" vertical="center"/>
    </xf>
    <xf numFmtId="164" fontId="0" fillId="3" borderId="8" xfId="0" applyNumberFormat="1" applyFill="1" applyBorder="1" applyAlignment="1">
      <alignment horizontal="center" vertical="center"/>
    </xf>
    <xf numFmtId="164" fontId="0" fillId="3" borderId="9" xfId="0" applyNumberFormat="1" applyFont="1" applyFill="1" applyBorder="1" applyAlignment="1">
      <alignment horizontal="center" vertical="center"/>
    </xf>
    <xf numFmtId="164" fontId="0" fillId="3" borderId="0" xfId="0" applyNumberFormat="1" applyFont="1" applyFill="1" applyBorder="1" applyAlignment="1">
      <alignment horizontal="center" vertical="center"/>
    </xf>
    <xf numFmtId="164" fontId="0" fillId="3" borderId="8" xfId="0" applyNumberFormat="1" applyFont="1" applyFill="1" applyBorder="1" applyAlignment="1">
      <alignment horizontal="center" vertical="center"/>
    </xf>
    <xf numFmtId="166" fontId="2" fillId="5" borderId="6" xfId="0" applyNumberFormat="1" applyFont="1" applyFill="1" applyBorder="1" applyAlignment="1">
      <alignment horizontal="center" vertical="center"/>
    </xf>
  </cellXfs>
  <cellStyles count="3">
    <cellStyle name="Milliers" xfId="1" builtinId="3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irect-ademebox.ademe.fr/perso/elkhamlicha/Documents/SI/PROSPECTIVE/PuitsCarbone/RUN5/R&#233;sultats_SI_RUN5_CCS_2406202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lkhamlicha/AppData/Local/Microsoft/Windows/INetCache/Content.Outlook/SNFIHASG/Chapitre-Puits-Carbone-GraphiquePuitsTechno-4.2_revFP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lkhamlicha/OneDrive%20-%20ADEMEBox/SFAB/Prospective/puits-carbone/RUN5/RUN5-Energie%20et%20GES-25-06-2021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irect-ademebox.ademe.fr/perso/elkhamlicha/Documents/SI/PROSPECTIVE/RUN4%20-%20D&#233;chets%20conversion%20GES%20et%20&#233;nergie_ges_biogen-CC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30"/>
      <sheetName val="TEND-2030"/>
      <sheetName val="S2-2030"/>
      <sheetName val="S3-2030 "/>
      <sheetName val="S4-2030 "/>
      <sheetName val="Résultats GES process 2030"/>
      <sheetName val="TEND-2050"/>
      <sheetName val="S2-2050 "/>
      <sheetName val="S3-2050 "/>
      <sheetName val="S4-2050"/>
      <sheetName val="Résultats GES process 2050"/>
      <sheetName val="2050"/>
      <sheetName val="BECCS-2030"/>
      <sheetName val="BECCS-2050"/>
      <sheetName val="FE"/>
      <sheetName val="Feuil1"/>
    </sheetNames>
    <sheetDataSet>
      <sheetData sheetId="0"/>
      <sheetData sheetId="1">
        <row r="9">
          <cell r="AS9">
            <v>34.85495618337665</v>
          </cell>
          <cell r="AT9">
            <v>1431.9067479505409</v>
          </cell>
        </row>
      </sheetData>
      <sheetData sheetId="2">
        <row r="9">
          <cell r="AS9">
            <v>16.96021563741094</v>
          </cell>
          <cell r="AT9">
            <v>170.46874086389042</v>
          </cell>
        </row>
      </sheetData>
      <sheetData sheetId="3">
        <row r="9">
          <cell r="AS9">
            <v>87.216768879910092</v>
          </cell>
          <cell r="AT9">
            <v>3029.7032060489037</v>
          </cell>
        </row>
      </sheetData>
      <sheetData sheetId="4">
        <row r="9">
          <cell r="AS9">
            <v>181.05263614120875</v>
          </cell>
          <cell r="AT9">
            <v>5430.1906362911541</v>
          </cell>
        </row>
      </sheetData>
      <sheetData sheetId="5"/>
      <sheetData sheetId="6">
        <row r="9">
          <cell r="AU9">
            <v>2521.1739139197821</v>
          </cell>
        </row>
      </sheetData>
      <sheetData sheetId="7">
        <row r="9">
          <cell r="AS9">
            <v>70.747467007255509</v>
          </cell>
          <cell r="AT9">
            <v>995.19871992604101</v>
          </cell>
        </row>
      </sheetData>
      <sheetData sheetId="8">
        <row r="9">
          <cell r="AS9">
            <v>166.5934298940636</v>
          </cell>
          <cell r="AT9">
            <v>5173.2741238392409</v>
          </cell>
        </row>
      </sheetData>
      <sheetData sheetId="9">
        <row r="9">
          <cell r="AS9">
            <v>449.80409848978468</v>
          </cell>
          <cell r="AT9">
            <v>24287.198278447751</v>
          </cell>
        </row>
      </sheetData>
      <sheetData sheetId="10"/>
      <sheetData sheetId="11"/>
      <sheetData sheetId="12"/>
      <sheetData sheetId="13"/>
      <sheetData sheetId="14"/>
      <sheetData sheetId="1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itsCarbone-graphepuitstechno"/>
      <sheetName val="donneesCCSmaj"/>
    </sheetNames>
    <sheetDataSet>
      <sheetData sheetId="0">
        <row r="6">
          <cell r="G6">
            <v>7.6527257651053796E-2</v>
          </cell>
          <cell r="I6">
            <v>0.33691669364482196</v>
          </cell>
          <cell r="J6">
            <v>0.247290619879518</v>
          </cell>
          <cell r="K6">
            <v>0</v>
          </cell>
          <cell r="M6">
            <v>9.4E-2</v>
          </cell>
        </row>
        <row r="8">
          <cell r="K8">
            <v>0</v>
          </cell>
        </row>
        <row r="9">
          <cell r="G9">
            <v>0.103880478393378</v>
          </cell>
          <cell r="I9">
            <v>1.9630753248839101</v>
          </cell>
          <cell r="J9">
            <v>1.252066275</v>
          </cell>
          <cell r="K9">
            <v>0</v>
          </cell>
          <cell r="M9">
            <v>1.5449999999999999</v>
          </cell>
        </row>
        <row r="10">
          <cell r="G10">
            <v>0.20046869596282399</v>
          </cell>
          <cell r="I10">
            <v>3.44521503670838</v>
          </cell>
          <cell r="J10">
            <v>1.0505271</v>
          </cell>
          <cell r="K10">
            <v>0.2445</v>
          </cell>
          <cell r="M10">
            <v>0.91200000000000003</v>
          </cell>
        </row>
        <row r="11">
          <cell r="G11">
            <v>0.184385793088469</v>
          </cell>
          <cell r="I11">
            <v>1.0671035550852301</v>
          </cell>
          <cell r="J11">
            <v>0.62662172727272691</v>
          </cell>
          <cell r="K11">
            <v>0</v>
          </cell>
          <cell r="M11">
            <v>2.052</v>
          </cell>
        </row>
        <row r="13">
          <cell r="D13">
            <v>0.70733294039999994</v>
          </cell>
        </row>
        <row r="14">
          <cell r="D14">
            <v>2.5788711964014501</v>
          </cell>
          <cell r="G14">
            <v>0.377852979080746</v>
          </cell>
          <cell r="I14">
            <v>5.0230076381959101</v>
          </cell>
          <cell r="J14">
            <v>5.7654632045454504</v>
          </cell>
          <cell r="K14">
            <v>0</v>
          </cell>
          <cell r="M14">
            <v>7.27</v>
          </cell>
        </row>
        <row r="15">
          <cell r="D15">
            <v>5.4304622833079499</v>
          </cell>
          <cell r="G15">
            <v>0.60463725796861101</v>
          </cell>
          <cell r="I15">
            <v>8.6598074466081805</v>
          </cell>
          <cell r="J15">
            <v>4.7349783409090893</v>
          </cell>
          <cell r="K15">
            <v>1.702</v>
          </cell>
          <cell r="M15">
            <v>8.7919999999999998</v>
          </cell>
        </row>
      </sheetData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isements"/>
      <sheetName val="UVE Energie - RC"/>
      <sheetName val="UVE GES"/>
    </sheetNames>
    <sheetDataSet>
      <sheetData sheetId="0" refreshError="1"/>
      <sheetData sheetId="1" refreshError="1"/>
      <sheetData sheetId="2" refreshError="1">
        <row r="3">
          <cell r="N3">
            <v>143.94726359246658</v>
          </cell>
          <cell r="O3">
            <v>346.82845269898922</v>
          </cell>
        </row>
        <row r="17">
          <cell r="N17">
            <v>206.19666732753296</v>
          </cell>
          <cell r="O17">
            <v>386.97475650237095</v>
          </cell>
        </row>
        <row r="23">
          <cell r="N23">
            <v>195.39849021621367</v>
          </cell>
          <cell r="O23">
            <v>710.7389451604879</v>
          </cell>
        </row>
        <row r="29">
          <cell r="N29">
            <v>377.08028623447427</v>
          </cell>
          <cell r="O29">
            <v>1137.3186681730695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nd"/>
      <sheetName val="S1"/>
      <sheetName val="S2"/>
      <sheetName val="S3"/>
      <sheetName val="S4"/>
    </sheetNames>
    <sheetDataSet>
      <sheetData sheetId="0">
        <row r="3">
          <cell r="N3">
            <v>1620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I39"/>
  <sheetViews>
    <sheetView workbookViewId="0">
      <selection activeCell="K9" sqref="K9"/>
    </sheetView>
  </sheetViews>
  <sheetFormatPr baseColWidth="10" defaultRowHeight="14.5" x14ac:dyDescent="0.35"/>
  <cols>
    <col min="2" max="2" width="29.6328125" customWidth="1"/>
    <col min="8" max="8" width="14.6328125" customWidth="1"/>
    <col min="9" max="9" width="16.26953125" customWidth="1"/>
  </cols>
  <sheetData>
    <row r="1" spans="2:9" x14ac:dyDescent="0.35">
      <c r="B1" t="s">
        <v>19</v>
      </c>
    </row>
    <row r="2" spans="2:9" ht="29" x14ac:dyDescent="0.35">
      <c r="B2" s="2" t="s">
        <v>18</v>
      </c>
      <c r="C2" s="2" t="s">
        <v>1</v>
      </c>
      <c r="D2" s="2" t="s">
        <v>2</v>
      </c>
      <c r="E2" s="6" t="s">
        <v>14</v>
      </c>
      <c r="F2" s="2" t="s">
        <v>3</v>
      </c>
      <c r="G2" s="6" t="s">
        <v>4</v>
      </c>
      <c r="H2" s="5" t="s">
        <v>13</v>
      </c>
      <c r="I2" s="5" t="s">
        <v>6</v>
      </c>
    </row>
    <row r="3" spans="2:9" x14ac:dyDescent="0.35">
      <c r="B3" s="2" t="s">
        <v>7</v>
      </c>
      <c r="C3" s="3">
        <v>23.298470250568922</v>
      </c>
      <c r="D3" s="3">
        <v>12.724010000724725</v>
      </c>
      <c r="E3" s="3">
        <v>0</v>
      </c>
      <c r="F3" s="3">
        <v>68.729588402516953</v>
      </c>
      <c r="G3" s="3">
        <v>24.051584715315943</v>
      </c>
      <c r="H3" s="3">
        <v>128.80365336912655</v>
      </c>
      <c r="I3" s="3">
        <v>351.6692556165853</v>
      </c>
    </row>
    <row r="4" spans="2:9" x14ac:dyDescent="0.35">
      <c r="B4" s="2" t="s">
        <v>8</v>
      </c>
      <c r="C4" s="3">
        <v>1130.8857055775968</v>
      </c>
      <c r="D4" s="3">
        <v>126.037793064027</v>
      </c>
      <c r="E4" s="3">
        <v>3</v>
      </c>
      <c r="F4" s="3">
        <v>5.7272026736828847</v>
      </c>
      <c r="G4" s="3">
        <v>10.14750518811266</v>
      </c>
      <c r="H4" s="3">
        <v>1275.7982065034194</v>
      </c>
      <c r="I4" s="3">
        <v>305.06749500471943</v>
      </c>
    </row>
    <row r="5" spans="2:9" x14ac:dyDescent="0.35">
      <c r="B5" s="2" t="s">
        <v>9</v>
      </c>
      <c r="C5" s="3">
        <v>0</v>
      </c>
      <c r="D5" s="3">
        <v>24.3285895876914</v>
      </c>
      <c r="E5" s="3">
        <v>2</v>
      </c>
      <c r="F5" s="3">
        <v>0.32043221035547254</v>
      </c>
      <c r="G5" s="3">
        <v>0.65586627994805147</v>
      </c>
      <c r="H5" s="3">
        <v>27.304888077994882</v>
      </c>
      <c r="I5" s="3">
        <v>52.184430332248013</v>
      </c>
    </row>
    <row r="6" spans="2:9" x14ac:dyDescent="0.35">
      <c r="B6" s="2" t="s">
        <v>10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</row>
    <row r="7" spans="2:9" x14ac:dyDescent="0.35">
      <c r="B7" s="2" t="s">
        <v>11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</row>
    <row r="8" spans="2:9" x14ac:dyDescent="0.35">
      <c r="B8" s="2" t="s">
        <v>12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</row>
    <row r="9" spans="2:9" x14ac:dyDescent="0.35">
      <c r="B9" s="2" t="s">
        <v>5</v>
      </c>
      <c r="C9" s="3">
        <v>1154.1841758281657</v>
      </c>
      <c r="D9" s="3">
        <v>163.090392652443</v>
      </c>
      <c r="E9" s="3">
        <v>5</v>
      </c>
      <c r="F9" s="3">
        <v>74.777223286555312</v>
      </c>
      <c r="G9" s="3">
        <v>34.85495618337665</v>
      </c>
      <c r="H9" s="3">
        <v>1431.9067479505409</v>
      </c>
      <c r="I9" s="3">
        <v>708.92118095355272</v>
      </c>
    </row>
    <row r="10" spans="2:9" x14ac:dyDescent="0.35">
      <c r="B10" s="4"/>
      <c r="C10" s="4"/>
      <c r="D10" s="4"/>
      <c r="E10" s="4"/>
      <c r="F10" s="4"/>
      <c r="G10" s="4"/>
      <c r="H10" s="4"/>
      <c r="I10" s="4"/>
    </row>
    <row r="12" spans="2:9" ht="29" x14ac:dyDescent="0.35">
      <c r="B12" s="2" t="s">
        <v>15</v>
      </c>
      <c r="C12" s="2" t="s">
        <v>1</v>
      </c>
      <c r="D12" s="2" t="s">
        <v>2</v>
      </c>
      <c r="E12" s="6" t="s">
        <v>14</v>
      </c>
      <c r="F12" s="2" t="s">
        <v>3</v>
      </c>
      <c r="G12" s="6" t="s">
        <v>4</v>
      </c>
      <c r="H12" s="5" t="s">
        <v>13</v>
      </c>
      <c r="I12" s="5" t="s">
        <v>6</v>
      </c>
    </row>
    <row r="13" spans="2:9" x14ac:dyDescent="0.35">
      <c r="B13" s="2" t="s">
        <v>7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</row>
    <row r="14" spans="2:9" x14ac:dyDescent="0.35">
      <c r="B14" s="2" t="s">
        <v>8</v>
      </c>
      <c r="C14" s="3">
        <v>31.598769079912472</v>
      </c>
      <c r="D14" s="3">
        <v>97.795292858026713</v>
      </c>
      <c r="E14" s="3">
        <v>0</v>
      </c>
      <c r="F14" s="3">
        <v>2.7186281663303795</v>
      </c>
      <c r="G14" s="3">
        <v>12.608122101549144</v>
      </c>
      <c r="H14" s="3">
        <v>144.7208122058187</v>
      </c>
      <c r="I14" s="3">
        <v>254.45270188258215</v>
      </c>
    </row>
    <row r="15" spans="2:9" x14ac:dyDescent="0.35">
      <c r="B15" s="2" t="s">
        <v>9</v>
      </c>
      <c r="C15" s="3">
        <v>0</v>
      </c>
      <c r="D15" s="3">
        <v>21.114760842027728</v>
      </c>
      <c r="E15" s="3">
        <v>0</v>
      </c>
      <c r="F15" s="3">
        <v>0.281074280182189</v>
      </c>
      <c r="G15" s="3">
        <v>4.3520935358617967</v>
      </c>
      <c r="H15" s="3">
        <v>25.747928658071714</v>
      </c>
      <c r="I15" s="3">
        <v>52.184430332248013</v>
      </c>
    </row>
    <row r="16" spans="2:9" x14ac:dyDescent="0.35">
      <c r="B16" s="2" t="s">
        <v>10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</row>
    <row r="17" spans="2:9" x14ac:dyDescent="0.35">
      <c r="B17" s="2" t="s">
        <v>11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</row>
    <row r="18" spans="2:9" x14ac:dyDescent="0.35">
      <c r="B18" s="2" t="s">
        <v>12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</row>
    <row r="19" spans="2:9" x14ac:dyDescent="0.35">
      <c r="B19" s="2" t="s">
        <v>5</v>
      </c>
      <c r="C19" s="3">
        <v>31.598769079912472</v>
      </c>
      <c r="D19" s="3">
        <v>118.91005370005445</v>
      </c>
      <c r="E19" s="3">
        <v>0</v>
      </c>
      <c r="F19" s="3">
        <v>2.9997024465125683</v>
      </c>
      <c r="G19" s="3">
        <v>16.96021563741094</v>
      </c>
      <c r="H19" s="3">
        <v>170.46874086389042</v>
      </c>
      <c r="I19" s="3">
        <v>306.63713221483016</v>
      </c>
    </row>
    <row r="20" spans="2:9" x14ac:dyDescent="0.35">
      <c r="B20" s="2"/>
      <c r="C20" s="2"/>
      <c r="D20" s="2"/>
      <c r="E20" s="2"/>
      <c r="F20" s="2"/>
      <c r="G20" s="2"/>
      <c r="H20" s="5"/>
      <c r="I20" s="5"/>
    </row>
    <row r="22" spans="2:9" ht="29" x14ac:dyDescent="0.35">
      <c r="B22" s="2" t="s">
        <v>16</v>
      </c>
      <c r="C22" s="2" t="s">
        <v>1</v>
      </c>
      <c r="D22" s="2" t="s">
        <v>2</v>
      </c>
      <c r="E22" s="6" t="s">
        <v>14</v>
      </c>
      <c r="F22" s="2" t="s">
        <v>3</v>
      </c>
      <c r="G22" s="6" t="s">
        <v>4</v>
      </c>
      <c r="H22" s="5" t="s">
        <v>13</v>
      </c>
      <c r="I22" s="5" t="s">
        <v>6</v>
      </c>
    </row>
    <row r="23" spans="2:9" x14ac:dyDescent="0.35">
      <c r="B23" s="2" t="s">
        <v>7</v>
      </c>
      <c r="C23" s="3">
        <v>31.722471072836669</v>
      </c>
      <c r="D23" s="3">
        <v>37.566797424651561</v>
      </c>
      <c r="E23" s="3">
        <v>0</v>
      </c>
      <c r="F23" s="3">
        <v>92.953506079031627</v>
      </c>
      <c r="G23" s="3">
        <v>52.62733875367848</v>
      </c>
      <c r="H23" s="3">
        <v>214.87011333019834</v>
      </c>
      <c r="I23" s="3">
        <v>706.69918372951486</v>
      </c>
    </row>
    <row r="24" spans="2:9" x14ac:dyDescent="0.35">
      <c r="B24" s="2" t="s">
        <v>8</v>
      </c>
      <c r="C24" s="3">
        <v>2206.4271537005861</v>
      </c>
      <c r="D24" s="3">
        <v>448.59164916999993</v>
      </c>
      <c r="E24" s="3">
        <v>0</v>
      </c>
      <c r="F24" s="3">
        <v>16.202813609047549</v>
      </c>
      <c r="G24" s="3">
        <v>31.853600496460039</v>
      </c>
      <c r="H24" s="3">
        <v>2703.0752169760935</v>
      </c>
      <c r="I24" s="3">
        <v>907.69754768760606</v>
      </c>
    </row>
    <row r="25" spans="2:9" x14ac:dyDescent="0.35">
      <c r="B25" s="2" t="s">
        <v>9</v>
      </c>
      <c r="C25" s="3">
        <v>0</v>
      </c>
      <c r="D25" s="3">
        <v>107.69056483182506</v>
      </c>
      <c r="E25" s="3">
        <v>0</v>
      </c>
      <c r="F25" s="3">
        <v>1.3314812810152832</v>
      </c>
      <c r="G25" s="3">
        <v>2.7358296297715659</v>
      </c>
      <c r="H25" s="3">
        <v>111.75787574261192</v>
      </c>
      <c r="I25" s="3">
        <v>260.92215166124004</v>
      </c>
    </row>
    <row r="26" spans="2:9" x14ac:dyDescent="0.35">
      <c r="B26" s="2" t="s">
        <v>10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</row>
    <row r="27" spans="2:9" x14ac:dyDescent="0.35">
      <c r="B27" s="2" t="s">
        <v>11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</row>
    <row r="28" spans="2:9" x14ac:dyDescent="0.35">
      <c r="B28" s="2" t="s">
        <v>12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</row>
    <row r="29" spans="2:9" x14ac:dyDescent="0.35">
      <c r="B29" s="2" t="s">
        <v>5</v>
      </c>
      <c r="C29" s="3">
        <v>2238.1496247734226</v>
      </c>
      <c r="D29" s="3">
        <v>593.84901142647652</v>
      </c>
      <c r="E29" s="3">
        <v>0</v>
      </c>
      <c r="F29" s="3">
        <v>110.48780096909447</v>
      </c>
      <c r="G29" s="3">
        <v>87.216768879910092</v>
      </c>
      <c r="H29" s="3">
        <v>3029.7032060489037</v>
      </c>
      <c r="I29" s="3">
        <v>1875.3188830783611</v>
      </c>
    </row>
    <row r="32" spans="2:9" ht="29" x14ac:dyDescent="0.35">
      <c r="B32" s="2" t="s">
        <v>17</v>
      </c>
      <c r="C32" s="2" t="s">
        <v>1</v>
      </c>
      <c r="D32" s="2" t="s">
        <v>2</v>
      </c>
      <c r="E32" s="6" t="s">
        <v>14</v>
      </c>
      <c r="F32" s="2" t="s">
        <v>3</v>
      </c>
      <c r="G32" s="6" t="s">
        <v>4</v>
      </c>
      <c r="H32" s="5" t="s">
        <v>13</v>
      </c>
      <c r="I32" s="5" t="s">
        <v>6</v>
      </c>
    </row>
    <row r="33" spans="2:9" x14ac:dyDescent="0.35">
      <c r="B33" s="2" t="s">
        <v>7</v>
      </c>
      <c r="C33" s="3">
        <v>127.18216974718742</v>
      </c>
      <c r="D33" s="3">
        <v>69.204349252879027</v>
      </c>
      <c r="E33" s="3">
        <v>0</v>
      </c>
      <c r="F33" s="3">
        <v>375.53186031728467</v>
      </c>
      <c r="G33" s="3">
        <v>131.35549265410526</v>
      </c>
      <c r="H33" s="3">
        <v>703.2738719714564</v>
      </c>
      <c r="I33" s="3">
        <v>703.2738719714564</v>
      </c>
    </row>
    <row r="34" spans="2:9" x14ac:dyDescent="0.35">
      <c r="B34" s="2" t="s">
        <v>8</v>
      </c>
      <c r="C34" s="3">
        <v>3380.0333259481408</v>
      </c>
      <c r="D34" s="3">
        <v>360.055011862691</v>
      </c>
      <c r="E34" s="3">
        <v>0</v>
      </c>
      <c r="F34" s="3">
        <v>16.344995379193641</v>
      </c>
      <c r="G34" s="3">
        <v>29.826502676567017</v>
      </c>
      <c r="H34" s="3">
        <v>3786.2598358665928</v>
      </c>
      <c r="I34" s="3">
        <v>3786.2598358665923</v>
      </c>
    </row>
    <row r="35" spans="2:9" x14ac:dyDescent="0.35">
      <c r="B35" s="2" t="s">
        <v>9</v>
      </c>
      <c r="C35" s="3">
        <v>0</v>
      </c>
      <c r="D35" s="3">
        <v>116.93647502663114</v>
      </c>
      <c r="E35" s="3">
        <v>0</v>
      </c>
      <c r="F35" s="3">
        <v>1.4304448080873766</v>
      </c>
      <c r="G35" s="3">
        <v>2.9325826775763462</v>
      </c>
      <c r="H35" s="3">
        <v>121.29950251229486</v>
      </c>
      <c r="I35" s="3">
        <v>121.29950251229488</v>
      </c>
    </row>
    <row r="36" spans="2:9" x14ac:dyDescent="0.35">
      <c r="B36" s="2" t="s">
        <v>10</v>
      </c>
      <c r="C36" s="3">
        <v>14.618158105180283</v>
      </c>
      <c r="D36" s="3">
        <v>250.61909516659736</v>
      </c>
      <c r="E36" s="3">
        <v>0</v>
      </c>
      <c r="F36" s="3">
        <v>144.16871280985922</v>
      </c>
      <c r="G36" s="3">
        <v>16.938058132960116</v>
      </c>
      <c r="H36" s="3">
        <v>426.34402421459697</v>
      </c>
      <c r="I36" s="3">
        <v>426.34402421459703</v>
      </c>
    </row>
    <row r="37" spans="2:9" x14ac:dyDescent="0.35">
      <c r="B37" s="2" t="s">
        <v>11</v>
      </c>
      <c r="C37" s="3">
        <v>0</v>
      </c>
      <c r="D37" s="3">
        <v>330.7333667856139</v>
      </c>
      <c r="E37" s="3">
        <f>1654*0.7</f>
        <v>1157.8</v>
      </c>
      <c r="F37" s="3">
        <v>62.280034940599357</v>
      </c>
      <c r="G37" s="3">
        <v>0</v>
      </c>
      <c r="H37" s="3">
        <v>393.01340172621326</v>
      </c>
      <c r="I37" s="3">
        <v>393.01340172621326</v>
      </c>
    </row>
    <row r="38" spans="2:9" x14ac:dyDescent="0.35">
      <c r="B38" s="2" t="s">
        <v>12</v>
      </c>
      <c r="C38" s="3">
        <v>0</v>
      </c>
      <c r="D38" s="3">
        <v>0</v>
      </c>
      <c r="E38" s="3">
        <f>6412*0.7</f>
        <v>4488.3999999999996</v>
      </c>
      <c r="F38" s="3">
        <v>0</v>
      </c>
      <c r="G38" s="3">
        <v>0</v>
      </c>
      <c r="H38" s="3">
        <v>0</v>
      </c>
      <c r="I38" s="3">
        <v>0</v>
      </c>
    </row>
    <row r="39" spans="2:9" x14ac:dyDescent="0.35">
      <c r="B39" s="2" t="s">
        <v>5</v>
      </c>
      <c r="C39" s="3">
        <v>3521.8336538005083</v>
      </c>
      <c r="D39" s="3">
        <v>1127.5482980944125</v>
      </c>
      <c r="E39" s="3">
        <f>SUM(E33:E38)</f>
        <v>5646.2</v>
      </c>
      <c r="F39" s="3">
        <v>599.75604825502421</v>
      </c>
      <c r="G39" s="3">
        <v>181.05263614120875</v>
      </c>
      <c r="H39" s="3">
        <v>5430.1906362911541</v>
      </c>
      <c r="I39" s="3">
        <v>5430.1906362911541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I39"/>
  <sheetViews>
    <sheetView topLeftCell="A12" workbookViewId="0">
      <selection activeCell="H9" sqref="H9:I9"/>
    </sheetView>
  </sheetViews>
  <sheetFormatPr baseColWidth="10" defaultRowHeight="14.5" x14ac:dyDescent="0.35"/>
  <cols>
    <col min="2" max="2" width="29.6328125" customWidth="1"/>
    <col min="8" max="8" width="14.6328125" customWidth="1"/>
    <col min="9" max="9" width="16.26953125" customWidth="1"/>
  </cols>
  <sheetData>
    <row r="1" spans="2:9" x14ac:dyDescent="0.35">
      <c r="B1" t="s">
        <v>67</v>
      </c>
    </row>
    <row r="2" spans="2:9" ht="29" x14ac:dyDescent="0.35">
      <c r="B2" s="2" t="s">
        <v>18</v>
      </c>
      <c r="C2" s="2" t="s">
        <v>1</v>
      </c>
      <c r="D2" s="2" t="s">
        <v>2</v>
      </c>
      <c r="E2" s="6" t="s">
        <v>14</v>
      </c>
      <c r="F2" s="2" t="s">
        <v>3</v>
      </c>
      <c r="G2" s="6" t="s">
        <v>4</v>
      </c>
      <c r="H2" s="5" t="s">
        <v>13</v>
      </c>
      <c r="I2" s="5" t="s">
        <v>6</v>
      </c>
    </row>
    <row r="3" spans="2:9" x14ac:dyDescent="0.35">
      <c r="B3" s="2" t="s">
        <v>7</v>
      </c>
      <c r="C3" s="3">
        <v>3.6009929824855349</v>
      </c>
      <c r="D3" s="3">
        <v>83.729192858982969</v>
      </c>
      <c r="E3" s="3">
        <v>0</v>
      </c>
      <c r="F3" s="3">
        <v>62.537887058120511</v>
      </c>
      <c r="G3" s="3">
        <v>62.537887058120511</v>
      </c>
      <c r="H3" s="3">
        <v>212.40595995770951</v>
      </c>
      <c r="I3" s="3">
        <v>481.69291310100544</v>
      </c>
    </row>
    <row r="4" spans="2:9" x14ac:dyDescent="0.35">
      <c r="B4" s="2" t="s">
        <v>8</v>
      </c>
      <c r="C4" s="3">
        <v>862.81688333852787</v>
      </c>
      <c r="D4" s="3">
        <v>19.912430732131995</v>
      </c>
      <c r="E4" s="3">
        <v>0</v>
      </c>
      <c r="F4" s="3">
        <v>36.143690115513522</v>
      </c>
      <c r="G4" s="3">
        <v>7.2287380231027045</v>
      </c>
      <c r="H4" s="3">
        <v>926.10174220927604</v>
      </c>
      <c r="I4" s="3">
        <v>1378.8030798487405</v>
      </c>
    </row>
    <row r="5" spans="2:9" x14ac:dyDescent="0.35">
      <c r="B5" s="2" t="s">
        <v>9</v>
      </c>
      <c r="C5" s="3">
        <v>665.10958593313717</v>
      </c>
      <c r="D5" s="3">
        <v>0</v>
      </c>
      <c r="E5" s="3">
        <v>0</v>
      </c>
      <c r="F5" s="3">
        <v>8.9340026264234105</v>
      </c>
      <c r="G5" s="3">
        <v>0.99266695849149011</v>
      </c>
      <c r="H5" s="3">
        <v>675.03625551805203</v>
      </c>
      <c r="I5" s="3">
        <v>3007.3679999999999</v>
      </c>
    </row>
    <row r="6" spans="2:9" x14ac:dyDescent="0.35">
      <c r="B6" s="2" t="s">
        <v>10</v>
      </c>
      <c r="C6" s="3">
        <v>0</v>
      </c>
      <c r="D6" s="3">
        <v>0</v>
      </c>
      <c r="E6" s="3">
        <v>0</v>
      </c>
      <c r="F6" s="3">
        <v>0</v>
      </c>
      <c r="G6" s="3">
        <v>3.7915549131814963</v>
      </c>
      <c r="H6" s="3">
        <v>3.7915549131814963</v>
      </c>
      <c r="I6" s="3">
        <v>0</v>
      </c>
    </row>
    <row r="7" spans="2:9" x14ac:dyDescent="0.35">
      <c r="B7" s="2" t="s">
        <v>11</v>
      </c>
      <c r="C7" s="3">
        <v>0</v>
      </c>
      <c r="D7" s="3">
        <v>0</v>
      </c>
      <c r="E7" s="3">
        <v>0</v>
      </c>
      <c r="F7" s="3">
        <v>0</v>
      </c>
      <c r="G7" s="3">
        <v>7.8817626222218919</v>
      </c>
      <c r="H7" s="3">
        <v>7.8817626222218919</v>
      </c>
      <c r="I7" s="3">
        <v>0</v>
      </c>
    </row>
    <row r="8" spans="2:9" x14ac:dyDescent="0.35">
      <c r="B8" s="2" t="s">
        <v>12</v>
      </c>
      <c r="C8" s="3">
        <v>0</v>
      </c>
      <c r="D8" s="3">
        <v>0</v>
      </c>
      <c r="E8" s="3">
        <v>0</v>
      </c>
      <c r="F8" s="3">
        <v>0</v>
      </c>
      <c r="G8" s="3">
        <v>695.95663869934106</v>
      </c>
      <c r="H8" s="3">
        <v>695.95663869934106</v>
      </c>
      <c r="I8" s="3">
        <v>0</v>
      </c>
    </row>
    <row r="9" spans="2:9" x14ac:dyDescent="0.35">
      <c r="B9" s="2" t="s">
        <v>5</v>
      </c>
      <c r="C9" s="3">
        <v>1531.5274622541506</v>
      </c>
      <c r="D9" s="3">
        <v>103.64162359111496</v>
      </c>
      <c r="E9" s="3">
        <v>0</v>
      </c>
      <c r="F9" s="3">
        <v>107.61557980005743</v>
      </c>
      <c r="G9" s="3">
        <v>778.38924827445908</v>
      </c>
      <c r="H9" s="3">
        <v>2521.1739139197821</v>
      </c>
      <c r="I9" s="3">
        <v>4867.8639929497458</v>
      </c>
    </row>
    <row r="10" spans="2:9" x14ac:dyDescent="0.35">
      <c r="B10" s="4"/>
      <c r="C10" s="4"/>
      <c r="D10" s="4"/>
      <c r="E10" s="4"/>
      <c r="F10" s="4"/>
      <c r="G10" s="4"/>
      <c r="H10" s="4"/>
      <c r="I10" s="4"/>
    </row>
    <row r="12" spans="2:9" ht="29" x14ac:dyDescent="0.35">
      <c r="B12" s="2" t="s">
        <v>15</v>
      </c>
      <c r="C12" s="2" t="s">
        <v>1</v>
      </c>
      <c r="D12" s="2" t="s">
        <v>2</v>
      </c>
      <c r="E12" s="6" t="s">
        <v>14</v>
      </c>
      <c r="F12" s="2" t="s">
        <v>3</v>
      </c>
      <c r="G12" s="6" t="s">
        <v>4</v>
      </c>
      <c r="H12" s="5" t="s">
        <v>13</v>
      </c>
      <c r="I12" s="5" t="s">
        <v>6</v>
      </c>
    </row>
    <row r="13" spans="2:9" x14ac:dyDescent="0.35">
      <c r="B13" s="2" t="s">
        <v>7</v>
      </c>
      <c r="C13" s="3">
        <v>0</v>
      </c>
      <c r="D13" s="3">
        <f>3*0.1</f>
        <v>0.30000000000000004</v>
      </c>
      <c r="E13" s="3">
        <f>3*0.9</f>
        <v>2.7</v>
      </c>
      <c r="F13" s="3">
        <v>11.695544097802456</v>
      </c>
      <c r="G13" s="3">
        <v>23.623042486004266</v>
      </c>
      <c r="H13" s="3">
        <v>37.830750162485927</v>
      </c>
      <c r="I13" s="3">
        <v>375.45676979343045</v>
      </c>
    </row>
    <row r="14" spans="2:9" x14ac:dyDescent="0.35">
      <c r="B14" s="2" t="s">
        <v>8</v>
      </c>
      <c r="C14" s="3">
        <v>148.10657734507168</v>
      </c>
      <c r="D14" s="3">
        <f>420.748153668782*0.1</f>
        <v>42.074815366878198</v>
      </c>
      <c r="E14" s="3">
        <f>421*0.9</f>
        <v>378.90000000000003</v>
      </c>
      <c r="F14" s="3">
        <v>0</v>
      </c>
      <c r="G14" s="3">
        <v>43.735726633241633</v>
      </c>
      <c r="H14" s="3">
        <v>612.5904576470956</v>
      </c>
      <c r="I14" s="3">
        <v>1456.8959830044521</v>
      </c>
    </row>
    <row r="15" spans="2:9" x14ac:dyDescent="0.35">
      <c r="B15" s="2" t="s">
        <v>9</v>
      </c>
      <c r="C15" s="3">
        <v>0</v>
      </c>
      <c r="D15" s="3">
        <f>105.218781517544*0.1</f>
        <v>10.5218781517544</v>
      </c>
      <c r="E15" s="3">
        <f>105*0.9</f>
        <v>94.5</v>
      </c>
      <c r="F15" s="3">
        <v>0</v>
      </c>
      <c r="G15" s="3">
        <v>3.3886978880096223</v>
      </c>
      <c r="H15" s="3">
        <v>108.60747940555336</v>
      </c>
      <c r="I15" s="3">
        <v>0</v>
      </c>
    </row>
    <row r="16" spans="2:9" x14ac:dyDescent="0.35">
      <c r="B16" s="2" t="s">
        <v>10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</row>
    <row r="17" spans="2:9" x14ac:dyDescent="0.35">
      <c r="B17" s="2" t="s">
        <v>11</v>
      </c>
      <c r="C17" s="3">
        <v>0</v>
      </c>
      <c r="D17" s="3">
        <f>236.170032710906*0.1</f>
        <v>23.617003271090603</v>
      </c>
      <c r="E17" s="3">
        <f>236*0.9</f>
        <v>212.4</v>
      </c>
      <c r="F17" s="3">
        <v>0</v>
      </c>
      <c r="G17" s="3">
        <v>0</v>
      </c>
      <c r="H17" s="3">
        <v>236.1700327109061</v>
      </c>
      <c r="I17" s="3">
        <v>19.687329331656816</v>
      </c>
    </row>
    <row r="18" spans="2:9" x14ac:dyDescent="0.35">
      <c r="B18" s="2" t="s">
        <v>12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</row>
    <row r="19" spans="2:9" x14ac:dyDescent="0.35">
      <c r="B19" s="2" t="s">
        <v>5</v>
      </c>
      <c r="C19" s="3">
        <v>148.10657734507168</v>
      </c>
      <c r="D19" s="3">
        <f>SUM(D13:D18)</f>
        <v>76.513696789723198</v>
      </c>
      <c r="E19" s="3">
        <f>SUM(E13:E18)</f>
        <v>688.5</v>
      </c>
      <c r="F19" s="3">
        <v>11.695544097802456</v>
      </c>
      <c r="G19" s="3">
        <v>70.747467007255509</v>
      </c>
      <c r="H19" s="3">
        <v>995.19871992604101</v>
      </c>
      <c r="I19" s="3">
        <v>1852.0400821295395</v>
      </c>
    </row>
    <row r="20" spans="2:9" x14ac:dyDescent="0.35">
      <c r="B20" s="2"/>
      <c r="C20" s="2"/>
      <c r="D20" s="2"/>
      <c r="E20" s="2"/>
      <c r="F20" s="2"/>
      <c r="G20" s="2"/>
      <c r="H20" s="5"/>
      <c r="I20" s="5"/>
    </row>
    <row r="22" spans="2:9" ht="29" x14ac:dyDescent="0.35">
      <c r="B22" s="2" t="s">
        <v>16</v>
      </c>
      <c r="C22" s="2" t="s">
        <v>1</v>
      </c>
      <c r="D22" s="2" t="s">
        <v>2</v>
      </c>
      <c r="E22" s="6" t="s">
        <v>14</v>
      </c>
      <c r="F22" s="2" t="s">
        <v>3</v>
      </c>
      <c r="G22" s="6" t="s">
        <v>4</v>
      </c>
      <c r="H22" s="5" t="s">
        <v>13</v>
      </c>
      <c r="I22" s="5" t="s">
        <v>6</v>
      </c>
    </row>
    <row r="23" spans="2:9" x14ac:dyDescent="0.35">
      <c r="B23" s="2" t="s">
        <v>7</v>
      </c>
      <c r="C23" s="3">
        <v>0</v>
      </c>
      <c r="D23" s="3">
        <f>58.6474075267367*0.2</f>
        <v>11.729481505347341</v>
      </c>
      <c r="E23" s="3">
        <f>59*0.8</f>
        <v>47.2</v>
      </c>
      <c r="F23" s="3">
        <v>4.444119863988117E-2</v>
      </c>
      <c r="G23" s="3">
        <v>118.50329153376929</v>
      </c>
      <c r="H23" s="3">
        <v>177.19514025914589</v>
      </c>
      <c r="I23" s="3">
        <v>1630.8480873926017</v>
      </c>
    </row>
    <row r="24" spans="2:9" x14ac:dyDescent="0.35">
      <c r="B24" s="2" t="s">
        <v>8</v>
      </c>
      <c r="C24" s="3">
        <v>1394.0900437840601</v>
      </c>
      <c r="D24" s="3">
        <f>468.815057099753*0.2</f>
        <v>93.763011419950601</v>
      </c>
      <c r="E24" s="3">
        <f>469*0.8</f>
        <v>375.20000000000005</v>
      </c>
      <c r="F24" s="3">
        <v>15.344003156843224</v>
      </c>
      <c r="G24" s="3">
        <v>33.154610835207237</v>
      </c>
      <c r="H24" s="3">
        <v>1911.4037148758634</v>
      </c>
      <c r="I24" s="3">
        <v>1350.6595648741691</v>
      </c>
    </row>
    <row r="25" spans="2:9" x14ac:dyDescent="0.35">
      <c r="B25" s="2" t="s">
        <v>9</v>
      </c>
      <c r="C25" s="3">
        <v>0</v>
      </c>
      <c r="D25" s="3">
        <f>134.097477304737*0.2</f>
        <v>26.819495460947401</v>
      </c>
      <c r="E25" s="3">
        <f>134*0.8</f>
        <v>107.2</v>
      </c>
      <c r="F25" s="3">
        <v>0</v>
      </c>
      <c r="G25" s="3">
        <v>5.0616375521505214E-3</v>
      </c>
      <c r="H25" s="3">
        <v>134.10253894228936</v>
      </c>
      <c r="I25" s="3">
        <v>0</v>
      </c>
    </row>
    <row r="26" spans="2:9" x14ac:dyDescent="0.35">
      <c r="B26" s="2" t="s">
        <v>10</v>
      </c>
      <c r="C26" s="3">
        <v>0</v>
      </c>
      <c r="D26" s="3">
        <f>61.1311452068445*0.2</f>
        <v>12.226229041368901</v>
      </c>
      <c r="E26" s="3">
        <f>61*0.8</f>
        <v>48.800000000000004</v>
      </c>
      <c r="F26" s="3">
        <v>23.095351158404895</v>
      </c>
      <c r="G26" s="3">
        <v>5.1038548774455572</v>
      </c>
      <c r="H26" s="3">
        <v>89.33035124269496</v>
      </c>
      <c r="I26" s="3">
        <v>1494.6478211005383</v>
      </c>
    </row>
    <row r="27" spans="2:9" x14ac:dyDescent="0.35">
      <c r="B27" s="2" t="s">
        <v>11</v>
      </c>
      <c r="C27" s="3">
        <v>0</v>
      </c>
      <c r="D27" s="3">
        <f>226.919308018481*0.2</f>
        <v>45.383861603696204</v>
      </c>
      <c r="E27" s="3">
        <f>227*0.8</f>
        <v>181.60000000000002</v>
      </c>
      <c r="F27" s="3">
        <v>2.2349109137526866</v>
      </c>
      <c r="G27" s="3">
        <v>0</v>
      </c>
      <c r="H27" s="3">
        <v>229.1542189322339</v>
      </c>
      <c r="I27" s="3">
        <v>133.54477722427347</v>
      </c>
    </row>
    <row r="28" spans="2:9" x14ac:dyDescent="0.35">
      <c r="B28" s="2" t="s">
        <v>12</v>
      </c>
      <c r="C28" s="3">
        <v>0</v>
      </c>
      <c r="D28" s="3">
        <f>1912.73233661357*0.2</f>
        <v>382.54646732271402</v>
      </c>
      <c r="E28" s="3">
        <f>1913*0.8</f>
        <v>1530.4</v>
      </c>
      <c r="F28" s="3">
        <v>709.52921196335285</v>
      </c>
      <c r="G28" s="3">
        <v>9.8266110100893655</v>
      </c>
      <c r="H28" s="3">
        <v>2632.0881595870137</v>
      </c>
      <c r="I28" s="3">
        <v>517.92655197159991</v>
      </c>
    </row>
    <row r="29" spans="2:9" x14ac:dyDescent="0.35">
      <c r="B29" s="2" t="s">
        <v>5</v>
      </c>
      <c r="C29" s="3">
        <v>1394.0900437840601</v>
      </c>
      <c r="D29" s="3">
        <f>SUM(D23:D28)</f>
        <v>572.46854635402451</v>
      </c>
      <c r="E29" s="3">
        <f>SUM(E23:E28)</f>
        <v>2290.4</v>
      </c>
      <c r="F29" s="3">
        <v>750.2479183909935</v>
      </c>
      <c r="G29" s="3">
        <v>166.5934298940636</v>
      </c>
      <c r="H29" s="3">
        <v>5173.2741238392409</v>
      </c>
      <c r="I29" s="3">
        <v>5127.6268025631825</v>
      </c>
    </row>
    <row r="32" spans="2:9" ht="29" x14ac:dyDescent="0.35">
      <c r="B32" s="2" t="s">
        <v>17</v>
      </c>
      <c r="C32" s="2" t="s">
        <v>1</v>
      </c>
      <c r="D32" s="2" t="s">
        <v>2</v>
      </c>
      <c r="E32" s="6" t="s">
        <v>14</v>
      </c>
      <c r="F32" s="2" t="s">
        <v>3</v>
      </c>
      <c r="G32" s="6" t="s">
        <v>4</v>
      </c>
      <c r="H32" s="5" t="s">
        <v>13</v>
      </c>
      <c r="I32" s="5" t="s">
        <v>6</v>
      </c>
    </row>
    <row r="33" spans="2:9" x14ac:dyDescent="0.35">
      <c r="B33" s="2" t="s">
        <v>7</v>
      </c>
      <c r="C33" s="3">
        <v>293.1776369004283</v>
      </c>
      <c r="D33" s="3">
        <v>6</v>
      </c>
      <c r="E33" s="3">
        <v>0</v>
      </c>
      <c r="F33" s="3">
        <v>882.45980091991476</v>
      </c>
      <c r="G33" s="3">
        <v>350.89158482295892</v>
      </c>
      <c r="H33" s="3">
        <v>1532.6136898092147</v>
      </c>
      <c r="I33" s="3">
        <v>5333.954547011328</v>
      </c>
    </row>
    <row r="34" spans="2:9" x14ac:dyDescent="0.35">
      <c r="B34" s="2" t="s">
        <v>8</v>
      </c>
      <c r="C34" s="3">
        <v>10123.981435519645</v>
      </c>
      <c r="D34" s="3">
        <v>980.63283989884292</v>
      </c>
      <c r="E34" s="3">
        <v>0</v>
      </c>
      <c r="F34" s="3">
        <v>35.998566320652529</v>
      </c>
      <c r="G34" s="3">
        <v>62.256562706092446</v>
      </c>
      <c r="H34" s="3">
        <v>11202.869404445231</v>
      </c>
      <c r="I34" s="3">
        <v>2547.2105032463842</v>
      </c>
    </row>
    <row r="35" spans="2:9" x14ac:dyDescent="0.35">
      <c r="B35" s="2" t="s">
        <v>9</v>
      </c>
      <c r="C35" s="3">
        <v>0</v>
      </c>
      <c r="D35" s="3">
        <v>210.48565504793601</v>
      </c>
      <c r="E35" s="3">
        <v>0</v>
      </c>
      <c r="F35" s="3">
        <v>0</v>
      </c>
      <c r="G35" s="3">
        <v>0.13647149505201145</v>
      </c>
      <c r="H35" s="3">
        <v>210.62212654298801</v>
      </c>
      <c r="I35" s="3">
        <v>2858.652</v>
      </c>
    </row>
    <row r="36" spans="2:9" x14ac:dyDescent="0.35">
      <c r="B36" s="2" t="s">
        <v>10</v>
      </c>
      <c r="C36" s="3">
        <v>0</v>
      </c>
      <c r="D36" s="3">
        <v>591.08204652823372</v>
      </c>
      <c r="E36" s="3">
        <v>0</v>
      </c>
      <c r="F36" s="3">
        <v>390.48277418092601</v>
      </c>
      <c r="G36" s="3">
        <v>18.094583821763713</v>
      </c>
      <c r="H36" s="3">
        <v>999.65940453092344</v>
      </c>
      <c r="I36" s="3">
        <v>3785.669735264768</v>
      </c>
    </row>
    <row r="37" spans="2:9" x14ac:dyDescent="0.35">
      <c r="B37" s="2" t="s">
        <v>11</v>
      </c>
      <c r="C37" s="3">
        <v>0</v>
      </c>
      <c r="D37" s="3">
        <f>1653.66683392807*0.3</f>
        <v>496.10005017842099</v>
      </c>
      <c r="E37" s="3">
        <f>1654*0.7</f>
        <v>1157.8</v>
      </c>
      <c r="F37" s="3">
        <v>170.26436792125065</v>
      </c>
      <c r="G37" s="3">
        <v>0</v>
      </c>
      <c r="H37" s="3">
        <v>1823.9312018493201</v>
      </c>
      <c r="I37" s="3">
        <v>364.71001951933295</v>
      </c>
    </row>
    <row r="38" spans="2:9" x14ac:dyDescent="0.35">
      <c r="B38" s="2" t="s">
        <v>12</v>
      </c>
      <c r="C38" s="3">
        <v>0</v>
      </c>
      <c r="D38" s="3">
        <f>6411.85065607966*0.3</f>
        <v>1923.5551968238981</v>
      </c>
      <c r="E38" s="3">
        <f>6412*0.7</f>
        <v>4488.3999999999996</v>
      </c>
      <c r="F38" s="3">
        <v>2087.226899546497</v>
      </c>
      <c r="G38" s="3">
        <v>18.424895643917559</v>
      </c>
      <c r="H38" s="3">
        <v>8517.5024512700747</v>
      </c>
      <c r="I38" s="3">
        <v>971.1122849467497</v>
      </c>
    </row>
    <row r="39" spans="2:9" x14ac:dyDescent="0.35">
      <c r="B39" s="2" t="s">
        <v>5</v>
      </c>
      <c r="C39" s="3">
        <v>10417.159072420072</v>
      </c>
      <c r="D39" s="3">
        <f>SUM(D33:D38)</f>
        <v>4207.8557884773318</v>
      </c>
      <c r="E39" s="3">
        <f>SUM(E33:E38)</f>
        <v>5646.2</v>
      </c>
      <c r="F39" s="3">
        <v>3566.4324088892408</v>
      </c>
      <c r="G39" s="3">
        <v>449.80409848978468</v>
      </c>
      <c r="H39" s="3">
        <v>24287.198278447751</v>
      </c>
      <c r="I39" s="3">
        <v>15861.309089988563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V15"/>
  <sheetViews>
    <sheetView tabSelected="1" topLeftCell="C1" workbookViewId="0">
      <selection activeCell="P12" sqref="P12"/>
    </sheetView>
  </sheetViews>
  <sheetFormatPr baseColWidth="10" defaultRowHeight="14.5" x14ac:dyDescent="0.35"/>
  <sheetData>
    <row r="2" spans="2:22" x14ac:dyDescent="0.35">
      <c r="B2" t="s">
        <v>38</v>
      </c>
      <c r="C2" t="s">
        <v>68</v>
      </c>
    </row>
    <row r="3" spans="2:22" ht="73" thickBot="1" x14ac:dyDescent="0.4">
      <c r="C3" s="7"/>
      <c r="D3" s="8" t="s">
        <v>20</v>
      </c>
      <c r="E3" s="9" t="s">
        <v>21</v>
      </c>
      <c r="F3" s="9" t="s">
        <v>22</v>
      </c>
      <c r="G3" s="9" t="s">
        <v>23</v>
      </c>
      <c r="H3" s="9" t="s">
        <v>24</v>
      </c>
      <c r="I3" s="10" t="s">
        <v>25</v>
      </c>
      <c r="J3" s="10" t="s">
        <v>26</v>
      </c>
      <c r="K3" s="10" t="s">
        <v>27</v>
      </c>
      <c r="L3" s="11" t="s">
        <v>28</v>
      </c>
      <c r="M3" s="12" t="s">
        <v>29</v>
      </c>
      <c r="N3" s="12" t="s">
        <v>30</v>
      </c>
      <c r="O3" s="13" t="s">
        <v>31</v>
      </c>
      <c r="P3" s="13" t="s">
        <v>32</v>
      </c>
      <c r="Q3" s="13" t="s">
        <v>33</v>
      </c>
      <c r="R3" s="14" t="s">
        <v>34</v>
      </c>
      <c r="S3" s="14" t="s">
        <v>35</v>
      </c>
    </row>
    <row r="4" spans="2:22" x14ac:dyDescent="0.35">
      <c r="C4" s="69">
        <v>2030</v>
      </c>
      <c r="D4" s="15" t="s">
        <v>0</v>
      </c>
      <c r="E4" s="16">
        <f>'[1]TEND-2030'!$AT$9</f>
        <v>1431.9067479505409</v>
      </c>
      <c r="F4" s="17">
        <v>39.85495618337665</v>
      </c>
      <c r="G4" s="17">
        <f>E4-F4</f>
        <v>1392.0517917671643</v>
      </c>
      <c r="H4" s="17">
        <v>709</v>
      </c>
      <c r="I4" s="16">
        <f>J4+K4</f>
        <v>220.47452124352037</v>
      </c>
      <c r="J4" s="17">
        <f>'[2]PuitsCarbone-graphepuitstechno'!G6*1000</f>
        <v>76.527257651053802</v>
      </c>
      <c r="K4" s="17">
        <f>'[3]UVE GES'!$N$3</f>
        <v>143.94726359246658</v>
      </c>
      <c r="L4" s="18">
        <f>'[2]PuitsCarbone-graphepuitstechno'!I6*1000</f>
        <v>336.91669364482198</v>
      </c>
      <c r="M4" s="18">
        <f>'[2]PuitsCarbone-graphepuitstechno'!J6*1000</f>
        <v>247.290619879518</v>
      </c>
      <c r="N4" s="19">
        <f>L4+M4</f>
        <v>584.20731352433995</v>
      </c>
      <c r="O4" s="20">
        <f>'[2]PuitsCarbone-graphepuitstechno'!K6*1000</f>
        <v>0</v>
      </c>
      <c r="P4" s="20">
        <v>0</v>
      </c>
      <c r="Q4" s="21">
        <f>'[2]PuitsCarbone-graphepuitstechno'!M6*1000</f>
        <v>94</v>
      </c>
      <c r="R4" s="22">
        <f>E4+I4+N4+H4+Q4</f>
        <v>3039.5885827184011</v>
      </c>
      <c r="S4" s="22">
        <f>F4+J4+L4+M4+Q4</f>
        <v>794.5895273587704</v>
      </c>
      <c r="U4" s="1"/>
      <c r="V4" s="1"/>
    </row>
    <row r="5" spans="2:22" x14ac:dyDescent="0.35">
      <c r="C5" s="69"/>
      <c r="D5" s="15" t="s">
        <v>37</v>
      </c>
      <c r="E5" s="20">
        <v>0</v>
      </c>
      <c r="F5" s="20">
        <v>0</v>
      </c>
      <c r="G5" s="20">
        <v>0</v>
      </c>
      <c r="H5" s="20">
        <v>0</v>
      </c>
      <c r="I5" s="20">
        <v>0</v>
      </c>
      <c r="J5" s="20">
        <v>0</v>
      </c>
      <c r="K5" s="20">
        <v>0</v>
      </c>
      <c r="L5" s="20">
        <v>0</v>
      </c>
      <c r="M5" s="20">
        <v>0</v>
      </c>
      <c r="N5" s="20">
        <v>0</v>
      </c>
      <c r="O5" s="20">
        <v>0</v>
      </c>
      <c r="P5" s="20">
        <v>0</v>
      </c>
      <c r="Q5" s="20">
        <v>0</v>
      </c>
      <c r="R5" s="20">
        <v>0</v>
      </c>
      <c r="S5" s="20">
        <v>0</v>
      </c>
      <c r="U5" s="1"/>
      <c r="V5" s="1"/>
    </row>
    <row r="6" spans="2:22" x14ac:dyDescent="0.35">
      <c r="C6" s="69"/>
      <c r="D6" s="15" t="s">
        <v>15</v>
      </c>
      <c r="E6" s="16">
        <f>'[1]S2-2030'!$AT$9</f>
        <v>170.46874086389042</v>
      </c>
      <c r="F6" s="23">
        <v>34.96021563741094</v>
      </c>
      <c r="G6" s="17">
        <f>E6-F6</f>
        <v>135.50852522647949</v>
      </c>
      <c r="H6" s="17">
        <v>307</v>
      </c>
      <c r="I6" s="16">
        <f>J6+K6</f>
        <v>206.19666732753296</v>
      </c>
      <c r="J6" s="23">
        <v>0</v>
      </c>
      <c r="K6" s="17">
        <f>'[3]UVE GES'!$N$17</f>
        <v>206.19666732753296</v>
      </c>
      <c r="L6" s="23">
        <v>0</v>
      </c>
      <c r="M6" s="23">
        <v>0</v>
      </c>
      <c r="N6" s="24">
        <f>L6+M6</f>
        <v>0</v>
      </c>
      <c r="O6" s="25">
        <f>'[2]PuitsCarbone-graphepuitstechno'!K8*1000</f>
        <v>0</v>
      </c>
      <c r="P6" s="20">
        <v>0</v>
      </c>
      <c r="Q6" s="26">
        <v>0</v>
      </c>
      <c r="R6" s="22">
        <f t="shared" ref="R6:R12" si="0">E6+I6+N6+H6+Q6</f>
        <v>683.66540819142335</v>
      </c>
      <c r="S6" s="17">
        <f t="shared" ref="S6:S7" si="1">F6+J6+L6+M6+Q6</f>
        <v>34.96021563741094</v>
      </c>
      <c r="U6" s="1"/>
      <c r="V6" s="1"/>
    </row>
    <row r="7" spans="2:22" x14ac:dyDescent="0.35">
      <c r="C7" s="69"/>
      <c r="D7" s="15" t="s">
        <v>16</v>
      </c>
      <c r="E7" s="27">
        <f>'[1]S3-2030 '!$AT$9</f>
        <v>3029.7032060489037</v>
      </c>
      <c r="F7" s="28">
        <v>169.21676887991009</v>
      </c>
      <c r="G7" s="28">
        <f>E7-F7</f>
        <v>2860.4864371689937</v>
      </c>
      <c r="H7" s="29">
        <v>1875</v>
      </c>
      <c r="I7" s="16">
        <f>J7+K7</f>
        <v>299.27896860959169</v>
      </c>
      <c r="J7" s="28">
        <f>'[2]PuitsCarbone-graphepuitstechno'!G9*1000</f>
        <v>103.880478393378</v>
      </c>
      <c r="K7" s="17">
        <f>'[3]UVE GES'!$N$23</f>
        <v>195.39849021621367</v>
      </c>
      <c r="L7" s="17">
        <f>'[2]PuitsCarbone-graphepuitstechno'!I9*1000</f>
        <v>1963.0753248839101</v>
      </c>
      <c r="M7" s="17">
        <f>'[2]PuitsCarbone-graphepuitstechno'!J9*1000</f>
        <v>1252.0662749999999</v>
      </c>
      <c r="N7" s="16">
        <f>L7+M7</f>
        <v>3215.1415998839102</v>
      </c>
      <c r="O7" s="20">
        <f>'[2]PuitsCarbone-graphepuitstechno'!K9*1000</f>
        <v>0</v>
      </c>
      <c r="P7" s="20">
        <v>0</v>
      </c>
      <c r="Q7" s="21">
        <f>'[2]PuitsCarbone-graphepuitstechno'!M9*1000</f>
        <v>1545</v>
      </c>
      <c r="R7" s="22">
        <f t="shared" si="0"/>
        <v>9964.123774542406</v>
      </c>
      <c r="S7" s="17">
        <f t="shared" si="1"/>
        <v>5033.2388471571985</v>
      </c>
      <c r="U7" s="1"/>
      <c r="V7" s="1"/>
    </row>
    <row r="8" spans="2:22" ht="15" thickBot="1" x14ac:dyDescent="0.4">
      <c r="C8" s="70"/>
      <c r="D8" s="30" t="s">
        <v>17</v>
      </c>
      <c r="E8" s="31">
        <f>'[1]S4-2030 '!$AT$9</f>
        <v>5430.1906362911541</v>
      </c>
      <c r="F8" s="32">
        <v>293.05263614120872</v>
      </c>
      <c r="G8" s="33">
        <f>E8-F8</f>
        <v>5137.1380001499456</v>
      </c>
      <c r="H8" s="32">
        <v>5153</v>
      </c>
      <c r="I8" s="31">
        <f>J8+K8</f>
        <v>577.5489821972983</v>
      </c>
      <c r="J8" s="32">
        <f>'[2]PuitsCarbone-graphepuitstechno'!G10*1000</f>
        <v>200.468695962824</v>
      </c>
      <c r="K8" s="34">
        <f>'[3]UVE GES'!$N$29</f>
        <v>377.08028623447427</v>
      </c>
      <c r="L8" s="34">
        <f>'[2]PuitsCarbone-graphepuitstechno'!I10*1000</f>
        <v>3445.21503670838</v>
      </c>
      <c r="M8" s="34">
        <f>'[2]PuitsCarbone-graphepuitstechno'!J10*1000</f>
        <v>1050.5271</v>
      </c>
      <c r="N8" s="31">
        <f>L8+M8</f>
        <v>4495.7421367083798</v>
      </c>
      <c r="O8" s="31">
        <f>'[2]PuitsCarbone-graphepuitstechno'!K10*1000</f>
        <v>244.5</v>
      </c>
      <c r="P8" s="20">
        <v>0</v>
      </c>
      <c r="Q8" s="32">
        <f>'[2]PuitsCarbone-graphepuitstechno'!M10*1000</f>
        <v>912</v>
      </c>
      <c r="R8" s="22">
        <f>E8+I8+N8+H8+Q8+O8</f>
        <v>16812.981755196834</v>
      </c>
      <c r="S8" s="17">
        <f>F8+J8+L8+M8+Q8+O8</f>
        <v>6145.7634688124126</v>
      </c>
      <c r="U8" s="1"/>
      <c r="V8" s="1"/>
    </row>
    <row r="9" spans="2:22" x14ac:dyDescent="0.35">
      <c r="C9" s="71">
        <v>2050</v>
      </c>
      <c r="D9" s="35" t="s">
        <v>0</v>
      </c>
      <c r="E9" s="20">
        <f>'[1]TEND-2050'!$AU$9</f>
        <v>2521.1739139197821</v>
      </c>
      <c r="F9" s="22">
        <v>797</v>
      </c>
      <c r="G9" s="22">
        <v>1743</v>
      </c>
      <c r="H9" s="29">
        <v>4868</v>
      </c>
      <c r="I9" s="20">
        <f>[4]Tend!$N$3</f>
        <v>1620</v>
      </c>
      <c r="J9" s="22">
        <f>'[2]PuitsCarbone-graphepuitstechno'!G11*1000</f>
        <v>184.385793088469</v>
      </c>
      <c r="K9" s="22">
        <f>'[3]UVE GES'!$O$3</f>
        <v>346.82845269898922</v>
      </c>
      <c r="L9" s="22">
        <f>'[2]PuitsCarbone-graphepuitstechno'!I11*1000</f>
        <v>1067.10355508523</v>
      </c>
      <c r="M9" s="22">
        <f>'[2]PuitsCarbone-graphepuitstechno'!J11*1000</f>
        <v>626.62172727272696</v>
      </c>
      <c r="N9" s="20">
        <f>L9+M9</f>
        <v>1693.725282357957</v>
      </c>
      <c r="O9" s="20">
        <f>'[2]PuitsCarbone-graphepuitstechno'!K11*1000</f>
        <v>0</v>
      </c>
      <c r="P9" s="20">
        <v>0</v>
      </c>
      <c r="Q9" s="21">
        <f>'[2]PuitsCarbone-graphepuitstechno'!M11*1000</f>
        <v>2052</v>
      </c>
      <c r="R9" s="22">
        <f>E9+I9+N9+H9+Q9</f>
        <v>12754.899196277738</v>
      </c>
      <c r="S9" s="17">
        <f t="shared" ref="S9:S11" si="2">F9+J9+L9+M9+Q9</f>
        <v>4727.1110754464262</v>
      </c>
      <c r="T9" s="1"/>
      <c r="U9" s="1"/>
      <c r="V9" s="1"/>
    </row>
    <row r="10" spans="2:22" x14ac:dyDescent="0.35">
      <c r="C10" s="69"/>
      <c r="D10" s="36" t="s">
        <v>37</v>
      </c>
      <c r="E10" s="16" t="s">
        <v>36</v>
      </c>
      <c r="F10" s="17" t="s">
        <v>36</v>
      </c>
      <c r="G10" s="17" t="s">
        <v>36</v>
      </c>
      <c r="H10" s="17" t="s">
        <v>36</v>
      </c>
      <c r="I10" s="16" t="s">
        <v>36</v>
      </c>
      <c r="J10" s="17" t="s">
        <v>36</v>
      </c>
      <c r="K10" s="17" t="s">
        <v>36</v>
      </c>
      <c r="L10" s="17" t="s">
        <v>36</v>
      </c>
      <c r="M10" s="17" t="s">
        <v>36</v>
      </c>
      <c r="N10" s="16" t="s">
        <v>36</v>
      </c>
      <c r="O10" s="20" t="s">
        <v>36</v>
      </c>
      <c r="P10" s="20">
        <v>0</v>
      </c>
      <c r="Q10" s="21" t="s">
        <v>36</v>
      </c>
      <c r="R10" s="22" t="s">
        <v>36</v>
      </c>
      <c r="S10" s="17" t="s">
        <v>36</v>
      </c>
      <c r="U10" s="1"/>
      <c r="V10" s="1"/>
    </row>
    <row r="11" spans="2:22" x14ac:dyDescent="0.35">
      <c r="C11" s="69"/>
      <c r="D11" s="36" t="s">
        <v>15</v>
      </c>
      <c r="E11" s="16">
        <f>'[1]S2-2050 '!$AT$9</f>
        <v>995.19871992604101</v>
      </c>
      <c r="F11" s="37">
        <f>'[2]PuitsCarbone-graphepuitstechno'!D13*1000</f>
        <v>707.33294039999998</v>
      </c>
      <c r="G11" s="17">
        <f>E11-F11</f>
        <v>287.86577952604102</v>
      </c>
      <c r="H11" s="17">
        <v>1852</v>
      </c>
      <c r="I11" s="16">
        <f>J11+K11</f>
        <v>386.97475650237095</v>
      </c>
      <c r="J11" s="23">
        <v>0</v>
      </c>
      <c r="K11" s="17">
        <f>'[3]UVE GES'!$O$17</f>
        <v>386.97475650237095</v>
      </c>
      <c r="L11" s="23">
        <v>0</v>
      </c>
      <c r="M11" s="23">
        <v>0</v>
      </c>
      <c r="N11" s="24">
        <f>L11+M11</f>
        <v>0</v>
      </c>
      <c r="O11" s="25">
        <v>0</v>
      </c>
      <c r="P11" s="20">
        <v>0</v>
      </c>
      <c r="Q11" s="26">
        <v>0</v>
      </c>
      <c r="R11" s="22">
        <f t="shared" si="0"/>
        <v>3234.173476428412</v>
      </c>
      <c r="S11" s="17">
        <f t="shared" si="2"/>
        <v>707.33294039999998</v>
      </c>
      <c r="U11" s="1"/>
      <c r="V11" s="1"/>
    </row>
    <row r="12" spans="2:22" x14ac:dyDescent="0.35">
      <c r="C12" s="69"/>
      <c r="D12" s="36" t="s">
        <v>16</v>
      </c>
      <c r="E12" s="16">
        <f>'[1]S3-2050 '!$AT$9</f>
        <v>5173.2741238392409</v>
      </c>
      <c r="F12">
        <f>'[2]PuitsCarbone-graphepuitstechno'!D14*1000</f>
        <v>2578.8711964014501</v>
      </c>
      <c r="G12" s="28">
        <f>E12-F12</f>
        <v>2594.4029274377908</v>
      </c>
      <c r="H12" s="29">
        <v>5128</v>
      </c>
      <c r="I12" s="16">
        <f t="shared" ref="I12:I13" si="3">J12+K12</f>
        <v>1088.591924241234</v>
      </c>
      <c r="J12" s="28">
        <f>'[2]PuitsCarbone-graphepuitstechno'!G14*1000</f>
        <v>377.85297908074602</v>
      </c>
      <c r="K12" s="17">
        <f>'[3]UVE GES'!$O$23</f>
        <v>710.7389451604879</v>
      </c>
      <c r="L12" s="17">
        <f>'[2]PuitsCarbone-graphepuitstechno'!I14*1000</f>
        <v>5023.0076381959097</v>
      </c>
      <c r="M12" s="17">
        <f>'[2]PuitsCarbone-graphepuitstechno'!J14*1000</f>
        <v>5765.46320454545</v>
      </c>
      <c r="N12" s="16">
        <f>L12+M12</f>
        <v>10788.470842741361</v>
      </c>
      <c r="O12" s="20">
        <f>'[2]PuitsCarbone-graphepuitstechno'!K14*1000</f>
        <v>0</v>
      </c>
      <c r="P12" s="20">
        <v>0</v>
      </c>
      <c r="Q12" s="21">
        <f>'[2]PuitsCarbone-graphepuitstechno'!M14*1000</f>
        <v>7270</v>
      </c>
      <c r="R12" s="22">
        <f t="shared" si="0"/>
        <v>29448.336890821836</v>
      </c>
      <c r="S12" s="17">
        <f>F12+J12+L12+M12+Q12</f>
        <v>21015.195018223556</v>
      </c>
      <c r="U12" s="1"/>
      <c r="V12" s="1"/>
    </row>
    <row r="13" spans="2:22" ht="15" thickBot="1" x14ac:dyDescent="0.4">
      <c r="C13" s="70"/>
      <c r="D13" s="38" t="s">
        <v>17</v>
      </c>
      <c r="E13" s="31">
        <f>'[1]S4-2050'!$AT$9</f>
        <v>24287.198278447751</v>
      </c>
      <c r="F13">
        <f>'[2]PuitsCarbone-graphepuitstechno'!D15*1000</f>
        <v>5430.4622833079502</v>
      </c>
      <c r="G13" s="33">
        <f>E13-F13</f>
        <v>18856.735995139803</v>
      </c>
      <c r="H13" s="39">
        <v>15861</v>
      </c>
      <c r="I13" s="31">
        <f t="shared" si="3"/>
        <v>1741.9559261416805</v>
      </c>
      <c r="J13" s="32">
        <f>'[2]PuitsCarbone-graphepuitstechno'!G15*1000</f>
        <v>604.63725796861104</v>
      </c>
      <c r="K13" s="34">
        <f>'[3]UVE GES'!$O$29</f>
        <v>1137.3186681730695</v>
      </c>
      <c r="L13" s="34">
        <f>'[2]PuitsCarbone-graphepuitstechno'!I15*1000</f>
        <v>8659.8074466081798</v>
      </c>
      <c r="M13" s="34">
        <f>'[2]PuitsCarbone-graphepuitstechno'!J15*1000</f>
        <v>4734.9783409090896</v>
      </c>
      <c r="N13" s="31">
        <f>L13+M13</f>
        <v>13394.78578751727</v>
      </c>
      <c r="O13" s="31">
        <f>'[2]PuitsCarbone-graphepuitstechno'!K15*1000</f>
        <v>1702</v>
      </c>
      <c r="P13" s="31">
        <f>1320-792</f>
        <v>528</v>
      </c>
      <c r="Q13" s="32">
        <f>'[2]PuitsCarbone-graphepuitstechno'!M15*1000</f>
        <v>8792</v>
      </c>
      <c r="R13" s="22">
        <f>E13+I13+N13+H13+Q13+O13+P13</f>
        <v>66306.939992106694</v>
      </c>
      <c r="S13" s="34">
        <f>F13+J13+L13+M13+O13+Q13</f>
        <v>29923.885328793829</v>
      </c>
      <c r="U13" s="1"/>
      <c r="V13" s="1"/>
    </row>
    <row r="15" spans="2:22" x14ac:dyDescent="0.35">
      <c r="F15" s="1">
        <f>E9+H9-SUM('Récapitulatif-IndustrieCCS-2050'!H9:I9)</f>
        <v>0.13600705025419302</v>
      </c>
      <c r="H15" s="1"/>
    </row>
  </sheetData>
  <mergeCells count="2">
    <mergeCell ref="C4:C8"/>
    <mergeCell ref="C9:C13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32"/>
  <sheetViews>
    <sheetView topLeftCell="A8" zoomScale="72" workbookViewId="0">
      <selection activeCell="E32" sqref="E32"/>
    </sheetView>
  </sheetViews>
  <sheetFormatPr baseColWidth="10" defaultRowHeight="14.5" x14ac:dyDescent="0.35"/>
  <cols>
    <col min="1" max="1" width="31.81640625" bestFit="1" customWidth="1"/>
    <col min="2" max="11" width="20.08984375" customWidth="1"/>
  </cols>
  <sheetData>
    <row r="1" spans="1:13" x14ac:dyDescent="0.35">
      <c r="A1" s="40"/>
      <c r="B1" s="72" t="s">
        <v>0</v>
      </c>
      <c r="C1" s="72"/>
      <c r="D1" s="41" t="s">
        <v>37</v>
      </c>
      <c r="E1" s="41" t="s">
        <v>15</v>
      </c>
      <c r="F1" s="72" t="s">
        <v>16</v>
      </c>
      <c r="G1" s="72"/>
      <c r="H1" s="72"/>
      <c r="I1" s="72" t="s">
        <v>17</v>
      </c>
      <c r="J1" s="72"/>
      <c r="K1" s="72"/>
      <c r="L1" t="s">
        <v>39</v>
      </c>
      <c r="M1" t="s">
        <v>40</v>
      </c>
    </row>
    <row r="2" spans="1:13" x14ac:dyDescent="0.35">
      <c r="A2" s="42" t="s">
        <v>41</v>
      </c>
      <c r="B2" s="73">
        <f>B7+C7</f>
        <v>2420</v>
      </c>
      <c r="C2" s="72"/>
      <c r="D2" s="43">
        <v>0</v>
      </c>
      <c r="E2" s="43">
        <f>E7</f>
        <v>880</v>
      </c>
      <c r="F2" s="73">
        <f>F7</f>
        <v>3360</v>
      </c>
      <c r="G2" s="72"/>
      <c r="H2" s="72"/>
      <c r="I2" s="73">
        <f>I7</f>
        <v>17022</v>
      </c>
      <c r="J2" s="72"/>
      <c r="K2" s="72"/>
    </row>
    <row r="3" spans="1:13" x14ac:dyDescent="0.35">
      <c r="A3" s="44" t="s">
        <v>42</v>
      </c>
      <c r="B3" s="77" t="s">
        <v>43</v>
      </c>
      <c r="C3" s="78"/>
      <c r="D3" s="45"/>
      <c r="E3" s="45" t="s">
        <v>43</v>
      </c>
      <c r="F3" s="79" t="s">
        <v>44</v>
      </c>
      <c r="G3" s="80"/>
      <c r="H3" s="45" t="s">
        <v>45</v>
      </c>
      <c r="I3" s="79" t="s">
        <v>44</v>
      </c>
      <c r="J3" s="80"/>
      <c r="K3" s="45" t="s">
        <v>45</v>
      </c>
    </row>
    <row r="4" spans="1:13" x14ac:dyDescent="0.35">
      <c r="A4" s="46" t="s">
        <v>46</v>
      </c>
      <c r="B4" s="47">
        <v>4</v>
      </c>
      <c r="C4" s="48">
        <v>3.4</v>
      </c>
      <c r="D4" s="48">
        <v>0</v>
      </c>
      <c r="E4" s="48">
        <v>2.8</v>
      </c>
      <c r="F4" s="49">
        <v>4</v>
      </c>
      <c r="G4" s="50">
        <v>4</v>
      </c>
      <c r="H4" s="51">
        <v>2.2999999999999998</v>
      </c>
      <c r="I4" s="49">
        <v>5</v>
      </c>
      <c r="J4" s="50">
        <v>29.200000000000003</v>
      </c>
      <c r="K4" s="51">
        <v>6</v>
      </c>
      <c r="L4" s="50">
        <v>27</v>
      </c>
    </row>
    <row r="5" spans="1:13" x14ac:dyDescent="0.35">
      <c r="A5" s="52" t="s">
        <v>47</v>
      </c>
      <c r="B5" s="53">
        <f>3*340+2*200</f>
        <v>1420</v>
      </c>
      <c r="C5" s="54">
        <f>5*200</f>
        <v>1000</v>
      </c>
      <c r="D5" s="54"/>
      <c r="E5" s="54">
        <f>2*340+200</f>
        <v>880</v>
      </c>
      <c r="F5" s="81">
        <f>10*200+4*340</f>
        <v>3360</v>
      </c>
      <c r="G5" s="82"/>
      <c r="H5" s="83"/>
      <c r="I5" s="81">
        <v>12600</v>
      </c>
      <c r="J5" s="82"/>
      <c r="K5" s="83"/>
    </row>
    <row r="6" spans="1:13" x14ac:dyDescent="0.35">
      <c r="A6" s="52" t="s">
        <v>48</v>
      </c>
      <c r="B6" s="53">
        <v>0</v>
      </c>
      <c r="C6" s="54">
        <v>0</v>
      </c>
      <c r="D6" s="54"/>
      <c r="E6" s="54">
        <v>0</v>
      </c>
      <c r="F6" s="84">
        <v>0</v>
      </c>
      <c r="G6" s="85"/>
      <c r="H6" s="86"/>
      <c r="I6" s="84">
        <f>12*200+699+340+227+2*378</f>
        <v>4422</v>
      </c>
      <c r="J6" s="85"/>
      <c r="K6" s="86"/>
    </row>
    <row r="7" spans="1:13" x14ac:dyDescent="0.35">
      <c r="A7" s="52" t="s">
        <v>49</v>
      </c>
      <c r="B7" s="53">
        <f>B6+B5</f>
        <v>1420</v>
      </c>
      <c r="C7" s="54">
        <f>C6+C5</f>
        <v>1000</v>
      </c>
      <c r="D7" s="54"/>
      <c r="E7" s="54">
        <f>E5+E6</f>
        <v>880</v>
      </c>
      <c r="F7" s="84">
        <f>F5+F6</f>
        <v>3360</v>
      </c>
      <c r="G7" s="85"/>
      <c r="H7" s="86"/>
      <c r="I7" s="84">
        <f>I5+I6</f>
        <v>17022</v>
      </c>
      <c r="J7" s="85"/>
      <c r="K7" s="86"/>
    </row>
    <row r="8" spans="1:13" x14ac:dyDescent="0.35">
      <c r="A8" s="55" t="s">
        <v>50</v>
      </c>
      <c r="B8" s="73">
        <f>B11+C11</f>
        <v>600</v>
      </c>
      <c r="C8" s="72"/>
      <c r="D8" s="43">
        <v>0</v>
      </c>
      <c r="E8" s="43">
        <f>E11</f>
        <v>100</v>
      </c>
      <c r="F8" s="87">
        <f>F11+G11+H11</f>
        <v>900</v>
      </c>
      <c r="G8" s="87"/>
      <c r="H8" s="87"/>
      <c r="I8" s="87">
        <f>I11+J11+K11</f>
        <v>2000</v>
      </c>
      <c r="J8" s="87"/>
      <c r="K8" s="87"/>
    </row>
    <row r="9" spans="1:13" x14ac:dyDescent="0.35">
      <c r="A9" s="46" t="s">
        <v>51</v>
      </c>
      <c r="B9" s="56">
        <v>200</v>
      </c>
      <c r="C9" s="57">
        <v>400</v>
      </c>
      <c r="D9" s="57"/>
      <c r="E9" s="57">
        <v>100</v>
      </c>
      <c r="F9" s="49">
        <v>300</v>
      </c>
      <c r="G9" s="58">
        <v>400</v>
      </c>
      <c r="H9" s="45">
        <v>200</v>
      </c>
      <c r="I9" s="49">
        <v>300</v>
      </c>
      <c r="J9" s="58">
        <v>1500</v>
      </c>
      <c r="K9" s="45">
        <v>200</v>
      </c>
    </row>
    <row r="10" spans="1:13" x14ac:dyDescent="0.35">
      <c r="A10" s="46" t="s">
        <v>52</v>
      </c>
      <c r="B10" s="59">
        <v>1</v>
      </c>
      <c r="C10" s="57">
        <v>1</v>
      </c>
      <c r="D10" s="45"/>
      <c r="E10" s="45">
        <v>1</v>
      </c>
      <c r="F10" s="74">
        <v>1</v>
      </c>
      <c r="G10" s="75"/>
      <c r="H10" s="76"/>
      <c r="I10" s="74">
        <v>1</v>
      </c>
      <c r="J10" s="75"/>
      <c r="K10" s="76"/>
    </row>
    <row r="11" spans="1:13" x14ac:dyDescent="0.35">
      <c r="A11" s="52" t="s">
        <v>53</v>
      </c>
      <c r="B11" s="53">
        <f>B9*B10</f>
        <v>200</v>
      </c>
      <c r="C11" s="54">
        <f>C9*C10</f>
        <v>400</v>
      </c>
      <c r="D11" s="54"/>
      <c r="E11" s="54">
        <f>E9*E10</f>
        <v>100</v>
      </c>
      <c r="F11" s="60">
        <f>F9*F10</f>
        <v>300</v>
      </c>
      <c r="G11" s="61">
        <f>G9*F10</f>
        <v>400</v>
      </c>
      <c r="H11" s="62">
        <f>H9*F10</f>
        <v>200</v>
      </c>
      <c r="I11" s="60">
        <f>I9*I10</f>
        <v>300</v>
      </c>
      <c r="J11" s="61">
        <f>J9*I10</f>
        <v>1500</v>
      </c>
      <c r="K11" s="62">
        <f>K9*I10</f>
        <v>200</v>
      </c>
    </row>
    <row r="12" spans="1:13" x14ac:dyDescent="0.35">
      <c r="A12" s="55" t="s">
        <v>54</v>
      </c>
      <c r="B12" s="73">
        <f>B14+C14</f>
        <v>27</v>
      </c>
      <c r="C12" s="72"/>
      <c r="D12" s="43">
        <v>0</v>
      </c>
      <c r="E12" s="43">
        <f>E14</f>
        <v>0</v>
      </c>
      <c r="F12" s="73">
        <f>F14+G14+H14</f>
        <v>46</v>
      </c>
      <c r="G12" s="72"/>
      <c r="H12" s="72"/>
      <c r="I12" s="73">
        <f>I14+J14+K14</f>
        <v>293</v>
      </c>
      <c r="J12" s="72"/>
      <c r="K12" s="72"/>
      <c r="L12">
        <v>0</v>
      </c>
    </row>
    <row r="13" spans="1:13" x14ac:dyDescent="0.35">
      <c r="A13" s="44" t="s">
        <v>42</v>
      </c>
      <c r="B13" s="59" t="s">
        <v>55</v>
      </c>
      <c r="C13" s="57" t="s">
        <v>56</v>
      </c>
      <c r="D13" s="45"/>
      <c r="E13" s="45" t="s">
        <v>55</v>
      </c>
      <c r="F13" s="63" t="s">
        <v>55</v>
      </c>
      <c r="G13" s="58" t="s">
        <v>56</v>
      </c>
      <c r="H13" s="45"/>
      <c r="I13" s="63" t="s">
        <v>55</v>
      </c>
      <c r="J13" s="58" t="s">
        <v>56</v>
      </c>
      <c r="K13" s="45"/>
    </row>
    <row r="14" spans="1:13" ht="15" thickBot="1" x14ac:dyDescent="0.4">
      <c r="A14" s="64" t="s">
        <v>57</v>
      </c>
      <c r="B14" s="53">
        <v>0</v>
      </c>
      <c r="C14" s="54">
        <v>27</v>
      </c>
      <c r="D14" s="65"/>
      <c r="E14" s="65">
        <v>0</v>
      </c>
      <c r="F14" s="53">
        <v>0</v>
      </c>
      <c r="G14" s="66">
        <v>36</v>
      </c>
      <c r="H14" s="65">
        <v>10</v>
      </c>
      <c r="I14" s="53">
        <v>0</v>
      </c>
      <c r="J14" s="66">
        <v>261</v>
      </c>
      <c r="K14" s="65">
        <v>32</v>
      </c>
    </row>
    <row r="15" spans="1:13" ht="26" customHeight="1" thickTop="1" x14ac:dyDescent="0.35">
      <c r="A15" s="67" t="s">
        <v>58</v>
      </c>
      <c r="B15" s="73">
        <f>B2+B8+B12</f>
        <v>3047</v>
      </c>
      <c r="C15" s="73"/>
      <c r="D15" s="43">
        <f>D2+D8+D12</f>
        <v>0</v>
      </c>
      <c r="E15" s="43">
        <f>E2+E8+E12</f>
        <v>980</v>
      </c>
      <c r="F15" s="73">
        <f>F2+F8+F12</f>
        <v>4306</v>
      </c>
      <c r="G15" s="73"/>
      <c r="H15" s="73"/>
      <c r="I15" s="73">
        <f>I2+I8+I12</f>
        <v>19315</v>
      </c>
      <c r="J15" s="73"/>
      <c r="K15" s="73"/>
    </row>
    <row r="19" spans="2:7" x14ac:dyDescent="0.35">
      <c r="C19" s="68">
        <f>C14*4/261</f>
        <v>0.41379310344827586</v>
      </c>
      <c r="E19">
        <v>0</v>
      </c>
      <c r="G19">
        <f>46*4/261</f>
        <v>0.70498084291187735</v>
      </c>
    </row>
    <row r="21" spans="2:7" x14ac:dyDescent="0.35">
      <c r="F21">
        <v>4</v>
      </c>
      <c r="G21">
        <v>261</v>
      </c>
    </row>
    <row r="24" spans="2:7" x14ac:dyDescent="0.35">
      <c r="C24" t="s">
        <v>60</v>
      </c>
      <c r="D24" t="s">
        <v>62</v>
      </c>
      <c r="E24" t="s">
        <v>61</v>
      </c>
    </row>
    <row r="25" spans="2:7" x14ac:dyDescent="0.35">
      <c r="B25" t="s">
        <v>59</v>
      </c>
      <c r="C25">
        <v>40</v>
      </c>
      <c r="D25">
        <v>50</v>
      </c>
      <c r="E25">
        <v>250</v>
      </c>
    </row>
    <row r="28" spans="2:7" x14ac:dyDescent="0.35">
      <c r="C28" t="s">
        <v>65</v>
      </c>
      <c r="D28" t="s">
        <v>66</v>
      </c>
    </row>
    <row r="29" spans="2:7" x14ac:dyDescent="0.35">
      <c r="B29" t="s">
        <v>59</v>
      </c>
      <c r="C29">
        <v>10</v>
      </c>
      <c r="D29">
        <v>30</v>
      </c>
    </row>
    <row r="31" spans="2:7" x14ac:dyDescent="0.35">
      <c r="C31" t="s">
        <v>63</v>
      </c>
      <c r="D31" t="s">
        <v>64</v>
      </c>
    </row>
    <row r="32" spans="2:7" x14ac:dyDescent="0.35">
      <c r="B32" t="s">
        <v>59</v>
      </c>
      <c r="C32">
        <v>10</v>
      </c>
      <c r="D32">
        <v>30</v>
      </c>
      <c r="E32">
        <v>15</v>
      </c>
    </row>
  </sheetData>
  <mergeCells count="26">
    <mergeCell ref="B12:C12"/>
    <mergeCell ref="F12:H12"/>
    <mergeCell ref="I12:K12"/>
    <mergeCell ref="B15:C15"/>
    <mergeCell ref="F15:H15"/>
    <mergeCell ref="I15:K15"/>
    <mergeCell ref="F10:H10"/>
    <mergeCell ref="I10:K10"/>
    <mergeCell ref="B3:C3"/>
    <mergeCell ref="F3:G3"/>
    <mergeCell ref="I3:J3"/>
    <mergeCell ref="F5:H5"/>
    <mergeCell ref="I5:K5"/>
    <mergeCell ref="F6:H6"/>
    <mergeCell ref="I6:K6"/>
    <mergeCell ref="F7:H7"/>
    <mergeCell ref="I7:K7"/>
    <mergeCell ref="B8:C8"/>
    <mergeCell ref="F8:H8"/>
    <mergeCell ref="I8:K8"/>
    <mergeCell ref="B1:C1"/>
    <mergeCell ref="F1:H1"/>
    <mergeCell ref="I1:K1"/>
    <mergeCell ref="B2:C2"/>
    <mergeCell ref="F2:H2"/>
    <mergeCell ref="I2:K2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Récapitulatif-IndustrieCCS-2030</vt:lpstr>
      <vt:lpstr>Récapitulatif-IndustrieCCS-2050</vt:lpstr>
      <vt:lpstr>donneesCCSmaj</vt:lpstr>
      <vt:lpstr>donnees tech-eco</vt:lpstr>
    </vt:vector>
  </TitlesOfParts>
  <Company>ADEME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 KHAMLICHI Aïcha</dc:creator>
  <cp:lastModifiedBy>CALLONNEC Gaël</cp:lastModifiedBy>
  <dcterms:created xsi:type="dcterms:W3CDTF">2021-11-26T09:04:37Z</dcterms:created>
  <dcterms:modified xsi:type="dcterms:W3CDTF">2021-11-30T16:15:05Z</dcterms:modified>
</cp:coreProperties>
</file>