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callonnecg\Documents\Github\ThreeME\data\calibrations\"/>
    </mc:Choice>
  </mc:AlternateContent>
  <xr:revisionPtr revIDLastSave="0" documentId="13_ncr:1_{C5FDDE5E-AF61-4BA0-8BB1-E04BFC1CBC52}" xr6:coauthVersionLast="47" xr6:coauthVersionMax="47" xr10:uidLastSave="{00000000-0000-0000-0000-000000000000}"/>
  <bookViews>
    <workbookView xWindow="-120" yWindow="-120" windowWidth="20730" windowHeight="11160" firstSheet="5" activeTab="10" xr2:uid="{CD40A21A-F6E4-4FAF-9044-22292F8CEF96}"/>
  </bookViews>
  <sheets>
    <sheet name="CoutMwh" sheetId="1" r:id="rId1"/>
    <sheet name="capacités" sheetId="2" r:id="rId2"/>
    <sheet name="coût TEND" sheetId="14" r:id="rId3"/>
    <sheet name="coût S2" sheetId="10" r:id="rId4"/>
    <sheet name="CAPEX_MWH_TEND" sheetId="16" r:id="rId5"/>
    <sheet name="OPEX_MWH_TEND" sheetId="17" r:id="rId6"/>
    <sheet name="OPEX_MWH_S2" sheetId="25" r:id="rId7"/>
    <sheet name="Kexo_TEND" sheetId="18" r:id="rId8"/>
    <sheet name="INVexo_TEND" sheetId="20" r:id="rId9"/>
    <sheet name="Kexo_S2" sheetId="23" r:id="rId10"/>
    <sheet name="INVexo_S2" sheetId="24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ftn1" localSheetId="3">'coût S2'!$A$161</definedName>
    <definedName name="_ftn1" localSheetId="2">'coût TEND'!$A$161</definedName>
    <definedName name="_ftn1" localSheetId="0">CoutMwh!$A$47</definedName>
    <definedName name="_ftnref1" localSheetId="3">'coût S2'!$A$9</definedName>
    <definedName name="_ftnref1" localSheetId="2">'coût TEND'!$A$9</definedName>
    <definedName name="_ftnref1" localSheetId="0">CoutMwh!$A$5</definedName>
    <definedName name="_ftnref2" localSheetId="3">'coût S2'!$A$25</definedName>
    <definedName name="_ftnref2" localSheetId="2">'coût TEND'!$A$25</definedName>
    <definedName name="_ftnref2" localSheetId="0">CoutMwh!$A$11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0" l="1"/>
  <c r="R9" i="23"/>
  <c r="S9" i="23" s="1"/>
  <c r="T9" i="23" s="1"/>
  <c r="U9" i="23" s="1"/>
  <c r="V9" i="23" s="1"/>
  <c r="W9" i="23"/>
  <c r="X9" i="23" s="1"/>
  <c r="Y9" i="23" s="1"/>
  <c r="Z9" i="23" s="1"/>
  <c r="AA9" i="23" s="1"/>
  <c r="AB9" i="23"/>
  <c r="AC9" i="23" s="1"/>
  <c r="AD9" i="23" s="1"/>
  <c r="AE9" i="23" s="1"/>
  <c r="AF9" i="23" s="1"/>
  <c r="AG9" i="23"/>
  <c r="M9" i="23"/>
  <c r="N9" i="23" s="1"/>
  <c r="O9" i="23" s="1"/>
  <c r="P9" i="23" s="1"/>
  <c r="Q9" i="23" s="1"/>
  <c r="I9" i="18"/>
  <c r="R9" i="18"/>
  <c r="W9" i="18"/>
  <c r="AB9" i="18"/>
  <c r="AG9" i="18"/>
  <c r="M9" i="18"/>
  <c r="H9" i="18"/>
  <c r="H9" i="23"/>
  <c r="I9" i="23" s="1"/>
  <c r="J9" i="23" s="1"/>
  <c r="K9" i="23" s="1"/>
  <c r="L9" i="23" s="1"/>
  <c r="C9" i="18"/>
  <c r="X9" i="18" l="1"/>
  <c r="AC9" i="18"/>
  <c r="S9" i="18"/>
  <c r="D9" i="18"/>
  <c r="N9" i="18"/>
  <c r="J9" i="18"/>
  <c r="T9" i="18" l="1"/>
  <c r="Y9" i="18"/>
  <c r="AD9" i="18"/>
  <c r="E9" i="18"/>
  <c r="K9" i="18"/>
  <c r="O9" i="18"/>
  <c r="P9" i="18" l="1"/>
  <c r="L9" i="18"/>
  <c r="AE9" i="18"/>
  <c r="F9" i="18"/>
  <c r="Z9" i="18"/>
  <c r="U9" i="18"/>
  <c r="G9" i="18" l="1"/>
  <c r="V9" i="18"/>
  <c r="AA9" i="18"/>
  <c r="AF9" i="18"/>
  <c r="Q9" i="18"/>
  <c r="AK15" i="20" l="1"/>
  <c r="AM15" i="20"/>
  <c r="AO15" i="20"/>
  <c r="M15" i="20"/>
  <c r="AO20" i="20"/>
  <c r="AM20" i="20"/>
  <c r="AK20" i="20"/>
  <c r="AO19" i="20"/>
  <c r="AM19" i="20"/>
  <c r="AK19" i="20"/>
  <c r="AG15" i="20"/>
  <c r="AG20" i="20"/>
  <c r="M20" i="20"/>
  <c r="D15" i="20"/>
  <c r="D20" i="20"/>
  <c r="AG19" i="20"/>
  <c r="AK18" i="20"/>
  <c r="AM18" i="20"/>
  <c r="AO18" i="20"/>
  <c r="AO17" i="20"/>
  <c r="AG18" i="20"/>
  <c r="AM17" i="20"/>
  <c r="AK17" i="20"/>
  <c r="AG17" i="20"/>
  <c r="AK13" i="20"/>
  <c r="AK21" i="20" s="1"/>
  <c r="AM13" i="20"/>
  <c r="AO13" i="20"/>
  <c r="AN13" i="20"/>
  <c r="AL13" i="20"/>
  <c r="AJ13" i="20"/>
  <c r="M13" i="20"/>
  <c r="M19" i="20"/>
  <c r="M18" i="20"/>
  <c r="D18" i="20"/>
  <c r="D17" i="20"/>
  <c r="AG13" i="20"/>
  <c r="M17" i="20"/>
  <c r="D19" i="20"/>
  <c r="D13" i="20"/>
  <c r="AO21" i="20" l="1"/>
  <c r="AM21" i="20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H5" i="23"/>
  <c r="I80" i="10"/>
  <c r="H80" i="10"/>
  <c r="G80" i="10"/>
  <c r="F80" i="10"/>
  <c r="E80" i="10"/>
  <c r="D80" i="10"/>
  <c r="I80" i="14"/>
  <c r="H80" i="14"/>
  <c r="G80" i="14"/>
  <c r="F80" i="14"/>
  <c r="E80" i="14"/>
  <c r="D80" i="14"/>
  <c r="C80" i="14"/>
  <c r="G3" i="18" l="1"/>
  <c r="G5" i="18"/>
  <c r="E34" i="10"/>
  <c r="E21" i="10" s="1"/>
  <c r="F34" i="10"/>
  <c r="F21" i="10" s="1"/>
  <c r="G34" i="10"/>
  <c r="G21" i="10" s="1"/>
  <c r="H34" i="10"/>
  <c r="H21" i="10" s="1"/>
  <c r="I34" i="10"/>
  <c r="I21" i="10" s="1"/>
  <c r="E35" i="10"/>
  <c r="E22" i="10" s="1"/>
  <c r="E23" i="10" s="1"/>
  <c r="F35" i="10"/>
  <c r="F22" i="10" s="1"/>
  <c r="G35" i="10"/>
  <c r="G22" i="10" s="1"/>
  <c r="G23" i="10" s="1"/>
  <c r="H35" i="10"/>
  <c r="H22" i="10" s="1"/>
  <c r="I35" i="10"/>
  <c r="I22" i="10" s="1"/>
  <c r="D35" i="10"/>
  <c r="D22" i="10" s="1"/>
  <c r="D34" i="10"/>
  <c r="D21" i="10" s="1"/>
  <c r="D16" i="10"/>
  <c r="D17" i="10"/>
  <c r="E16" i="10"/>
  <c r="I16" i="10"/>
  <c r="F16" i="10" s="1"/>
  <c r="G16" i="10" s="1"/>
  <c r="H16" i="10" s="1"/>
  <c r="E17" i="10"/>
  <c r="I17" i="10"/>
  <c r="F17" i="10" s="1"/>
  <c r="G17" i="10" s="1"/>
  <c r="H17" i="10" s="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2" i="10"/>
  <c r="C32" i="14"/>
  <c r="F62" i="14"/>
  <c r="F62" i="10" s="1"/>
  <c r="G62" i="14"/>
  <c r="H62" i="14" s="1"/>
  <c r="I62" i="14" s="1"/>
  <c r="J62" i="14" s="1"/>
  <c r="K62" i="14" s="1"/>
  <c r="E62" i="14"/>
  <c r="E62" i="10" s="1"/>
  <c r="E71" i="10"/>
  <c r="F71" i="10"/>
  <c r="G71" i="10"/>
  <c r="H71" i="10"/>
  <c r="I71" i="10"/>
  <c r="E72" i="10"/>
  <c r="F72" i="10"/>
  <c r="G72" i="10"/>
  <c r="H72" i="10"/>
  <c r="I72" i="10"/>
  <c r="D71" i="10"/>
  <c r="D72" i="10"/>
  <c r="H63" i="10"/>
  <c r="I63" i="10"/>
  <c r="G63" i="10"/>
  <c r="F64" i="10"/>
  <c r="E63" i="10"/>
  <c r="E64" i="10"/>
  <c r="D62" i="10"/>
  <c r="D63" i="10"/>
  <c r="D64" i="10"/>
  <c r="D65" i="10"/>
  <c r="E65" i="10" s="1"/>
  <c r="F65" i="10" s="1"/>
  <c r="E46" i="10"/>
  <c r="F46" i="10"/>
  <c r="G46" i="10"/>
  <c r="H46" i="10"/>
  <c r="I46" i="10"/>
  <c r="E47" i="10"/>
  <c r="F47" i="10"/>
  <c r="G47" i="10"/>
  <c r="H47" i="10"/>
  <c r="I47" i="10"/>
  <c r="D47" i="10"/>
  <c r="D46" i="10"/>
  <c r="E39" i="10"/>
  <c r="F39" i="10"/>
  <c r="G39" i="10"/>
  <c r="H39" i="10"/>
  <c r="I39" i="10"/>
  <c r="D39" i="10"/>
  <c r="D40" i="10"/>
  <c r="E40" i="10"/>
  <c r="D71" i="14"/>
  <c r="F63" i="14"/>
  <c r="G63" i="14" s="1"/>
  <c r="E63" i="14"/>
  <c r="F72" i="14"/>
  <c r="E72" i="14"/>
  <c r="D72" i="14"/>
  <c r="E71" i="14" s="1"/>
  <c r="C72" i="14"/>
  <c r="C72" i="10" s="1"/>
  <c r="C34" i="14"/>
  <c r="C33" i="14"/>
  <c r="C21" i="14"/>
  <c r="F22" i="14"/>
  <c r="F33" i="14" s="1"/>
  <c r="C22" i="14"/>
  <c r="I35" i="14"/>
  <c r="I22" i="14" s="1"/>
  <c r="H35" i="14"/>
  <c r="H22" i="14" s="1"/>
  <c r="G35" i="14"/>
  <c r="G22" i="14" s="1"/>
  <c r="F35" i="14"/>
  <c r="E35" i="14"/>
  <c r="E22" i="14" s="1"/>
  <c r="D35" i="14"/>
  <c r="D22" i="14" s="1"/>
  <c r="C39" i="14"/>
  <c r="I40" i="14"/>
  <c r="I39" i="14" s="1"/>
  <c r="H40" i="14"/>
  <c r="G40" i="14"/>
  <c r="G39" i="14" s="1"/>
  <c r="F40" i="14"/>
  <c r="E40" i="14"/>
  <c r="D40" i="14"/>
  <c r="C40" i="14"/>
  <c r="C40" i="10" s="1"/>
  <c r="I9" i="25"/>
  <c r="H9" i="25"/>
  <c r="G9" i="25"/>
  <c r="F9" i="25"/>
  <c r="E9" i="25"/>
  <c r="D9" i="25"/>
  <c r="C9" i="25"/>
  <c r="B9" i="25"/>
  <c r="I8" i="25"/>
  <c r="H8" i="25"/>
  <c r="G8" i="25"/>
  <c r="F8" i="25"/>
  <c r="E8" i="25"/>
  <c r="D8" i="25"/>
  <c r="C8" i="25"/>
  <c r="B8" i="25"/>
  <c r="B7" i="25"/>
  <c r="B6" i="25"/>
  <c r="I5" i="25"/>
  <c r="H5" i="25"/>
  <c r="G5" i="25"/>
  <c r="F5" i="25"/>
  <c r="E5" i="25"/>
  <c r="D5" i="25"/>
  <c r="C5" i="25"/>
  <c r="B5" i="25"/>
  <c r="I4" i="25"/>
  <c r="H4" i="25"/>
  <c r="G4" i="25"/>
  <c r="F4" i="25"/>
  <c r="E4" i="25"/>
  <c r="D4" i="25"/>
  <c r="C4" i="25"/>
  <c r="B4" i="25"/>
  <c r="I3" i="25"/>
  <c r="H3" i="25"/>
  <c r="G3" i="25"/>
  <c r="F3" i="25"/>
  <c r="E3" i="25"/>
  <c r="D3" i="25"/>
  <c r="C3" i="25"/>
  <c r="B3" i="25"/>
  <c r="B2" i="25"/>
  <c r="D1" i="25"/>
  <c r="E1" i="25" s="1"/>
  <c r="F1" i="25" s="1"/>
  <c r="G1" i="25" s="1"/>
  <c r="H1" i="25" s="1"/>
  <c r="I1" i="25" s="1"/>
  <c r="H39" i="14" l="1"/>
  <c r="E39" i="14"/>
  <c r="F21" i="14"/>
  <c r="F32" i="14" s="1"/>
  <c r="F34" i="14" s="1"/>
  <c r="C39" i="10"/>
  <c r="D39" i="14"/>
  <c r="H23" i="10"/>
  <c r="F71" i="14"/>
  <c r="G33" i="14"/>
  <c r="G21" i="14"/>
  <c r="G32" i="14" s="1"/>
  <c r="G34" i="14" s="1"/>
  <c r="E21" i="14"/>
  <c r="E32" i="14" s="1"/>
  <c r="E34" i="14" s="1"/>
  <c r="E33" i="14"/>
  <c r="H33" i="14"/>
  <c r="H21" i="14"/>
  <c r="H32" i="14" s="1"/>
  <c r="H34" i="14" s="1"/>
  <c r="I33" i="14"/>
  <c r="I21" i="14"/>
  <c r="I32" i="14" s="1"/>
  <c r="I34" i="14" s="1"/>
  <c r="I23" i="10"/>
  <c r="D33" i="14"/>
  <c r="D21" i="14"/>
  <c r="D32" i="14" s="1"/>
  <c r="D34" i="14" s="1"/>
  <c r="F39" i="14"/>
  <c r="F23" i="10"/>
  <c r="G62" i="10"/>
  <c r="H62" i="10"/>
  <c r="I62" i="10"/>
  <c r="G72" i="14"/>
  <c r="G2" i="16" s="1"/>
  <c r="H63" i="14"/>
  <c r="C6" i="16"/>
  <c r="D2" i="16"/>
  <c r="E2" i="16"/>
  <c r="F2" i="16"/>
  <c r="C2" i="16"/>
  <c r="C9" i="23" l="1"/>
  <c r="G71" i="14"/>
  <c r="I63" i="14"/>
  <c r="H72" i="14"/>
  <c r="H2" i="16" s="1"/>
  <c r="J70" i="14"/>
  <c r="K70" i="14" s="1"/>
  <c r="J69" i="14"/>
  <c r="K69" i="14" s="1"/>
  <c r="J68" i="14"/>
  <c r="K68" i="14" s="1"/>
  <c r="J61" i="14"/>
  <c r="K61" i="14" s="1"/>
  <c r="J60" i="14"/>
  <c r="K60" i="14" s="1"/>
  <c r="J59" i="14"/>
  <c r="K59" i="14" s="1"/>
  <c r="H71" i="14" l="1"/>
  <c r="I72" i="14"/>
  <c r="I2" i="16"/>
  <c r="J66" i="14"/>
  <c r="K66" i="14" s="1"/>
  <c r="I71" i="14" l="1"/>
  <c r="J67" i="14"/>
  <c r="K67" i="14" s="1"/>
  <c r="J58" i="14" l="1"/>
  <c r="K58" i="14" s="1"/>
  <c r="J57" i="14"/>
  <c r="K57" i="14" s="1"/>
  <c r="J6" i="14" l="1"/>
  <c r="K6" i="14" l="1"/>
  <c r="K5" i="14" s="1"/>
  <c r="J5" i="14"/>
  <c r="D143" i="10" l="1"/>
  <c r="E143" i="10"/>
  <c r="F143" i="10"/>
  <c r="G143" i="10"/>
  <c r="H143" i="10"/>
  <c r="I143" i="10"/>
  <c r="C143" i="10"/>
  <c r="D135" i="10"/>
  <c r="E135" i="10"/>
  <c r="F135" i="10"/>
  <c r="G135" i="10"/>
  <c r="H135" i="10"/>
  <c r="I135" i="10"/>
  <c r="C135" i="10"/>
  <c r="D136" i="10"/>
  <c r="E136" i="10"/>
  <c r="F136" i="10"/>
  <c r="G136" i="10"/>
  <c r="H136" i="10"/>
  <c r="I136" i="10"/>
  <c r="C136" i="10"/>
  <c r="D111" i="10"/>
  <c r="E111" i="10"/>
  <c r="F111" i="10"/>
  <c r="G111" i="10"/>
  <c r="H111" i="10"/>
  <c r="I111" i="10"/>
  <c r="C111" i="10"/>
  <c r="I12" i="10"/>
  <c r="E12" i="10"/>
  <c r="I152" i="10"/>
  <c r="H152" i="10"/>
  <c r="G152" i="10"/>
  <c r="F152" i="10"/>
  <c r="E152" i="10"/>
  <c r="D152" i="10"/>
  <c r="C152" i="10"/>
  <c r="I151" i="10"/>
  <c r="H151" i="10"/>
  <c r="G151" i="10"/>
  <c r="F151" i="10"/>
  <c r="E151" i="10"/>
  <c r="D151" i="10"/>
  <c r="C151" i="10"/>
  <c r="I144" i="10"/>
  <c r="H144" i="10"/>
  <c r="G144" i="10"/>
  <c r="F144" i="10"/>
  <c r="E144" i="10"/>
  <c r="D144" i="10"/>
  <c r="C144" i="10"/>
  <c r="I128" i="10"/>
  <c r="H128" i="10"/>
  <c r="G128" i="10"/>
  <c r="F128" i="10"/>
  <c r="E128" i="10"/>
  <c r="D128" i="10"/>
  <c r="C128" i="10"/>
  <c r="K127" i="10"/>
  <c r="J127" i="10"/>
  <c r="I127" i="10"/>
  <c r="H127" i="10"/>
  <c r="G127" i="10"/>
  <c r="F127" i="10"/>
  <c r="E127" i="10"/>
  <c r="D127" i="10"/>
  <c r="C127" i="10"/>
  <c r="I120" i="10"/>
  <c r="H120" i="10"/>
  <c r="G120" i="10"/>
  <c r="F120" i="10"/>
  <c r="E120" i="10"/>
  <c r="D120" i="10"/>
  <c r="C120" i="10"/>
  <c r="I119" i="10"/>
  <c r="H119" i="10"/>
  <c r="G119" i="10"/>
  <c r="F119" i="10"/>
  <c r="E119" i="10"/>
  <c r="D119" i="10"/>
  <c r="C119" i="10"/>
  <c r="I112" i="10"/>
  <c r="H112" i="10"/>
  <c r="G112" i="10"/>
  <c r="F112" i="10"/>
  <c r="E112" i="10"/>
  <c r="D112" i="10"/>
  <c r="C112" i="10"/>
  <c r="I104" i="10"/>
  <c r="H104" i="10"/>
  <c r="G104" i="10"/>
  <c r="F104" i="10"/>
  <c r="E104" i="10"/>
  <c r="D104" i="10"/>
  <c r="C104" i="10"/>
  <c r="I103" i="10"/>
  <c r="H103" i="10"/>
  <c r="G103" i="10"/>
  <c r="F103" i="10"/>
  <c r="E103" i="10"/>
  <c r="D103" i="10"/>
  <c r="C103" i="10"/>
  <c r="I96" i="10"/>
  <c r="H96" i="10"/>
  <c r="G96" i="10"/>
  <c r="F96" i="10"/>
  <c r="E96" i="10"/>
  <c r="D96" i="10"/>
  <c r="C96" i="10"/>
  <c r="K95" i="10"/>
  <c r="J95" i="10"/>
  <c r="I95" i="10"/>
  <c r="H95" i="10"/>
  <c r="G95" i="10"/>
  <c r="F95" i="10"/>
  <c r="E95" i="10"/>
  <c r="D95" i="10"/>
  <c r="C95" i="10"/>
  <c r="I88" i="10"/>
  <c r="H88" i="10"/>
  <c r="G88" i="10"/>
  <c r="F88" i="10"/>
  <c r="E88" i="10"/>
  <c r="D88" i="10"/>
  <c r="K87" i="10"/>
  <c r="J87" i="10"/>
  <c r="I87" i="10"/>
  <c r="H87" i="10"/>
  <c r="G87" i="10"/>
  <c r="F87" i="10"/>
  <c r="E87" i="10"/>
  <c r="D87" i="10"/>
  <c r="D79" i="10"/>
  <c r="K72" i="10"/>
  <c r="J72" i="10"/>
  <c r="D54" i="10"/>
  <c r="D53" i="10"/>
  <c r="E53" i="10" s="1"/>
  <c r="F53" i="10" s="1"/>
  <c r="G53" i="10" s="1"/>
  <c r="H53" i="10" s="1"/>
  <c r="I53" i="10" s="1"/>
  <c r="I40" i="10"/>
  <c r="H40" i="10"/>
  <c r="G40" i="10"/>
  <c r="F40" i="10"/>
  <c r="I32" i="10"/>
  <c r="H32" i="10"/>
  <c r="G32" i="10"/>
  <c r="F32" i="10"/>
  <c r="E32" i="10"/>
  <c r="D32" i="10"/>
  <c r="I29" i="10"/>
  <c r="H29" i="10"/>
  <c r="G29" i="10"/>
  <c r="F29" i="10"/>
  <c r="E29" i="10"/>
  <c r="D29" i="10"/>
  <c r="I13" i="10"/>
  <c r="H13" i="10"/>
  <c r="G13" i="10"/>
  <c r="F13" i="10"/>
  <c r="E13" i="10"/>
  <c r="D13" i="10"/>
  <c r="I6" i="10"/>
  <c r="H6" i="10"/>
  <c r="G6" i="10"/>
  <c r="F6" i="10"/>
  <c r="E6" i="10"/>
  <c r="D6" i="10"/>
  <c r="E54" i="10" l="1"/>
  <c r="D55" i="10"/>
  <c r="D56" i="10"/>
  <c r="I28" i="10"/>
  <c r="E28" i="10"/>
  <c r="I5" i="10"/>
  <c r="E5" i="10"/>
  <c r="F54" i="10" l="1"/>
  <c r="E56" i="10"/>
  <c r="E55" i="10"/>
  <c r="D1" i="24"/>
  <c r="E1" i="24" s="1"/>
  <c r="F1" i="24" s="1"/>
  <c r="G1" i="24" s="1"/>
  <c r="H1" i="24" s="1"/>
  <c r="I1" i="24" s="1"/>
  <c r="J1" i="24" s="1"/>
  <c r="K1" i="24" s="1"/>
  <c r="L1" i="24" s="1"/>
  <c r="M1" i="24" s="1"/>
  <c r="N1" i="24" s="1"/>
  <c r="O1" i="24" s="1"/>
  <c r="P1" i="24" s="1"/>
  <c r="Q1" i="24" s="1"/>
  <c r="R1" i="24" s="1"/>
  <c r="S1" i="24" s="1"/>
  <c r="T1" i="24" s="1"/>
  <c r="U1" i="24" s="1"/>
  <c r="V1" i="24" s="1"/>
  <c r="W1" i="24" s="1"/>
  <c r="X1" i="24" s="1"/>
  <c r="Y1" i="24" s="1"/>
  <c r="Z1" i="24" s="1"/>
  <c r="AA1" i="24" s="1"/>
  <c r="AB1" i="24" s="1"/>
  <c r="AC1" i="24" s="1"/>
  <c r="AD1" i="24" s="1"/>
  <c r="AE1" i="24" s="1"/>
  <c r="AF1" i="24" s="1"/>
  <c r="AG1" i="24" s="1"/>
  <c r="G54" i="10" l="1"/>
  <c r="F55" i="10"/>
  <c r="F56" i="10"/>
  <c r="D5" i="18"/>
  <c r="E5" i="18"/>
  <c r="F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C5" i="18"/>
  <c r="D3" i="18"/>
  <c r="E3" i="18"/>
  <c r="F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C3" i="18"/>
  <c r="F3" i="23" l="1"/>
  <c r="C5" i="23"/>
  <c r="F5" i="23"/>
  <c r="G5" i="23" s="1"/>
  <c r="E5" i="23"/>
  <c r="E3" i="23"/>
  <c r="D5" i="23"/>
  <c r="D3" i="23"/>
  <c r="C3" i="23"/>
  <c r="AC5" i="20"/>
  <c r="Z3" i="20"/>
  <c r="H54" i="10"/>
  <c r="G55" i="10"/>
  <c r="G56" i="10"/>
  <c r="AG3" i="20"/>
  <c r="Y3" i="20"/>
  <c r="AB5" i="20"/>
  <c r="T5" i="20"/>
  <c r="AD3" i="20"/>
  <c r="V3" i="20"/>
  <c r="R3" i="20"/>
  <c r="N3" i="20"/>
  <c r="J3" i="20"/>
  <c r="AG5" i="20"/>
  <c r="Y5" i="20"/>
  <c r="U5" i="20"/>
  <c r="Q5" i="20"/>
  <c r="AC3" i="20"/>
  <c r="U3" i="20"/>
  <c r="Q3" i="20"/>
  <c r="M3" i="20"/>
  <c r="I3" i="20"/>
  <c r="AF5" i="20"/>
  <c r="X5" i="20"/>
  <c r="P5" i="20"/>
  <c r="AE3" i="20"/>
  <c r="AA3" i="20"/>
  <c r="W3" i="20"/>
  <c r="S3" i="20"/>
  <c r="O3" i="20"/>
  <c r="Z5" i="20"/>
  <c r="R5" i="20"/>
  <c r="K3" i="20"/>
  <c r="AE5" i="20"/>
  <c r="O5" i="20"/>
  <c r="AA5" i="20"/>
  <c r="S5" i="20"/>
  <c r="AD5" i="20"/>
  <c r="V5" i="20"/>
  <c r="N5" i="20"/>
  <c r="W5" i="20"/>
  <c r="AF3" i="20"/>
  <c r="AB3" i="20"/>
  <c r="X3" i="20"/>
  <c r="T3" i="20"/>
  <c r="P3" i="20"/>
  <c r="L3" i="20"/>
  <c r="AF14" i="20" l="1"/>
  <c r="AF16" i="20"/>
  <c r="L14" i="20"/>
  <c r="AL14" i="20"/>
  <c r="I54" i="10"/>
  <c r="H55" i="10"/>
  <c r="H56" i="10"/>
  <c r="C4" i="18"/>
  <c r="M4" i="18"/>
  <c r="R4" i="18"/>
  <c r="W4" i="18"/>
  <c r="AB4" i="18"/>
  <c r="AG4" i="18"/>
  <c r="C4" i="23" l="1"/>
  <c r="I56" i="10"/>
  <c r="I55" i="10"/>
  <c r="L36" i="10"/>
  <c r="L37" i="10"/>
  <c r="L38" i="10"/>
  <c r="L44" i="10"/>
  <c r="L45" i="10"/>
  <c r="L50" i="10"/>
  <c r="L51" i="10"/>
  <c r="L52" i="10"/>
  <c r="L57" i="10"/>
  <c r="L58" i="10"/>
  <c r="L59" i="10"/>
  <c r="L61" i="10"/>
  <c r="L62" i="10"/>
  <c r="L66" i="10"/>
  <c r="L67" i="10"/>
  <c r="L68" i="10"/>
  <c r="L70" i="10"/>
  <c r="L75" i="10"/>
  <c r="L76" i="10"/>
  <c r="L77" i="10"/>
  <c r="L78" i="10"/>
  <c r="L83" i="10"/>
  <c r="L84" i="10"/>
  <c r="L85" i="10"/>
  <c r="L86" i="10"/>
  <c r="L87" i="10"/>
  <c r="L89" i="10"/>
  <c r="L90" i="10"/>
  <c r="L91" i="10"/>
  <c r="L92" i="10"/>
  <c r="L93" i="10"/>
  <c r="L94" i="10"/>
  <c r="L95" i="10"/>
  <c r="L97" i="10"/>
  <c r="L98" i="10"/>
  <c r="L99" i="10"/>
  <c r="L100" i="10"/>
  <c r="L101" i="10"/>
  <c r="L102" i="10"/>
  <c r="L103" i="10"/>
  <c r="L105" i="10"/>
  <c r="L106" i="10"/>
  <c r="L107" i="10"/>
  <c r="L108" i="10"/>
  <c r="L109" i="10"/>
  <c r="L110" i="10"/>
  <c r="L111" i="10"/>
  <c r="L113" i="10"/>
  <c r="L114" i="10"/>
  <c r="L115" i="10"/>
  <c r="L116" i="10"/>
  <c r="L117" i="10"/>
  <c r="L118" i="10"/>
  <c r="L119" i="10"/>
  <c r="L121" i="10"/>
  <c r="L122" i="10"/>
  <c r="L123" i="10"/>
  <c r="L124" i="10"/>
  <c r="L125" i="10"/>
  <c r="L126" i="10"/>
  <c r="L127" i="10"/>
  <c r="L129" i="10"/>
  <c r="L130" i="10"/>
  <c r="L131" i="10"/>
  <c r="L132" i="10"/>
  <c r="L133" i="10"/>
  <c r="L134" i="10"/>
  <c r="L135" i="10"/>
  <c r="L137" i="10"/>
  <c r="L138" i="10"/>
  <c r="L139" i="10"/>
  <c r="L140" i="10"/>
  <c r="L141" i="10"/>
  <c r="L142" i="10"/>
  <c r="L143" i="10"/>
  <c r="L145" i="10"/>
  <c r="L146" i="10"/>
  <c r="L147" i="10"/>
  <c r="L148" i="10"/>
  <c r="L149" i="10"/>
  <c r="L150" i="10"/>
  <c r="L151" i="10"/>
  <c r="L153" i="10"/>
  <c r="L154" i="10"/>
  <c r="L2" i="10"/>
  <c r="D3" i="17"/>
  <c r="E3" i="17"/>
  <c r="F3" i="17"/>
  <c r="G3" i="17"/>
  <c r="H3" i="17"/>
  <c r="I3" i="17"/>
  <c r="D4" i="17"/>
  <c r="E4" i="17"/>
  <c r="F4" i="17"/>
  <c r="G4" i="17"/>
  <c r="H4" i="17"/>
  <c r="I4" i="17"/>
  <c r="D5" i="17"/>
  <c r="E5" i="17"/>
  <c r="F5" i="17"/>
  <c r="G5" i="17"/>
  <c r="H5" i="17"/>
  <c r="I5" i="17"/>
  <c r="D8" i="17"/>
  <c r="E8" i="17"/>
  <c r="F8" i="17"/>
  <c r="G8" i="17"/>
  <c r="H8" i="17"/>
  <c r="I8" i="17"/>
  <c r="D9" i="17"/>
  <c r="E9" i="17"/>
  <c r="F9" i="17"/>
  <c r="G9" i="17"/>
  <c r="H9" i="17"/>
  <c r="I9" i="17"/>
  <c r="C5" i="17"/>
  <c r="AG3" i="23"/>
  <c r="AB3" i="23"/>
  <c r="W3" i="23"/>
  <c r="R3" i="23"/>
  <c r="M3" i="23"/>
  <c r="H3" i="23"/>
  <c r="E1" i="23"/>
  <c r="F1" i="23" s="1"/>
  <c r="G1" i="23" s="1"/>
  <c r="H1" i="23" s="1"/>
  <c r="I1" i="23" s="1"/>
  <c r="J1" i="23" s="1"/>
  <c r="K1" i="23" s="1"/>
  <c r="L1" i="23" s="1"/>
  <c r="M1" i="23" s="1"/>
  <c r="N1" i="23" s="1"/>
  <c r="O1" i="23" s="1"/>
  <c r="P1" i="23" s="1"/>
  <c r="Q1" i="23" s="1"/>
  <c r="R1" i="23" s="1"/>
  <c r="S1" i="23" s="1"/>
  <c r="T1" i="23" s="1"/>
  <c r="U1" i="23" s="1"/>
  <c r="V1" i="23" s="1"/>
  <c r="W1" i="23" s="1"/>
  <c r="X1" i="23" s="1"/>
  <c r="Y1" i="23" s="1"/>
  <c r="Z1" i="23" s="1"/>
  <c r="AA1" i="23" s="1"/>
  <c r="AB1" i="23" s="1"/>
  <c r="AC1" i="23" s="1"/>
  <c r="AD1" i="23" s="1"/>
  <c r="AE1" i="23" s="1"/>
  <c r="AF1" i="23" s="1"/>
  <c r="AG1" i="23" s="1"/>
  <c r="D1" i="23"/>
  <c r="D1" i="18"/>
  <c r="E1" i="18" s="1"/>
  <c r="F1" i="18" s="1"/>
  <c r="G1" i="18" s="1"/>
  <c r="H1" i="18" s="1"/>
  <c r="I1" i="18" s="1"/>
  <c r="J1" i="18" s="1"/>
  <c r="K1" i="18" s="1"/>
  <c r="L1" i="18" s="1"/>
  <c r="M1" i="18" s="1"/>
  <c r="N1" i="18" s="1"/>
  <c r="O1" i="18" s="1"/>
  <c r="P1" i="18" s="1"/>
  <c r="Q1" i="18" s="1"/>
  <c r="R1" i="18" s="1"/>
  <c r="S1" i="18" s="1"/>
  <c r="T1" i="18" s="1"/>
  <c r="U1" i="18" s="1"/>
  <c r="V1" i="18" s="1"/>
  <c r="W1" i="18" s="1"/>
  <c r="X1" i="18" s="1"/>
  <c r="Y1" i="18" s="1"/>
  <c r="Z1" i="18" s="1"/>
  <c r="AA1" i="18" s="1"/>
  <c r="AB1" i="18" s="1"/>
  <c r="AC1" i="18" s="1"/>
  <c r="AD1" i="18" s="1"/>
  <c r="AE1" i="18" s="1"/>
  <c r="AF1" i="18" s="1"/>
  <c r="AG1" i="18" s="1"/>
  <c r="N4" i="18"/>
  <c r="S4" i="18"/>
  <c r="AC4" i="18"/>
  <c r="S4" i="20" l="1"/>
  <c r="N4" i="20"/>
  <c r="AC4" i="20"/>
  <c r="G3" i="23"/>
  <c r="S3" i="23"/>
  <c r="I3" i="23"/>
  <c r="X3" i="23"/>
  <c r="O4" i="18"/>
  <c r="AD4" i="18"/>
  <c r="T4" i="18"/>
  <c r="I5" i="20"/>
  <c r="AC3" i="23"/>
  <c r="X4" i="18"/>
  <c r="N3" i="23"/>
  <c r="I9" i="24" l="1"/>
  <c r="AC9" i="24"/>
  <c r="X9" i="24"/>
  <c r="N9" i="24"/>
  <c r="S9" i="24"/>
  <c r="X4" i="20"/>
  <c r="T4" i="20"/>
  <c r="AD4" i="20"/>
  <c r="O4" i="20"/>
  <c r="AC5" i="24"/>
  <c r="N3" i="24"/>
  <c r="I3" i="24"/>
  <c r="X5" i="24"/>
  <c r="S5" i="24"/>
  <c r="AD5" i="24"/>
  <c r="I5" i="24"/>
  <c r="S3" i="24"/>
  <c r="N5" i="24"/>
  <c r="AC3" i="24"/>
  <c r="X3" i="24"/>
  <c r="S9" i="20"/>
  <c r="Y3" i="23"/>
  <c r="T3" i="23"/>
  <c r="J3" i="23"/>
  <c r="O3" i="23"/>
  <c r="AD3" i="23"/>
  <c r="N9" i="20"/>
  <c r="Y4" i="18"/>
  <c r="J5" i="20"/>
  <c r="U4" i="18"/>
  <c r="AE4" i="18"/>
  <c r="P4" i="18"/>
  <c r="X9" i="20"/>
  <c r="I9" i="20"/>
  <c r="AC9" i="20"/>
  <c r="L144" i="10"/>
  <c r="L136" i="10"/>
  <c r="AG8" i="23"/>
  <c r="AB8" i="23"/>
  <c r="W8" i="23"/>
  <c r="R8" i="23"/>
  <c r="L120" i="10"/>
  <c r="L112" i="10"/>
  <c r="L104" i="10"/>
  <c r="L96" i="10"/>
  <c r="L88" i="10"/>
  <c r="L63" i="10"/>
  <c r="L54" i="10"/>
  <c r="D1" i="20"/>
  <c r="E1" i="20" s="1"/>
  <c r="F1" i="20" s="1"/>
  <c r="G1" i="20" s="1"/>
  <c r="H1" i="20" s="1"/>
  <c r="I1" i="20" s="1"/>
  <c r="J1" i="20" s="1"/>
  <c r="K1" i="20" s="1"/>
  <c r="L1" i="20" s="1"/>
  <c r="M1" i="20" s="1"/>
  <c r="N1" i="20" s="1"/>
  <c r="O1" i="20" s="1"/>
  <c r="P1" i="20" s="1"/>
  <c r="Q1" i="20" s="1"/>
  <c r="R1" i="20" s="1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AC1" i="20" s="1"/>
  <c r="AD1" i="20" s="1"/>
  <c r="AE1" i="20" s="1"/>
  <c r="AF1" i="20" s="1"/>
  <c r="AG1" i="20" s="1"/>
  <c r="D5" i="20"/>
  <c r="D3" i="20"/>
  <c r="Y9" i="24" l="1"/>
  <c r="O9" i="24"/>
  <c r="T9" i="24"/>
  <c r="AD9" i="24"/>
  <c r="J9" i="24"/>
  <c r="P4" i="20"/>
  <c r="AE4" i="20"/>
  <c r="D9" i="23"/>
  <c r="D9" i="24" s="1"/>
  <c r="U4" i="20"/>
  <c r="Y4" i="20"/>
  <c r="D3" i="24"/>
  <c r="C14" i="20"/>
  <c r="D5" i="24"/>
  <c r="C16" i="20"/>
  <c r="T9" i="20"/>
  <c r="AD3" i="24"/>
  <c r="AE5" i="24"/>
  <c r="T3" i="24"/>
  <c r="T5" i="24"/>
  <c r="O3" i="24"/>
  <c r="Y3" i="24"/>
  <c r="J3" i="24"/>
  <c r="Y5" i="24"/>
  <c r="O5" i="24"/>
  <c r="O9" i="20"/>
  <c r="J5" i="24"/>
  <c r="AE3" i="23"/>
  <c r="U3" i="23"/>
  <c r="P3" i="23"/>
  <c r="K3" i="23"/>
  <c r="Z3" i="23"/>
  <c r="D90" i="10"/>
  <c r="D89" i="10"/>
  <c r="D82" i="10"/>
  <c r="D81" i="10"/>
  <c r="E89" i="10"/>
  <c r="E90" i="10"/>
  <c r="I89" i="10"/>
  <c r="I90" i="10"/>
  <c r="E82" i="10"/>
  <c r="E81" i="10"/>
  <c r="I82" i="10"/>
  <c r="AG4" i="23" s="1"/>
  <c r="I81" i="10"/>
  <c r="F89" i="10"/>
  <c r="F90" i="10"/>
  <c r="G82" i="10"/>
  <c r="W4" i="23" s="1"/>
  <c r="G81" i="10"/>
  <c r="H90" i="10"/>
  <c r="H89" i="10"/>
  <c r="H82" i="10"/>
  <c r="AB4" i="23" s="1"/>
  <c r="H81" i="10"/>
  <c r="I33" i="10"/>
  <c r="F81" i="10"/>
  <c r="F82" i="10"/>
  <c r="R4" i="23" s="1"/>
  <c r="G90" i="10"/>
  <c r="G89" i="10"/>
  <c r="V4" i="18"/>
  <c r="Z4" i="18"/>
  <c r="K5" i="20"/>
  <c r="E5" i="20"/>
  <c r="E3" i="20"/>
  <c r="AC8" i="23"/>
  <c r="Q4" i="18"/>
  <c r="AF4" i="18"/>
  <c r="S8" i="23"/>
  <c r="H8" i="23"/>
  <c r="M8" i="23"/>
  <c r="E33" i="10"/>
  <c r="X8" i="23"/>
  <c r="L47" i="10"/>
  <c r="D9" i="20"/>
  <c r="AD9" i="20"/>
  <c r="G33" i="10"/>
  <c r="J9" i="20"/>
  <c r="Y9" i="20"/>
  <c r="H33" i="10"/>
  <c r="F33" i="10"/>
  <c r="I24" i="10"/>
  <c r="B3" i="17"/>
  <c r="B4" i="17"/>
  <c r="B5" i="17"/>
  <c r="B6" i="17"/>
  <c r="B7" i="17"/>
  <c r="B8" i="17"/>
  <c r="B9" i="17"/>
  <c r="B2" i="17"/>
  <c r="B3" i="16"/>
  <c r="B4" i="16"/>
  <c r="B5" i="16"/>
  <c r="B6" i="16"/>
  <c r="B7" i="16"/>
  <c r="B8" i="16"/>
  <c r="B9" i="16"/>
  <c r="B2" i="16"/>
  <c r="C3" i="16"/>
  <c r="X8" i="24" l="1"/>
  <c r="U9" i="24"/>
  <c r="P9" i="24"/>
  <c r="Z9" i="24"/>
  <c r="AE9" i="24"/>
  <c r="K9" i="24"/>
  <c r="E3" i="24"/>
  <c r="E5" i="24"/>
  <c r="Z4" i="20"/>
  <c r="E9" i="23"/>
  <c r="E9" i="24" s="1"/>
  <c r="Q9" i="20"/>
  <c r="C20" i="20"/>
  <c r="V4" i="20"/>
  <c r="W4" i="20"/>
  <c r="AF4" i="20"/>
  <c r="AG4" i="20"/>
  <c r="Q4" i="20"/>
  <c r="R4" i="20"/>
  <c r="P9" i="20"/>
  <c r="P3" i="24"/>
  <c r="AC8" i="24"/>
  <c r="U3" i="24"/>
  <c r="AE3" i="24"/>
  <c r="U9" i="20"/>
  <c r="Z3" i="24"/>
  <c r="U5" i="24"/>
  <c r="K5" i="24"/>
  <c r="S8" i="24"/>
  <c r="K3" i="24"/>
  <c r="P5" i="24"/>
  <c r="Z5" i="24"/>
  <c r="AF5" i="24"/>
  <c r="AG5" i="24"/>
  <c r="S4" i="23"/>
  <c r="AC4" i="23"/>
  <c r="N8" i="23"/>
  <c r="AA3" i="23"/>
  <c r="Q3" i="23"/>
  <c r="T8" i="23"/>
  <c r="Y8" i="23"/>
  <c r="AD8" i="23"/>
  <c r="L3" i="23"/>
  <c r="V3" i="23"/>
  <c r="AF3" i="23"/>
  <c r="X4" i="23"/>
  <c r="H4" i="23"/>
  <c r="M4" i="23"/>
  <c r="F5" i="20"/>
  <c r="F3" i="20"/>
  <c r="AA4" i="18"/>
  <c r="I8" i="23"/>
  <c r="K9" i="20"/>
  <c r="Z9" i="20"/>
  <c r="E9" i="20"/>
  <c r="AE9" i="20"/>
  <c r="C9" i="17"/>
  <c r="C8" i="17"/>
  <c r="C4" i="17"/>
  <c r="C3" i="17"/>
  <c r="C9" i="16"/>
  <c r="C8" i="16"/>
  <c r="C4" i="16"/>
  <c r="C5" i="16"/>
  <c r="AA9" i="24" l="1"/>
  <c r="AB9" i="24"/>
  <c r="Q9" i="24"/>
  <c r="R9" i="24"/>
  <c r="V9" i="24"/>
  <c r="W9" i="24"/>
  <c r="AF9" i="24"/>
  <c r="AG9" i="24"/>
  <c r="L9" i="24"/>
  <c r="M9" i="24"/>
  <c r="R9" i="20"/>
  <c r="F5" i="24"/>
  <c r="F3" i="24"/>
  <c r="X4" i="24"/>
  <c r="AC4" i="24"/>
  <c r="S4" i="24"/>
  <c r="AF15" i="20"/>
  <c r="AA4" i="20"/>
  <c r="AB4" i="20"/>
  <c r="F9" i="23"/>
  <c r="G3" i="24"/>
  <c r="H3" i="24"/>
  <c r="AD8" i="24"/>
  <c r="I8" i="24"/>
  <c r="Y8" i="24"/>
  <c r="N8" i="24"/>
  <c r="T8" i="24"/>
  <c r="W9" i="20"/>
  <c r="V9" i="20"/>
  <c r="Q5" i="24"/>
  <c r="R5" i="24"/>
  <c r="L5" i="24"/>
  <c r="M5" i="24"/>
  <c r="V5" i="24"/>
  <c r="W5" i="24"/>
  <c r="AD4" i="23"/>
  <c r="AF3" i="24"/>
  <c r="AG3" i="24"/>
  <c r="G5" i="24"/>
  <c r="H5" i="24"/>
  <c r="Q3" i="24"/>
  <c r="R3" i="24"/>
  <c r="AA5" i="24"/>
  <c r="AB5" i="24"/>
  <c r="L3" i="24"/>
  <c r="M3" i="24"/>
  <c r="V3" i="24"/>
  <c r="W3" i="24"/>
  <c r="AA3" i="24"/>
  <c r="AB3" i="24"/>
  <c r="T4" i="23"/>
  <c r="N4" i="23"/>
  <c r="L5" i="20"/>
  <c r="M5" i="20"/>
  <c r="J8" i="23"/>
  <c r="AE8" i="23"/>
  <c r="U8" i="23"/>
  <c r="Y4" i="23"/>
  <c r="Z8" i="23"/>
  <c r="O8" i="23"/>
  <c r="I4" i="23"/>
  <c r="AF9" i="20"/>
  <c r="AG9" i="20"/>
  <c r="L9" i="20"/>
  <c r="M9" i="20"/>
  <c r="F9" i="20"/>
  <c r="AA9" i="20"/>
  <c r="AB9" i="20"/>
  <c r="D8" i="16"/>
  <c r="E8" i="16" s="1"/>
  <c r="D1" i="17"/>
  <c r="E1" i="17" s="1"/>
  <c r="F1" i="17" s="1"/>
  <c r="G1" i="17" s="1"/>
  <c r="H1" i="17" s="1"/>
  <c r="I1" i="17" s="1"/>
  <c r="D4" i="16"/>
  <c r="E4" i="16" s="1"/>
  <c r="D5" i="16"/>
  <c r="E5" i="16" s="1"/>
  <c r="D3" i="16"/>
  <c r="E3" i="16" s="1"/>
  <c r="D9" i="16"/>
  <c r="E9" i="16" s="1"/>
  <c r="D1" i="16"/>
  <c r="E1" i="16" s="1"/>
  <c r="F1" i="16" s="1"/>
  <c r="G1" i="16" s="1"/>
  <c r="H1" i="16" s="1"/>
  <c r="I1" i="16" s="1"/>
  <c r="F9" i="24" l="1"/>
  <c r="G9" i="23"/>
  <c r="I4" i="24"/>
  <c r="AD4" i="24"/>
  <c r="Y4" i="24"/>
  <c r="N4" i="24"/>
  <c r="AF20" i="20"/>
  <c r="T4" i="24"/>
  <c r="L20" i="20"/>
  <c r="AL20" i="20"/>
  <c r="L16" i="20"/>
  <c r="AL16" i="20"/>
  <c r="U4" i="23"/>
  <c r="J8" i="24"/>
  <c r="O8" i="24"/>
  <c r="U8" i="24"/>
  <c r="Z8" i="24"/>
  <c r="AE8" i="24"/>
  <c r="AE4" i="23"/>
  <c r="O4" i="23"/>
  <c r="G3" i="20"/>
  <c r="H3" i="20"/>
  <c r="G5" i="20"/>
  <c r="H5" i="20"/>
  <c r="P8" i="23"/>
  <c r="AA8" i="23"/>
  <c r="V4" i="23"/>
  <c r="AF8" i="23"/>
  <c r="J4" i="23"/>
  <c r="Z4" i="23"/>
  <c r="V8" i="23"/>
  <c r="K8" i="23"/>
  <c r="G9" i="20"/>
  <c r="H9" i="20"/>
  <c r="F5" i="16"/>
  <c r="G5" i="16" s="1"/>
  <c r="H5" i="16" s="1"/>
  <c r="I5" i="16" s="1"/>
  <c r="F4" i="16"/>
  <c r="G4" i="16" s="1"/>
  <c r="H4" i="16" s="1"/>
  <c r="I4" i="16" s="1"/>
  <c r="F9" i="16"/>
  <c r="G9" i="16" s="1"/>
  <c r="H9" i="16" s="1"/>
  <c r="I9" i="16" s="1"/>
  <c r="F3" i="16"/>
  <c r="G3" i="16" s="1"/>
  <c r="H3" i="16" s="1"/>
  <c r="I3" i="16" s="1"/>
  <c r="F8" i="16"/>
  <c r="G8" i="16" s="1"/>
  <c r="H8" i="16" s="1"/>
  <c r="I8" i="16" s="1"/>
  <c r="H8" i="18"/>
  <c r="AG8" i="18"/>
  <c r="L80" i="10"/>
  <c r="G9" i="24" l="1"/>
  <c r="H9" i="24"/>
  <c r="Z4" i="24"/>
  <c r="J4" i="24"/>
  <c r="U4" i="24"/>
  <c r="AN20" i="20"/>
  <c r="O4" i="24"/>
  <c r="AJ20" i="20"/>
  <c r="AE4" i="24"/>
  <c r="AN16" i="20"/>
  <c r="AJ16" i="20"/>
  <c r="AN14" i="20"/>
  <c r="AJ14" i="20"/>
  <c r="V4" i="24"/>
  <c r="W4" i="24"/>
  <c r="AF4" i="23"/>
  <c r="K8" i="24"/>
  <c r="P8" i="24"/>
  <c r="P4" i="23"/>
  <c r="V8" i="24"/>
  <c r="W8" i="24"/>
  <c r="AA8" i="24"/>
  <c r="AB8" i="24"/>
  <c r="AF8" i="24"/>
  <c r="AG8" i="24"/>
  <c r="L8" i="23"/>
  <c r="K4" i="23"/>
  <c r="AA4" i="23"/>
  <c r="Q8" i="23"/>
  <c r="C8" i="18"/>
  <c r="L128" i="10"/>
  <c r="L72" i="10"/>
  <c r="L40" i="10"/>
  <c r="M8" i="18"/>
  <c r="P4" i="24" l="1"/>
  <c r="K4" i="24"/>
  <c r="C8" i="23"/>
  <c r="AF4" i="24"/>
  <c r="AG4" i="24"/>
  <c r="AA4" i="24"/>
  <c r="AB4" i="24"/>
  <c r="D8" i="18"/>
  <c r="I8" i="18"/>
  <c r="Q4" i="23"/>
  <c r="L8" i="24"/>
  <c r="M8" i="24"/>
  <c r="Q8" i="24"/>
  <c r="R8" i="24"/>
  <c r="L4" i="23"/>
  <c r="R8" i="18"/>
  <c r="L71" i="10"/>
  <c r="D8" i="23" l="1"/>
  <c r="L4" i="24"/>
  <c r="M4" i="24"/>
  <c r="Q4" i="24"/>
  <c r="R4" i="24"/>
  <c r="D8" i="20"/>
  <c r="I8" i="20"/>
  <c r="E8" i="18"/>
  <c r="J8" i="18"/>
  <c r="W8" i="18"/>
  <c r="AB8" i="18"/>
  <c r="N8" i="18"/>
  <c r="L152" i="10"/>
  <c r="E8" i="23" l="1"/>
  <c r="D8" i="24"/>
  <c r="C19" i="20"/>
  <c r="F8" i="18"/>
  <c r="E8" i="20"/>
  <c r="K8" i="18"/>
  <c r="J8" i="20"/>
  <c r="L79" i="10"/>
  <c r="AC8" i="18"/>
  <c r="O8" i="18"/>
  <c r="N8" i="20"/>
  <c r="X8" i="18"/>
  <c r="S8" i="18"/>
  <c r="I31" i="10"/>
  <c r="I30" i="10"/>
  <c r="L81" i="10"/>
  <c r="E2" i="17"/>
  <c r="M2" i="18"/>
  <c r="I15" i="10"/>
  <c r="I41" i="10"/>
  <c r="I49" i="10"/>
  <c r="F8" i="20" l="1"/>
  <c r="E8" i="24"/>
  <c r="F8" i="23"/>
  <c r="G8" i="23" s="1"/>
  <c r="G8" i="18"/>
  <c r="K8" i="20"/>
  <c r="L8" i="18"/>
  <c r="Y8" i="18"/>
  <c r="X8" i="20"/>
  <c r="L82" i="10"/>
  <c r="T8" i="18"/>
  <c r="S8" i="20"/>
  <c r="P8" i="18"/>
  <c r="O8" i="20"/>
  <c r="AC8" i="20"/>
  <c r="AD8" i="18"/>
  <c r="L39" i="10"/>
  <c r="F12" i="10"/>
  <c r="F14" i="10" s="1"/>
  <c r="E8" i="10"/>
  <c r="I42" i="10"/>
  <c r="AG6" i="23" s="1"/>
  <c r="I14" i="10"/>
  <c r="E7" i="10"/>
  <c r="F41" i="10"/>
  <c r="E41" i="10"/>
  <c r="E15" i="10"/>
  <c r="J71" i="10"/>
  <c r="K71" i="10" s="1"/>
  <c r="F15" i="10"/>
  <c r="I48" i="10"/>
  <c r="L53" i="10"/>
  <c r="L46" i="10"/>
  <c r="E42" i="10"/>
  <c r="E48" i="10"/>
  <c r="E49" i="10"/>
  <c r="E14" i="10"/>
  <c r="I7" i="10"/>
  <c r="I7" i="25" s="1"/>
  <c r="F5" i="10"/>
  <c r="I8" i="10"/>
  <c r="AG7" i="23" s="1"/>
  <c r="D31" i="10"/>
  <c r="G31" i="10"/>
  <c r="F31" i="10"/>
  <c r="H31" i="10"/>
  <c r="E31" i="10"/>
  <c r="F30" i="10"/>
  <c r="E30" i="10"/>
  <c r="G30" i="10"/>
  <c r="H30" i="10"/>
  <c r="D30" i="10"/>
  <c r="D5" i="10"/>
  <c r="C2" i="18"/>
  <c r="F2" i="17"/>
  <c r="R2" i="18"/>
  <c r="D70" i="10"/>
  <c r="D69" i="10"/>
  <c r="D68" i="10"/>
  <c r="D67" i="10"/>
  <c r="D66" i="10"/>
  <c r="E66" i="10" s="1"/>
  <c r="D61" i="10"/>
  <c r="D60" i="10"/>
  <c r="E60" i="10" s="1"/>
  <c r="F60" i="10" s="1"/>
  <c r="G60" i="10" s="1"/>
  <c r="H60" i="10" s="1"/>
  <c r="I60" i="10" s="1"/>
  <c r="J60" i="10" s="1"/>
  <c r="K60" i="10" s="1"/>
  <c r="D59" i="10"/>
  <c r="E59" i="10" s="1"/>
  <c r="F59" i="10" s="1"/>
  <c r="G59" i="10" s="1"/>
  <c r="H59" i="10" s="1"/>
  <c r="I59" i="10" s="1"/>
  <c r="J59" i="10" s="1"/>
  <c r="K59" i="10" s="1"/>
  <c r="D58" i="10"/>
  <c r="D57" i="10"/>
  <c r="D43" i="10"/>
  <c r="L43" i="10"/>
  <c r="H8" i="20" l="1"/>
  <c r="G8" i="20"/>
  <c r="F8" i="24"/>
  <c r="AJ19" i="20"/>
  <c r="G8" i="24"/>
  <c r="H8" i="24"/>
  <c r="C2" i="23"/>
  <c r="L8" i="20"/>
  <c r="M8" i="20"/>
  <c r="G12" i="10"/>
  <c r="E57" i="10"/>
  <c r="L64" i="10"/>
  <c r="C2" i="25"/>
  <c r="I6" i="25"/>
  <c r="E6" i="25"/>
  <c r="L41" i="10"/>
  <c r="M6" i="23"/>
  <c r="N2" i="18"/>
  <c r="U8" i="18"/>
  <c r="T8" i="20"/>
  <c r="AE8" i="18"/>
  <c r="AD8" i="20"/>
  <c r="L74" i="10"/>
  <c r="C2" i="17"/>
  <c r="L73" i="10"/>
  <c r="Q8" i="18"/>
  <c r="P8" i="20"/>
  <c r="Z8" i="18"/>
  <c r="Y8" i="20"/>
  <c r="L42" i="10"/>
  <c r="D12" i="10"/>
  <c r="D14" i="10" s="1"/>
  <c r="F66" i="10"/>
  <c r="G66" i="10" s="1"/>
  <c r="H66" i="10" s="1"/>
  <c r="I66" i="10" s="1"/>
  <c r="E67" i="10"/>
  <c r="F42" i="10"/>
  <c r="E58" i="10"/>
  <c r="E69" i="10"/>
  <c r="E24" i="10"/>
  <c r="M7" i="23" s="1"/>
  <c r="E7" i="25"/>
  <c r="F49" i="10"/>
  <c r="F48" i="10"/>
  <c r="D74" i="10"/>
  <c r="H2" i="23" s="1"/>
  <c r="H12" i="10"/>
  <c r="G14" i="10"/>
  <c r="G15" i="10"/>
  <c r="G5" i="10"/>
  <c r="F7" i="10"/>
  <c r="F8" i="10"/>
  <c r="C6" i="17"/>
  <c r="D7" i="10"/>
  <c r="D8" i="10"/>
  <c r="E61" i="10"/>
  <c r="E70" i="10"/>
  <c r="E74" i="10" s="1"/>
  <c r="E68" i="10"/>
  <c r="H2" i="18"/>
  <c r="G2" i="17"/>
  <c r="W2" i="18"/>
  <c r="D30" i="1"/>
  <c r="E30" i="1"/>
  <c r="F30" i="1" s="1"/>
  <c r="G30" i="1" s="1"/>
  <c r="H30" i="1" s="1"/>
  <c r="I30" i="1" s="1"/>
  <c r="J30" i="1" s="1"/>
  <c r="K30" i="1" s="1"/>
  <c r="D31" i="1"/>
  <c r="E31" i="1" s="1"/>
  <c r="F31" i="1" s="1"/>
  <c r="G31" i="1" s="1"/>
  <c r="H31" i="1" s="1"/>
  <c r="I31" i="1" s="1"/>
  <c r="J31" i="1" s="1"/>
  <c r="K31" i="1" s="1"/>
  <c r="D32" i="1"/>
  <c r="E32" i="1" s="1"/>
  <c r="F32" i="1" s="1"/>
  <c r="G32" i="1" s="1"/>
  <c r="H32" i="1" s="1"/>
  <c r="I32" i="1" s="1"/>
  <c r="J32" i="1" s="1"/>
  <c r="K32" i="1" s="1"/>
  <c r="D33" i="1"/>
  <c r="E33" i="1" s="1"/>
  <c r="F33" i="1" s="1"/>
  <c r="G33" i="1" s="1"/>
  <c r="H33" i="1" s="1"/>
  <c r="I33" i="1" s="1"/>
  <c r="J33" i="1" s="1"/>
  <c r="K33" i="1" s="1"/>
  <c r="D29" i="1"/>
  <c r="E29" i="1" s="1"/>
  <c r="F29" i="1" s="1"/>
  <c r="G29" i="1" s="1"/>
  <c r="H29" i="1" s="1"/>
  <c r="I29" i="1" s="1"/>
  <c r="J29" i="1" s="1"/>
  <c r="K29" i="1" s="1"/>
  <c r="D24" i="1"/>
  <c r="E24" i="1" s="1"/>
  <c r="F24" i="1" s="1"/>
  <c r="G24" i="1" s="1"/>
  <c r="H24" i="1" s="1"/>
  <c r="I24" i="1" s="1"/>
  <c r="J24" i="1" s="1"/>
  <c r="K24" i="1" s="1"/>
  <c r="D25" i="1"/>
  <c r="E25" i="1" s="1"/>
  <c r="F25" i="1" s="1"/>
  <c r="G25" i="1" s="1"/>
  <c r="H25" i="1" s="1"/>
  <c r="I25" i="1" s="1"/>
  <c r="J25" i="1" s="1"/>
  <c r="K25" i="1" s="1"/>
  <c r="D26" i="1"/>
  <c r="E26" i="1" s="1"/>
  <c r="F26" i="1" s="1"/>
  <c r="G26" i="1" s="1"/>
  <c r="H26" i="1" s="1"/>
  <c r="I26" i="1" s="1"/>
  <c r="J26" i="1" s="1"/>
  <c r="K26" i="1" s="1"/>
  <c r="D27" i="1"/>
  <c r="E27" i="1" s="1"/>
  <c r="F27" i="1" s="1"/>
  <c r="G27" i="1" s="1"/>
  <c r="H27" i="1" s="1"/>
  <c r="I27" i="1" s="1"/>
  <c r="J27" i="1" s="1"/>
  <c r="K27" i="1" s="1"/>
  <c r="E23" i="1"/>
  <c r="F23" i="1"/>
  <c r="G23" i="1" s="1"/>
  <c r="H23" i="1" s="1"/>
  <c r="I23" i="1" s="1"/>
  <c r="J23" i="1" s="1"/>
  <c r="K23" i="1" s="1"/>
  <c r="D23" i="1"/>
  <c r="D17" i="1"/>
  <c r="C17" i="1"/>
  <c r="L19" i="20" l="1"/>
  <c r="D15" i="10"/>
  <c r="J66" i="10"/>
  <c r="K66" i="10" s="1"/>
  <c r="L65" i="10"/>
  <c r="F57" i="10"/>
  <c r="F6" i="25"/>
  <c r="H4" i="18"/>
  <c r="N2" i="20"/>
  <c r="O2" i="18"/>
  <c r="S2" i="18"/>
  <c r="D2" i="18"/>
  <c r="AA8" i="18"/>
  <c r="Z8" i="20"/>
  <c r="V8" i="18"/>
  <c r="U8" i="20"/>
  <c r="I2" i="18"/>
  <c r="Q8" i="20"/>
  <c r="R8" i="20"/>
  <c r="AF8" i="18"/>
  <c r="AE8" i="20"/>
  <c r="R6" i="23"/>
  <c r="F69" i="10"/>
  <c r="G42" i="10"/>
  <c r="G41" i="10"/>
  <c r="F58" i="10"/>
  <c r="D42" i="10"/>
  <c r="D41" i="10"/>
  <c r="F67" i="10"/>
  <c r="C7" i="25"/>
  <c r="F7" i="25"/>
  <c r="F24" i="10"/>
  <c r="R7" i="23" s="1"/>
  <c r="D48" i="10"/>
  <c r="D49" i="10"/>
  <c r="C6" i="18" s="1"/>
  <c r="D73" i="10"/>
  <c r="D2" i="25" s="1"/>
  <c r="H14" i="10"/>
  <c r="H15" i="10"/>
  <c r="G49" i="10"/>
  <c r="G48" i="10"/>
  <c r="H5" i="10"/>
  <c r="G8" i="10"/>
  <c r="G7" i="10"/>
  <c r="D2" i="17"/>
  <c r="F61" i="10"/>
  <c r="F70" i="10"/>
  <c r="F68" i="10"/>
  <c r="E73" i="10"/>
  <c r="E2" i="25" s="1"/>
  <c r="H2" i="17"/>
  <c r="AB2" i="18"/>
  <c r="C6" i="23" l="1"/>
  <c r="X2" i="18"/>
  <c r="D2" i="23"/>
  <c r="D4" i="18"/>
  <c r="G57" i="10"/>
  <c r="G6" i="25"/>
  <c r="D6" i="25"/>
  <c r="C6" i="25"/>
  <c r="I4" i="18"/>
  <c r="E2" i="18"/>
  <c r="D2" i="20"/>
  <c r="X2" i="20"/>
  <c r="Y2" i="18"/>
  <c r="P2" i="18"/>
  <c r="O2" i="20"/>
  <c r="S2" i="20"/>
  <c r="T2" i="18"/>
  <c r="I2" i="20"/>
  <c r="J2" i="18"/>
  <c r="AF8" i="20"/>
  <c r="AG8" i="20"/>
  <c r="V8" i="20"/>
  <c r="W8" i="20"/>
  <c r="AA8" i="20"/>
  <c r="AB8" i="20"/>
  <c r="N7" i="23"/>
  <c r="N6" i="23"/>
  <c r="W6" i="23"/>
  <c r="H6" i="23"/>
  <c r="G69" i="10"/>
  <c r="H42" i="10"/>
  <c r="H41" i="10"/>
  <c r="G67" i="10"/>
  <c r="G58" i="10"/>
  <c r="F74" i="10"/>
  <c r="G7" i="25"/>
  <c r="G24" i="10"/>
  <c r="W7" i="23" s="1"/>
  <c r="H48" i="10"/>
  <c r="H49" i="10"/>
  <c r="H8" i="10"/>
  <c r="H7" i="10"/>
  <c r="G61" i="10"/>
  <c r="G70" i="10"/>
  <c r="G68" i="10"/>
  <c r="F73" i="10"/>
  <c r="F2" i="25" s="1"/>
  <c r="I2" i="17"/>
  <c r="AG2" i="18"/>
  <c r="AL19" i="20" l="1"/>
  <c r="I4" i="20"/>
  <c r="D4" i="20"/>
  <c r="AF19" i="20"/>
  <c r="AN19" i="20"/>
  <c r="C13" i="20"/>
  <c r="D2" i="24"/>
  <c r="D4" i="23"/>
  <c r="F2" i="18"/>
  <c r="E2" i="23"/>
  <c r="AC2" i="18"/>
  <c r="AC2" i="20" s="1"/>
  <c r="J4" i="18"/>
  <c r="E4" i="18"/>
  <c r="G64" i="10"/>
  <c r="G65" i="10"/>
  <c r="H57" i="10"/>
  <c r="M2" i="23"/>
  <c r="H6" i="25"/>
  <c r="N6" i="24"/>
  <c r="N7" i="24"/>
  <c r="I6" i="23"/>
  <c r="O6" i="23"/>
  <c r="O7" i="23"/>
  <c r="E2" i="20"/>
  <c r="AD2" i="18"/>
  <c r="Q2" i="18"/>
  <c r="P2" i="20"/>
  <c r="Y2" i="20"/>
  <c r="Z2" i="18"/>
  <c r="T2" i="20"/>
  <c r="U2" i="18"/>
  <c r="F2" i="20"/>
  <c r="K2" i="18"/>
  <c r="J2" i="20"/>
  <c r="S6" i="23"/>
  <c r="AB6" i="23"/>
  <c r="S7" i="23"/>
  <c r="G74" i="10"/>
  <c r="H67" i="10"/>
  <c r="H69" i="10"/>
  <c r="H58" i="10"/>
  <c r="H64" i="10" s="1"/>
  <c r="H7" i="25"/>
  <c r="H24" i="10"/>
  <c r="AB7" i="23" s="1"/>
  <c r="H61" i="10"/>
  <c r="H70" i="10"/>
  <c r="H68" i="10"/>
  <c r="G73" i="10"/>
  <c r="G2" i="25" s="1"/>
  <c r="D4" i="24" l="1"/>
  <c r="C15" i="20"/>
  <c r="E4" i="20"/>
  <c r="J4" i="20"/>
  <c r="F2" i="24"/>
  <c r="E2" i="24"/>
  <c r="K4" i="18"/>
  <c r="E4" i="23"/>
  <c r="I2" i="23"/>
  <c r="J2" i="23" s="1"/>
  <c r="W2" i="23"/>
  <c r="F2" i="23"/>
  <c r="G2" i="23" s="1"/>
  <c r="G2" i="18"/>
  <c r="F4" i="18"/>
  <c r="R2" i="23"/>
  <c r="I57" i="10"/>
  <c r="H65" i="10"/>
  <c r="I6" i="24"/>
  <c r="S7" i="24"/>
  <c r="O7" i="24"/>
  <c r="S6" i="24"/>
  <c r="O6" i="24"/>
  <c r="J6" i="23"/>
  <c r="AC6" i="23"/>
  <c r="P6" i="23"/>
  <c r="T7" i="23"/>
  <c r="T6" i="23"/>
  <c r="P7" i="23"/>
  <c r="X6" i="23"/>
  <c r="Q2" i="20"/>
  <c r="R2" i="20"/>
  <c r="AA2" i="18"/>
  <c r="Z2" i="20"/>
  <c r="AE2" i="18"/>
  <c r="AD2" i="20"/>
  <c r="V2" i="18"/>
  <c r="U2" i="20"/>
  <c r="L2" i="18"/>
  <c r="K2" i="20"/>
  <c r="G2" i="20"/>
  <c r="H2" i="20"/>
  <c r="AC7" i="23"/>
  <c r="X7" i="23"/>
  <c r="I67" i="10"/>
  <c r="H74" i="10"/>
  <c r="I58" i="10"/>
  <c r="I64" i="10" s="1"/>
  <c r="I69" i="10"/>
  <c r="I61" i="10"/>
  <c r="I70" i="10"/>
  <c r="I74" i="10" s="1"/>
  <c r="I68" i="10"/>
  <c r="H73" i="10"/>
  <c r="H2" i="25" s="1"/>
  <c r="S2" i="23" l="1"/>
  <c r="L4" i="18"/>
  <c r="E4" i="24"/>
  <c r="K4" i="20"/>
  <c r="F4" i="20"/>
  <c r="I2" i="24"/>
  <c r="L4" i="20"/>
  <c r="M4" i="20"/>
  <c r="F4" i="23"/>
  <c r="G4" i="18"/>
  <c r="N2" i="23"/>
  <c r="N2" i="24" s="1"/>
  <c r="AB2" i="23"/>
  <c r="X2" i="23" s="1"/>
  <c r="AC7" i="24"/>
  <c r="K6" i="23"/>
  <c r="AD6" i="23"/>
  <c r="I73" i="10"/>
  <c r="I2" i="25" s="1"/>
  <c r="J2" i="24"/>
  <c r="K2" i="23"/>
  <c r="J57" i="10"/>
  <c r="K57" i="10" s="1"/>
  <c r="I65" i="10"/>
  <c r="AG2" i="23" s="1"/>
  <c r="X7" i="24"/>
  <c r="T6" i="24"/>
  <c r="P6" i="24"/>
  <c r="J6" i="24"/>
  <c r="P7" i="24"/>
  <c r="X6" i="24"/>
  <c r="T7" i="24"/>
  <c r="AC6" i="24"/>
  <c r="G2" i="24"/>
  <c r="H2" i="24"/>
  <c r="T2" i="23"/>
  <c r="S2" i="24"/>
  <c r="Y6" i="23"/>
  <c r="Q7" i="23"/>
  <c r="U7" i="23"/>
  <c r="Y7" i="23"/>
  <c r="AD7" i="23"/>
  <c r="U6" i="23"/>
  <c r="Q6" i="23"/>
  <c r="V2" i="20"/>
  <c r="W2" i="20"/>
  <c r="AA2" i="20"/>
  <c r="AB2" i="20"/>
  <c r="AF2" i="18"/>
  <c r="AE2" i="20"/>
  <c r="M2" i="20"/>
  <c r="L13" i="20" s="1"/>
  <c r="L2" i="20"/>
  <c r="J58" i="10"/>
  <c r="K58" i="10" s="1"/>
  <c r="J69" i="10"/>
  <c r="K69" i="10" s="1"/>
  <c r="J67" i="10"/>
  <c r="K67" i="10" s="1"/>
  <c r="J62" i="10"/>
  <c r="K62" i="10" s="1"/>
  <c r="J61" i="10"/>
  <c r="K61" i="10" s="1"/>
  <c r="J70" i="10"/>
  <c r="K70" i="10" s="1"/>
  <c r="J68" i="10"/>
  <c r="K68" i="10" s="1"/>
  <c r="AD6" i="24" l="1"/>
  <c r="F4" i="24"/>
  <c r="L15" i="20"/>
  <c r="AL15" i="20"/>
  <c r="AE6" i="23"/>
  <c r="G4" i="20"/>
  <c r="H4" i="20"/>
  <c r="G4" i="23"/>
  <c r="AC2" i="23"/>
  <c r="AD2" i="23" s="1"/>
  <c r="L6" i="23"/>
  <c r="O2" i="23"/>
  <c r="AD7" i="24"/>
  <c r="K6" i="24"/>
  <c r="K2" i="24"/>
  <c r="L2" i="23"/>
  <c r="Y6" i="24"/>
  <c r="U6" i="24"/>
  <c r="Y7" i="24"/>
  <c r="U7" i="24"/>
  <c r="Y2" i="23"/>
  <c r="X2" i="24"/>
  <c r="Q6" i="24"/>
  <c r="R6" i="24"/>
  <c r="U2" i="23"/>
  <c r="T2" i="24"/>
  <c r="Q7" i="24"/>
  <c r="R7" i="24"/>
  <c r="AE7" i="23"/>
  <c r="Z6" i="23"/>
  <c r="V6" i="23"/>
  <c r="V7" i="23"/>
  <c r="Z7" i="23"/>
  <c r="AF2" i="20"/>
  <c r="AG2" i="20"/>
  <c r="AF13" i="20" s="1"/>
  <c r="AE6" i="24" l="1"/>
  <c r="AF6" i="23"/>
  <c r="L6" i="24"/>
  <c r="AJ15" i="20"/>
  <c r="AN15" i="20"/>
  <c r="M6" i="24"/>
  <c r="H4" i="24"/>
  <c r="G4" i="24"/>
  <c r="P2" i="23"/>
  <c r="O2" i="24"/>
  <c r="AD2" i="24"/>
  <c r="AC2" i="24"/>
  <c r="AE7" i="24"/>
  <c r="L2" i="24"/>
  <c r="M2" i="24"/>
  <c r="Z6" i="24"/>
  <c r="Z7" i="24"/>
  <c r="V6" i="24"/>
  <c r="W6" i="24"/>
  <c r="AF6" i="24"/>
  <c r="AG6" i="24"/>
  <c r="AE2" i="23"/>
  <c r="V2" i="23"/>
  <c r="U2" i="24"/>
  <c r="Z2" i="23"/>
  <c r="Y2" i="24"/>
  <c r="V7" i="24"/>
  <c r="W7" i="24"/>
  <c r="AA6" i="23"/>
  <c r="AA7" i="23"/>
  <c r="AF7" i="23"/>
  <c r="L33" i="10"/>
  <c r="Q2" i="23" l="1"/>
  <c r="P2" i="24"/>
  <c r="AE2" i="24"/>
  <c r="AF7" i="24"/>
  <c r="AG7" i="24"/>
  <c r="V2" i="24"/>
  <c r="W2" i="24"/>
  <c r="AA6" i="24"/>
  <c r="AB6" i="24"/>
  <c r="AA2" i="23"/>
  <c r="Z2" i="24"/>
  <c r="AF2" i="23"/>
  <c r="AA7" i="24"/>
  <c r="AB7" i="24"/>
  <c r="L32" i="10"/>
  <c r="L35" i="10"/>
  <c r="R2" i="24" l="1"/>
  <c r="Q2" i="24"/>
  <c r="AF2" i="24"/>
  <c r="AG2" i="24"/>
  <c r="AA2" i="24"/>
  <c r="AB2" i="24"/>
  <c r="L34" i="10" l="1"/>
  <c r="C7" i="16" l="1"/>
  <c r="D7" i="17"/>
  <c r="E7" i="17"/>
  <c r="C7" i="18" l="1"/>
  <c r="C7" i="17"/>
  <c r="E7" i="16"/>
  <c r="C7" i="23" l="1"/>
  <c r="H7" i="18"/>
  <c r="D7" i="16"/>
  <c r="M7" i="18"/>
  <c r="F7" i="17"/>
  <c r="F7" i="16"/>
  <c r="D7" i="18" l="1"/>
  <c r="E7" i="18"/>
  <c r="R7" i="18"/>
  <c r="G7" i="17"/>
  <c r="G7" i="16"/>
  <c r="I7" i="18"/>
  <c r="E7" i="23" l="1"/>
  <c r="D7" i="23"/>
  <c r="F7" i="18"/>
  <c r="D7" i="20"/>
  <c r="E7" i="20"/>
  <c r="H7" i="16"/>
  <c r="H7" i="17"/>
  <c r="I7" i="20"/>
  <c r="J7" i="18"/>
  <c r="W7" i="18"/>
  <c r="N7" i="18"/>
  <c r="E7" i="24" l="1"/>
  <c r="D7" i="24"/>
  <c r="C18" i="20"/>
  <c r="F7" i="23"/>
  <c r="G7" i="18"/>
  <c r="F7" i="20"/>
  <c r="N7" i="20"/>
  <c r="O7" i="18"/>
  <c r="AB7" i="18"/>
  <c r="S7" i="18"/>
  <c r="J7" i="20"/>
  <c r="K7" i="18"/>
  <c r="I7" i="17"/>
  <c r="I7" i="16"/>
  <c r="F7" i="24" l="1"/>
  <c r="X7" i="18"/>
  <c r="H7" i="20"/>
  <c r="G7" i="20"/>
  <c r="S7" i="20"/>
  <c r="T7" i="18"/>
  <c r="Y7" i="18"/>
  <c r="X7" i="20"/>
  <c r="AG7" i="18"/>
  <c r="P7" i="18"/>
  <c r="O7" i="20"/>
  <c r="L7" i="18"/>
  <c r="K7" i="20"/>
  <c r="AJ18" i="20" l="1"/>
  <c r="AC7" i="18"/>
  <c r="L7" i="20"/>
  <c r="M7" i="20"/>
  <c r="Y7" i="20"/>
  <c r="Z7" i="18"/>
  <c r="T7" i="20"/>
  <c r="U7" i="18"/>
  <c r="AD7" i="18"/>
  <c r="P7" i="20"/>
  <c r="Q7" i="18"/>
  <c r="AC7" i="20" l="1"/>
  <c r="L18" i="20"/>
  <c r="Q7" i="20"/>
  <c r="R7" i="20"/>
  <c r="U7" i="20"/>
  <c r="V7" i="18"/>
  <c r="AA7" i="18"/>
  <c r="Z7" i="20"/>
  <c r="AD7" i="20"/>
  <c r="AE7" i="18"/>
  <c r="AE7" i="20" l="1"/>
  <c r="AF7" i="18"/>
  <c r="V7" i="20"/>
  <c r="W7" i="20"/>
  <c r="AA7" i="20"/>
  <c r="AB7" i="20"/>
  <c r="AF7" i="20" l="1"/>
  <c r="AG7" i="20"/>
  <c r="AL18" i="20" l="1"/>
  <c r="AF18" i="20"/>
  <c r="AN18" i="20"/>
  <c r="D33" i="10"/>
  <c r="D24" i="10"/>
  <c r="H7" i="23" s="1"/>
  <c r="G7" i="23" l="1"/>
  <c r="I7" i="23"/>
  <c r="D23" i="10"/>
  <c r="D7" i="25" s="1"/>
  <c r="I7" i="24" l="1"/>
  <c r="J7" i="23"/>
  <c r="K7" i="23" l="1"/>
  <c r="J7" i="24"/>
  <c r="K7" i="24" l="1"/>
  <c r="L7" i="23"/>
  <c r="L7" i="24" l="1"/>
  <c r="M7" i="24"/>
  <c r="G7" i="24"/>
  <c r="H7" i="24"/>
  <c r="D47" i="14" l="1"/>
  <c r="D46" i="14" l="1"/>
  <c r="D6" i="16"/>
  <c r="D6" i="17"/>
  <c r="H6" i="18"/>
  <c r="E47" i="14"/>
  <c r="F47" i="14" l="1"/>
  <c r="E46" i="14"/>
  <c r="E6" i="16"/>
  <c r="E6" i="17"/>
  <c r="M6" i="18"/>
  <c r="D6" i="18"/>
  <c r="I6" i="18" l="1"/>
  <c r="D6" i="20"/>
  <c r="E6" i="18"/>
  <c r="D6" i="23"/>
  <c r="J6" i="18"/>
  <c r="I6" i="20"/>
  <c r="F46" i="14"/>
  <c r="F6" i="16"/>
  <c r="F6" i="17"/>
  <c r="R6" i="18"/>
  <c r="G47" i="14"/>
  <c r="N6" i="18" l="1"/>
  <c r="D11" i="20"/>
  <c r="C17" i="20"/>
  <c r="N6" i="20"/>
  <c r="O6" i="18"/>
  <c r="I47" i="14"/>
  <c r="H47" i="14"/>
  <c r="K6" i="18"/>
  <c r="J6" i="20"/>
  <c r="E6" i="23"/>
  <c r="F6" i="18"/>
  <c r="E6" i="20"/>
  <c r="G46" i="14"/>
  <c r="G6" i="16"/>
  <c r="G6" i="17"/>
  <c r="W6" i="18"/>
  <c r="D6" i="24"/>
  <c r="S6" i="18" l="1"/>
  <c r="E6" i="24"/>
  <c r="K6" i="20"/>
  <c r="L6" i="18"/>
  <c r="H46" i="14"/>
  <c r="H6" i="16"/>
  <c r="H6" i="17"/>
  <c r="AB6" i="18"/>
  <c r="F6" i="23"/>
  <c r="G6" i="23" s="1"/>
  <c r="G6" i="18"/>
  <c r="F6" i="20"/>
  <c r="I46" i="14"/>
  <c r="I6" i="16"/>
  <c r="AG6" i="18"/>
  <c r="I6" i="17"/>
  <c r="P6" i="18"/>
  <c r="O6" i="20"/>
  <c r="T6" i="18" l="1"/>
  <c r="S6" i="20"/>
  <c r="G6" i="24"/>
  <c r="H6" i="24"/>
  <c r="F6" i="24"/>
  <c r="G6" i="20"/>
  <c r="H6" i="20"/>
  <c r="P6" i="20"/>
  <c r="Q6" i="18"/>
  <c r="AC6" i="18"/>
  <c r="L6" i="20"/>
  <c r="M6" i="20"/>
  <c r="X6" i="18"/>
  <c r="U6" i="18"/>
  <c r="T6" i="20"/>
  <c r="AJ17" i="20" l="1"/>
  <c r="AJ21" i="20" s="1"/>
  <c r="L17" i="20"/>
  <c r="Q6" i="20"/>
  <c r="R6" i="20"/>
  <c r="V6" i="18"/>
  <c r="U6" i="20"/>
  <c r="AD6" i="18"/>
  <c r="AC6" i="20"/>
  <c r="Y6" i="18"/>
  <c r="X6" i="20"/>
  <c r="Y6" i="20" l="1"/>
  <c r="Z6" i="18"/>
  <c r="AD6" i="20"/>
  <c r="AE6" i="18"/>
  <c r="V6" i="20"/>
  <c r="W6" i="20"/>
  <c r="AF6" i="18" l="1"/>
  <c r="AE6" i="20"/>
  <c r="AA6" i="18"/>
  <c r="Z6" i="20"/>
  <c r="AA6" i="20" l="1"/>
  <c r="AB6" i="20"/>
  <c r="AF6" i="20"/>
  <c r="AG6" i="20"/>
  <c r="AN17" i="20" l="1"/>
  <c r="AN21" i="20" s="1"/>
  <c r="AL17" i="20"/>
  <c r="AL21" i="20" s="1"/>
  <c r="AF17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GOUEDARD Hervé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GOUEDARD Hervé:</t>
        </r>
        <r>
          <rPr>
            <sz val="9"/>
            <color indexed="81"/>
            <rFont val="Tahoma"/>
            <family val="2"/>
          </rPr>
          <t xml:space="preserve">
données collées en dur depuis décomposition coûts electricité de la branche S1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A7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combined cycle gaz turbine
centrale au gaz à cycle combiné
</t>
        </r>
      </text>
    </comment>
    <comment ref="A8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open cycle gaz turbin
centrale au gaz liquéfié
</t>
        </r>
      </text>
    </comment>
    <comment ref="A9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combned heat and power plant
(cogénération)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</author>
  </authors>
  <commentList>
    <comment ref="J13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coût de l'uranium</t>
        </r>
      </text>
    </comment>
    <comment ref="E14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TAC fioul 300 MW 250 heures d'appel</t>
        </r>
      </text>
    </comment>
    <comment ref="F17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source i numéri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</author>
  </authors>
  <commentList>
    <comment ref="J13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coût de l'uranium</t>
        </r>
      </text>
    </comment>
    <comment ref="E14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TAC fioul 300 MW 250 heures d'appel</t>
        </r>
      </text>
    </comment>
    <comment ref="F17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source i numéri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</author>
  </authors>
  <commentList>
    <comment ref="J13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coût de l'uranium</t>
        </r>
      </text>
    </comment>
    <comment ref="E14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TAC fioul 300 MW 250 heures d'appel</t>
        </r>
      </text>
    </comment>
    <comment ref="F17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source i numéri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</author>
  </authors>
  <commentList>
    <comment ref="BF13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coût de l'uranium</t>
        </r>
      </text>
    </comment>
    <comment ref="AK14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TAC fioul 300 MW 250 heures d'appel</t>
        </r>
      </text>
    </comment>
    <comment ref="AP17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source i numéri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</author>
  </authors>
  <commentList>
    <comment ref="BE13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coût de l'uranium</t>
        </r>
      </text>
    </comment>
    <comment ref="AJ14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TAC fioul 300 MW 250 heures d'appel</t>
        </r>
      </text>
    </comment>
    <comment ref="AO17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source i numéri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  <author>Callonnec</author>
  </authors>
  <commentList>
    <comment ref="C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pas la même production en 2020 dans tend et S1
</t>
        </r>
      </text>
    </comment>
    <comment ref="BF1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coût de l'uranium</t>
        </r>
      </text>
    </comment>
    <comment ref="AK14" authorId="1" shapeId="0" xr:uid="{00000000-0006-0000-0900-000003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TAC fioul 300 MW 250 heures d'appel</t>
        </r>
      </text>
    </comment>
    <comment ref="AP17" authorId="1" shapeId="0" xr:uid="{00000000-0006-0000-0900-000004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source i numéri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</author>
  </authors>
  <commentList>
    <comment ref="BE13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coût de l'uranium</t>
        </r>
      </text>
    </comment>
    <comment ref="AJ14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TAC fioul 300 MW 250 heures d'appel</t>
        </r>
      </text>
    </comment>
    <comment ref="AO17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Callonnec:</t>
        </r>
        <r>
          <rPr>
            <sz val="8"/>
            <color indexed="81"/>
            <rFont val="Tahoma"/>
            <family val="2"/>
          </rPr>
          <t xml:space="preserve">
source i numéri
</t>
        </r>
      </text>
    </comment>
  </commentList>
</comments>
</file>

<file path=xl/sharedStrings.xml><?xml version="1.0" encoding="utf-8"?>
<sst xmlns="http://schemas.openxmlformats.org/spreadsheetml/2006/main" count="650" uniqueCount="131">
  <si>
    <t>PV Grandes Toitures</t>
  </si>
  <si>
    <t>CAPEX (€/kW)</t>
  </si>
  <si>
    <t>OPEX (€/kW/an)</t>
  </si>
  <si>
    <t>Durée de vie (ans)</t>
  </si>
  <si>
    <t>PV Petites Toitures[1]</t>
  </si>
  <si>
    <t>PV au sol fixe</t>
  </si>
  <si>
    <t>PV au sol avec tracker[2]</t>
  </si>
  <si>
    <t>Eolien terrestre (surtoilé)</t>
  </si>
  <si>
    <t>Eolien en mer posé</t>
  </si>
  <si>
    <t>(raccordement inclus)</t>
  </si>
  <si>
    <t>52,5</t>
  </si>
  <si>
    <t>41,5</t>
  </si>
  <si>
    <t>Eolien en mer flottant (raccordement inclus)</t>
  </si>
  <si>
    <t>[1] Coûts établis en appliquant un premium de +20% aux capex du PV Grandes Toitures et en considérant 2% d’opex annuels</t>
  </si>
  <si>
    <r>
      <t>[2]</t>
    </r>
    <r>
      <rPr>
        <sz val="10"/>
        <color rgb="FF262626"/>
        <rFont val="Calibri"/>
        <family val="2"/>
        <scheme val="minor"/>
      </rPr>
      <t xml:space="preserve"> Les coûts du PV au sol avec tracker sont dérivés des coûts retenus pour le PV au sol fixe via une règle de proportionnalité apprise de la littérature : </t>
    </r>
    <r>
      <rPr>
        <sz val="10"/>
        <color rgb="FF262626"/>
        <rFont val="Calibri Light"/>
        <family val="2"/>
      </rPr>
      <t xml:space="preserve">Seme, Sebastijan, Štumberger, Bojan, Hadžiselimović, Miralem and Sredenšek, Klemen, (2020), Solar Photovoltaic Tracking Systems for Electricity Generation: A Review, </t>
    </r>
    <r>
      <rPr>
        <i/>
        <sz val="10"/>
        <color rgb="FF262626"/>
        <rFont val="Calibri Light"/>
        <family val="2"/>
      </rPr>
      <t>Energies</t>
    </r>
    <r>
      <rPr>
        <sz val="10"/>
        <color rgb="FF262626"/>
        <rFont val="Calibri Light"/>
        <family val="2"/>
      </rPr>
      <t>, 13, issue 16, p. 1-24. Joe Simon and Gail Mosey, NREL (2013), Feasibility Study of Economics and Performance of Solar Photovoltaics at the Kerr McGee Site in Columbus, Mississippi</t>
    </r>
  </si>
  <si>
    <t>Nucléaire</t>
  </si>
  <si>
    <t>CAPEX (k€/MW)</t>
  </si>
  <si>
    <t>OPEX annuel (k€/MW/an)</t>
  </si>
  <si>
    <t>Combustible (€/MWh)</t>
  </si>
  <si>
    <t>Disponibilité</t>
  </si>
  <si>
    <t>76,5%</t>
  </si>
  <si>
    <t>Durée de vie</t>
  </si>
  <si>
    <t>60 ans</t>
  </si>
  <si>
    <t>Nouveau Nucléaire</t>
  </si>
  <si>
    <t>puissance en GW</t>
  </si>
  <si>
    <t>Nucléaire historique</t>
  </si>
  <si>
    <t>5,8</t>
  </si>
  <si>
    <t>73,5%</t>
  </si>
  <si>
    <t>10 ans</t>
  </si>
  <si>
    <t>CCGT</t>
  </si>
  <si>
    <t>OPEX (k€/MW/an)</t>
  </si>
  <si>
    <r>
      <t>Rendement</t>
    </r>
    <r>
      <rPr>
        <sz val="8"/>
        <color rgb="FF262626"/>
        <rFont val="Calibri"/>
        <family val="2"/>
      </rPr>
      <t> </t>
    </r>
  </si>
  <si>
    <t>OCGT</t>
  </si>
  <si>
    <t>Rendement</t>
  </si>
  <si>
    <r>
      <t> </t>
    </r>
    <r>
      <rPr>
        <sz val="10"/>
        <color rgb="FF262626"/>
        <rFont val="Calibri"/>
        <family val="2"/>
        <scheme val="minor"/>
      </rPr>
      <t>J’avais cru comprendre que le rendement variait dans le temps.</t>
    </r>
  </si>
  <si>
    <t>S1</t>
  </si>
  <si>
    <t>S2</t>
  </si>
  <si>
    <t>S3Nuke</t>
  </si>
  <si>
    <t>S3EnR</t>
  </si>
  <si>
    <t>S4</t>
  </si>
  <si>
    <t>PV au sol (fixe + tracker)</t>
  </si>
  <si>
    <t>30-36</t>
  </si>
  <si>
    <t>55-66</t>
  </si>
  <si>
    <t>PV Petites Toitures</t>
  </si>
  <si>
    <t>Eolien terrestre</t>
  </si>
  <si>
    <t>Eolien marin posé</t>
  </si>
  <si>
    <t>Eolien marin flottant</t>
  </si>
  <si>
    <t>capacité instalée en GW</t>
  </si>
  <si>
    <t>Coût du capital (raccordement inclus) €/Mwh</t>
  </si>
  <si>
    <t>Coût variable (opex) en €/Mwh</t>
  </si>
  <si>
    <t>Production en TWH</t>
  </si>
  <si>
    <t>PV au sol (fixe plus tracker)</t>
  </si>
  <si>
    <t>Cibles de déploiement EnR dans les scénarios Energies Ressources (en GW)</t>
  </si>
  <si>
    <r>
      <t>Table 13</t>
    </r>
    <r>
      <rPr>
        <sz val="8"/>
        <color rgb="FF262626"/>
        <rFont val="Calibri"/>
        <family val="2"/>
      </rPr>
      <t> </t>
    </r>
    <r>
      <rPr>
        <b/>
        <sz val="8"/>
        <color rgb="FF404040"/>
        <rFont val="Arial"/>
        <family val="2"/>
      </rPr>
      <t xml:space="preserve"> - Cibles Energies Ressources d'évolution des capacités nucléaires historiques, en GW</t>
    </r>
  </si>
  <si>
    <t>Nucléaire historique avant prolongement</t>
  </si>
  <si>
    <t>46,4</t>
  </si>
  <si>
    <t>Nucléaire historique prolongé - S1</t>
  </si>
  <si>
    <t>10,9 - 11,4</t>
  </si>
  <si>
    <t>Nucléaire historique prolongé - S2, S3</t>
  </si>
  <si>
    <t>10,9 -11,4</t>
  </si>
  <si>
    <t>9,9 - 10,4</t>
  </si>
  <si>
    <t>Nucléaire historique prolongé - S4</t>
  </si>
  <si>
    <t>13,5 - 13,9</t>
  </si>
  <si>
    <t>Production hydro</t>
  </si>
  <si>
    <t>Stockage</t>
  </si>
  <si>
    <t>Electrolyseur</t>
  </si>
  <si>
    <t>cogénération</t>
  </si>
  <si>
    <t>CHP biogaz</t>
  </si>
  <si>
    <t>CHP biomasse</t>
  </si>
  <si>
    <t>géothermie</t>
  </si>
  <si>
    <t xml:space="preserve">Energies marines renouvelables </t>
  </si>
  <si>
    <t>TOTAL</t>
  </si>
  <si>
    <t>Autres EnR thermiques</t>
  </si>
  <si>
    <t>Géothermie</t>
  </si>
  <si>
    <t>Eolien flottant</t>
  </si>
  <si>
    <t>Eolien onshore</t>
  </si>
  <si>
    <t>Photovoltaïque au sol</t>
  </si>
  <si>
    <t>Photovoltaïque toiture</t>
  </si>
  <si>
    <t>Hydraulique</t>
  </si>
  <si>
    <t>Nouveaux nucléaire</t>
  </si>
  <si>
    <t>Gaz</t>
  </si>
  <si>
    <t>Charbon &amp; PP</t>
  </si>
  <si>
    <t>ELEC</t>
  </si>
  <si>
    <t>Capacité GW)</t>
  </si>
  <si>
    <t>Production (TWh)</t>
  </si>
  <si>
    <t>TEND</t>
  </si>
  <si>
    <t>PV en toiture</t>
  </si>
  <si>
    <t>PV total</t>
  </si>
  <si>
    <t>1. Nuclear</t>
  </si>
  <si>
    <t>2. Fuel</t>
  </si>
  <si>
    <t>3. Combined gas</t>
  </si>
  <si>
    <t>4. Coal</t>
  </si>
  <si>
    <t>5. Wind</t>
  </si>
  <si>
    <t>6. Solar</t>
  </si>
  <si>
    <t>7. Hydraulic</t>
  </si>
  <si>
    <t>8. Cogeneration (Combined Heat and Power, CHP)</t>
  </si>
  <si>
    <t>CAPEX €2006/MWH</t>
  </si>
  <si>
    <t>en %</t>
  </si>
  <si>
    <t>Part dans la production sectorielle française</t>
  </si>
  <si>
    <t>correction du coût d'investissement d'apres CGDD</t>
  </si>
  <si>
    <t>Coût d'investissement (raccordement inclu) en €/MWh</t>
  </si>
  <si>
    <t>part de la FBCF importée</t>
  </si>
  <si>
    <t>Coût de fonctionnement en €/MWh</t>
  </si>
  <si>
    <t>dont coût du travail</t>
  </si>
  <si>
    <t>dont taxe (TP et autres)</t>
  </si>
  <si>
    <t>Coût des combustibles fossiles (permis CO2 inclus)  €/Mwh</t>
  </si>
  <si>
    <t>23_1</t>
  </si>
  <si>
    <t>centrale fioul</t>
  </si>
  <si>
    <t>23_2</t>
  </si>
  <si>
    <t>centrale combinée gaz</t>
  </si>
  <si>
    <t>23_3</t>
  </si>
  <si>
    <t>centrale charbon</t>
  </si>
  <si>
    <t>23_4</t>
  </si>
  <si>
    <t>Eolien</t>
  </si>
  <si>
    <t>23_5</t>
  </si>
  <si>
    <t>PV</t>
  </si>
  <si>
    <t>23_6</t>
  </si>
  <si>
    <t>23_7</t>
  </si>
  <si>
    <t>cogénération; méthanisation; géothermie et bois de forêts</t>
  </si>
  <si>
    <t>23_8</t>
  </si>
  <si>
    <t>OPEX €2006/MWH</t>
  </si>
  <si>
    <t>Stock de capital €2006</t>
  </si>
  <si>
    <t>Investissement €2006</t>
  </si>
  <si>
    <t>Stockage (step compris danshydro)</t>
  </si>
  <si>
    <t>cogénération UIOM</t>
  </si>
  <si>
    <t>hypothèse I4CE</t>
  </si>
  <si>
    <t>3ME € 2020</t>
  </si>
  <si>
    <t>Période 2021-2030</t>
  </si>
  <si>
    <t>Période 2030- 2050</t>
  </si>
  <si>
    <t>période 2021-2050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</si>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</sst>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FFFFFF"/>
      <name val="Calibri"/>
      <family val="2"/>
    </font>
    <font>
      <b/>
      <sz val="9"/>
      <color rgb="FFFFFFFF"/>
      <name val="Arial"/>
      <family val="2"/>
    </font>
    <font>
      <b/>
      <sz val="7"/>
      <color rgb="FF404040"/>
      <name val="Calibri"/>
      <family val="2"/>
    </font>
    <font>
      <sz val="7"/>
      <color rgb="FF404040"/>
      <name val="Calibri"/>
      <family val="2"/>
    </font>
    <font>
      <sz val="8"/>
      <color rgb="FF262626"/>
      <name val="Calibri"/>
      <family val="2"/>
    </font>
    <font>
      <sz val="10"/>
      <color rgb="FF262626"/>
      <name val="Calibri"/>
      <family val="2"/>
      <scheme val="minor"/>
    </font>
    <font>
      <vertAlign val="superscript"/>
      <sz val="10"/>
      <color rgb="FF262626"/>
      <name val="Calibri"/>
      <family val="2"/>
      <scheme val="minor"/>
    </font>
    <font>
      <sz val="10"/>
      <color rgb="FF262626"/>
      <name val="Calibri Light"/>
      <family val="2"/>
    </font>
    <font>
      <i/>
      <sz val="10"/>
      <color rgb="FF262626"/>
      <name val="Calibri Light"/>
      <family val="2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  <font>
      <sz val="10"/>
      <color rgb="FF404040"/>
      <name val="Arial"/>
      <family val="2"/>
    </font>
    <font>
      <b/>
      <sz val="9"/>
      <color rgb="FF404040"/>
      <name val="Arial"/>
      <family val="2"/>
    </font>
    <font>
      <sz val="8"/>
      <color rgb="FF262626"/>
      <name val="Calibri"/>
      <family val="2"/>
      <scheme val="minor"/>
    </font>
    <font>
      <sz val="11"/>
      <color rgb="FF000000"/>
      <name val="Cambria"/>
      <family val="1"/>
    </font>
    <font>
      <b/>
      <sz val="8"/>
      <color rgb="FFFFFFFF"/>
      <name val="Arial"/>
      <family val="2"/>
    </font>
    <font>
      <b/>
      <sz val="8"/>
      <color rgb="FF3A3838"/>
      <name val="Arial"/>
      <family val="2"/>
    </font>
    <font>
      <sz val="9"/>
      <color rgb="FF3A3838"/>
      <name val="Arial"/>
      <family val="2"/>
    </font>
    <font>
      <b/>
      <sz val="8"/>
      <color rgb="FF404040"/>
      <name val="Arial"/>
      <family val="2"/>
    </font>
    <font>
      <sz val="9"/>
      <color rgb="FF000000"/>
      <name val="Arial"/>
      <family val="2"/>
    </font>
    <font>
      <sz val="9"/>
      <color rgb="FF262626"/>
      <name val="Arial"/>
      <family val="2"/>
    </font>
    <font>
      <sz val="8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8"/>
      <color theme="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3"/>
        <bgColor indexed="64"/>
      </patternFill>
    </fill>
  </fills>
  <borders count="45">
    <border>
      <left/>
      <right/>
      <top/>
      <bottom/>
      <diagonal/>
    </border>
    <border>
      <left style="medium">
        <color rgb="FFF79646"/>
      </left>
      <right/>
      <top style="medium">
        <color rgb="FFF79646"/>
      </top>
      <bottom style="medium">
        <color rgb="FFFABF8F"/>
      </bottom>
      <diagonal/>
    </border>
    <border>
      <left/>
      <right/>
      <top style="medium">
        <color rgb="FFF79646"/>
      </top>
      <bottom style="medium">
        <color rgb="FFFABF8F"/>
      </bottom>
      <diagonal/>
    </border>
    <border>
      <left/>
      <right style="medium">
        <color rgb="FFF79646"/>
      </right>
      <top style="medium">
        <color rgb="FFF79646"/>
      </top>
      <bottom style="medium">
        <color rgb="FFFABF8F"/>
      </bottom>
      <diagonal/>
    </border>
    <border>
      <left style="medium">
        <color rgb="FFFABF8F"/>
      </left>
      <right style="medium">
        <color rgb="FFA8D08D"/>
      </right>
      <top/>
      <bottom style="medium">
        <color rgb="FFFABF8F"/>
      </bottom>
      <diagonal/>
    </border>
    <border>
      <left style="medium">
        <color rgb="FFFABF8F"/>
      </left>
      <right style="medium">
        <color rgb="FFA8D08D"/>
      </right>
      <top/>
      <bottom/>
      <diagonal/>
    </border>
    <border>
      <left/>
      <right style="medium">
        <color rgb="FFA8D08D"/>
      </right>
      <top/>
      <bottom style="medium">
        <color rgb="FFFABF8F"/>
      </bottom>
      <diagonal/>
    </border>
    <border>
      <left/>
      <right/>
      <top/>
      <bottom style="medium">
        <color rgb="FFFABF8F"/>
      </bottom>
      <diagonal/>
    </border>
    <border>
      <left/>
      <right style="medium">
        <color rgb="FFFABF8F"/>
      </right>
      <top/>
      <bottom style="medium">
        <color rgb="FFFABF8F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rgb="FFFABF8F"/>
      </left>
      <right style="medium">
        <color rgb="FFA8D08D"/>
      </right>
      <top style="medium">
        <color rgb="FFFABF8F"/>
      </top>
      <bottom/>
      <diagonal/>
    </border>
    <border>
      <left style="medium">
        <color rgb="FFFBD4B4"/>
      </left>
      <right style="medium">
        <color rgb="FFFBD4B4"/>
      </right>
      <top style="medium">
        <color rgb="FFFBD4B4"/>
      </top>
      <bottom style="medium">
        <color rgb="FFFBD4B4"/>
      </bottom>
      <diagonal/>
    </border>
    <border>
      <left/>
      <right style="medium">
        <color rgb="FFFBD4B4"/>
      </right>
      <top/>
      <bottom style="medium">
        <color rgb="FFFBD4B4"/>
      </bottom>
      <diagonal/>
    </border>
    <border>
      <left style="medium">
        <color rgb="FFFBD4B4"/>
      </left>
      <right style="medium">
        <color rgb="FFFBD4B4"/>
      </right>
      <top/>
      <bottom style="medium">
        <color rgb="FFFBD4B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ABF8F"/>
      </left>
      <right style="medium">
        <color rgb="FFFABF8F"/>
      </right>
      <top/>
      <bottom/>
      <diagonal/>
    </border>
    <border>
      <left style="medium">
        <color rgb="FFFABF8F"/>
      </left>
      <right style="medium">
        <color rgb="FFFABF8F"/>
      </right>
      <top style="medium">
        <color rgb="FFFABF8F"/>
      </top>
      <bottom/>
      <diagonal/>
    </border>
    <border>
      <left style="medium">
        <color rgb="FFFABF8F"/>
      </left>
      <right style="medium">
        <color rgb="FFFABF8F"/>
      </right>
      <top/>
      <bottom style="medium">
        <color rgb="FFFABF8F"/>
      </bottom>
      <diagonal/>
    </border>
    <border>
      <left style="medium">
        <color rgb="FFFABF8F"/>
      </left>
      <right style="medium">
        <color rgb="FFFABF8F"/>
      </right>
      <top style="medium">
        <color indexed="64"/>
      </top>
      <bottom/>
      <diagonal/>
    </border>
    <border>
      <left/>
      <right style="thick">
        <color rgb="FFFBD4B4"/>
      </right>
      <top/>
      <bottom style="medium">
        <color rgb="FFFBD4B4"/>
      </bottom>
      <diagonal/>
    </border>
    <border>
      <left style="thick">
        <color rgb="FFFBD4B4"/>
      </left>
      <right/>
      <top style="medium">
        <color rgb="FFFABF8F"/>
      </top>
      <bottom style="medium">
        <color rgb="FFFBD4B4"/>
      </bottom>
      <diagonal/>
    </border>
    <border>
      <left/>
      <right style="medium">
        <color rgb="FFFBD4B4"/>
      </right>
      <top style="medium">
        <color rgb="FFFABF8F"/>
      </top>
      <bottom style="medium">
        <color rgb="FFFBD4B4"/>
      </bottom>
      <diagonal/>
    </border>
    <border>
      <left style="thick">
        <color rgb="FFFBD4B4"/>
      </left>
      <right/>
      <top style="medium">
        <color rgb="FFFBD4B4"/>
      </top>
      <bottom style="medium">
        <color rgb="FFFBD4B4"/>
      </bottom>
      <diagonal/>
    </border>
    <border>
      <left/>
      <right style="medium">
        <color rgb="FFFBD4B4"/>
      </right>
      <top style="medium">
        <color rgb="FFFBD4B4"/>
      </top>
      <bottom style="medium">
        <color rgb="FFFBD4B4"/>
      </bottom>
      <diagonal/>
    </border>
    <border>
      <left style="medium">
        <color rgb="FFF79646"/>
      </left>
      <right/>
      <top style="medium">
        <color rgb="FFF79646"/>
      </top>
      <bottom/>
      <diagonal/>
    </border>
    <border>
      <left/>
      <right/>
      <top/>
      <bottom style="medium">
        <color rgb="FFFBD4B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rgb="FFA8D08D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FABF8F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12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3" fontId="6" fillId="0" borderId="8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center"/>
    </xf>
    <xf numFmtId="0" fontId="11" fillId="0" borderId="0" xfId="1" applyAlignment="1">
      <alignment horizontal="justify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justify" vertical="center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justify" vertical="center"/>
    </xf>
    <xf numFmtId="0" fontId="1" fillId="2" borderId="26" xfId="0" applyFont="1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13" fillId="0" borderId="0" xfId="0" applyFont="1"/>
    <xf numFmtId="0" fontId="20" fillId="0" borderId="0" xfId="0" applyFont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0" fontId="0" fillId="3" borderId="29" xfId="0" applyFill="1" applyBorder="1" applyAlignment="1">
      <alignment vertical="center" wrapText="1"/>
    </xf>
    <xf numFmtId="0" fontId="5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28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" fontId="23" fillId="0" borderId="7" xfId="0" applyNumberFormat="1" applyFont="1" applyBorder="1" applyAlignment="1">
      <alignment horizontal="center" vertical="center" wrapText="1"/>
    </xf>
    <xf numFmtId="164" fontId="23" fillId="0" borderId="7" xfId="0" applyNumberFormat="1" applyFont="1" applyBorder="1" applyAlignment="1">
      <alignment horizontal="center" vertical="center" wrapText="1"/>
    </xf>
    <xf numFmtId="0" fontId="0" fillId="3" borderId="14" xfId="0" applyFill="1" applyBorder="1" applyAlignment="1">
      <alignment vertical="center" wrapText="1"/>
    </xf>
    <xf numFmtId="1" fontId="0" fillId="4" borderId="0" xfId="0" applyNumberFormat="1" applyFill="1"/>
    <xf numFmtId="1" fontId="0" fillId="4" borderId="33" xfId="0" applyNumberFormat="1" applyFill="1" applyBorder="1"/>
    <xf numFmtId="0" fontId="25" fillId="0" borderId="0" xfId="0" applyFont="1"/>
    <xf numFmtId="0" fontId="26" fillId="0" borderId="34" xfId="0" applyFont="1" applyBorder="1" applyAlignment="1">
      <alignment wrapText="1" shrinkToFit="1"/>
    </xf>
    <xf numFmtId="0" fontId="27" fillId="5" borderId="35" xfId="0" applyFont="1" applyFill="1" applyBorder="1"/>
    <xf numFmtId="0" fontId="27" fillId="5" borderId="36" xfId="0" applyFont="1" applyFill="1" applyBorder="1" applyAlignment="1">
      <alignment horizontal="center"/>
    </xf>
    <xf numFmtId="9" fontId="26" fillId="0" borderId="28" xfId="3" applyFont="1" applyFill="1" applyBorder="1"/>
    <xf numFmtId="0" fontId="26" fillId="0" borderId="28" xfId="0" applyFont="1" applyBorder="1"/>
    <xf numFmtId="164" fontId="26" fillId="0" borderId="28" xfId="0" applyNumberFormat="1" applyFont="1" applyBorder="1"/>
    <xf numFmtId="0" fontId="27" fillId="5" borderId="37" xfId="0" applyFont="1" applyFill="1" applyBorder="1"/>
    <xf numFmtId="0" fontId="27" fillId="5" borderId="38" xfId="0" applyFont="1" applyFill="1" applyBorder="1" applyAlignment="1">
      <alignment horizontal="center"/>
    </xf>
    <xf numFmtId="164" fontId="28" fillId="0" borderId="28" xfId="0" applyNumberFormat="1" applyFont="1" applyBorder="1"/>
    <xf numFmtId="164" fontId="26" fillId="0" borderId="28" xfId="2" applyNumberFormat="1" applyFont="1" applyFill="1" applyBorder="1"/>
    <xf numFmtId="1" fontId="0" fillId="0" borderId="28" xfId="0" applyNumberFormat="1" applyBorder="1"/>
    <xf numFmtId="9" fontId="6" fillId="0" borderId="7" xfId="3" applyFont="1" applyBorder="1" applyAlignment="1">
      <alignment horizontal="center" vertical="center" wrapText="1"/>
    </xf>
    <xf numFmtId="0" fontId="26" fillId="0" borderId="0" xfId="0" applyFont="1" applyAlignment="1">
      <alignment wrapText="1" shrinkToFit="1"/>
    </xf>
    <xf numFmtId="0" fontId="27" fillId="0" borderId="0" xfId="0" applyFont="1"/>
    <xf numFmtId="0" fontId="27" fillId="0" borderId="0" xfId="0" applyFont="1" applyAlignment="1">
      <alignment horizontal="center"/>
    </xf>
    <xf numFmtId="9" fontId="26" fillId="0" borderId="0" xfId="3" applyFont="1" applyFill="1" applyBorder="1"/>
    <xf numFmtId="0" fontId="26" fillId="0" borderId="0" xfId="0" applyFont="1"/>
    <xf numFmtId="164" fontId="26" fillId="0" borderId="0" xfId="0" applyNumberFormat="1" applyFont="1"/>
    <xf numFmtId="164" fontId="28" fillId="0" borderId="0" xfId="0" applyNumberFormat="1" applyFont="1"/>
    <xf numFmtId="164" fontId="26" fillId="0" borderId="0" xfId="2" applyNumberFormat="1" applyFont="1" applyFill="1" applyBorder="1"/>
    <xf numFmtId="164" fontId="0" fillId="0" borderId="28" xfId="0" applyNumberFormat="1" applyBorder="1"/>
    <xf numFmtId="2" fontId="0" fillId="0" borderId="28" xfId="0" applyNumberFormat="1" applyBorder="1"/>
    <xf numFmtId="1" fontId="31" fillId="0" borderId="7" xfId="0" applyNumberFormat="1" applyFont="1" applyBorder="1" applyAlignment="1">
      <alignment horizontal="center" vertical="center" wrapText="1"/>
    </xf>
    <xf numFmtId="3" fontId="0" fillId="0" borderId="0" xfId="0" applyNumberFormat="1"/>
    <xf numFmtId="3" fontId="32" fillId="0" borderId="0" xfId="0" applyNumberFormat="1" applyFont="1"/>
    <xf numFmtId="164" fontId="31" fillId="0" borderId="7" xfId="0" applyNumberFormat="1" applyFont="1" applyBorder="1" applyAlignment="1">
      <alignment horizontal="center" vertical="center" wrapText="1"/>
    </xf>
    <xf numFmtId="1" fontId="35" fillId="0" borderId="28" xfId="0" applyNumberFormat="1" applyFont="1" applyBorder="1"/>
    <xf numFmtId="0" fontId="31" fillId="0" borderId="7" xfId="0" applyFont="1" applyBorder="1" applyAlignment="1">
      <alignment horizontal="center" vertical="center" wrapText="1"/>
    </xf>
    <xf numFmtId="1" fontId="36" fillId="0" borderId="7" xfId="0" applyNumberFormat="1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43" fontId="26" fillId="0" borderId="0" xfId="2" applyFont="1" applyFill="1" applyBorder="1"/>
    <xf numFmtId="165" fontId="26" fillId="0" borderId="0" xfId="2" applyNumberFormat="1" applyFont="1" applyFill="1" applyBorder="1"/>
    <xf numFmtId="0" fontId="26" fillId="0" borderId="39" xfId="0" applyFont="1" applyBorder="1" applyAlignment="1">
      <alignment wrapText="1" shrinkToFit="1"/>
    </xf>
    <xf numFmtId="0" fontId="0" fillId="0" borderId="40" xfId="0" applyBorder="1"/>
    <xf numFmtId="0" fontId="26" fillId="0" borderId="41" xfId="0" applyFont="1" applyBorder="1" applyAlignment="1">
      <alignment wrapText="1" shrinkToFit="1"/>
    </xf>
    <xf numFmtId="1" fontId="0" fillId="4" borderId="42" xfId="0" applyNumberFormat="1" applyFill="1" applyBorder="1"/>
    <xf numFmtId="1" fontId="0" fillId="0" borderId="41" xfId="0" applyNumberFormat="1" applyBorder="1"/>
    <xf numFmtId="3" fontId="0" fillId="0" borderId="42" xfId="0" applyNumberFormat="1" applyBorder="1"/>
    <xf numFmtId="164" fontId="26" fillId="0" borderId="42" xfId="0" applyNumberFormat="1" applyFont="1" applyBorder="1"/>
    <xf numFmtId="1" fontId="0" fillId="0" borderId="42" xfId="0" applyNumberFormat="1" applyBorder="1"/>
    <xf numFmtId="0" fontId="0" fillId="0" borderId="42" xfId="0" applyBorder="1"/>
    <xf numFmtId="0" fontId="26" fillId="0" borderId="42" xfId="0" applyFont="1" applyBorder="1"/>
    <xf numFmtId="1" fontId="0" fillId="0" borderId="43" xfId="0" applyNumberFormat="1" applyBorder="1"/>
    <xf numFmtId="1" fontId="0" fillId="0" borderId="44" xfId="0" applyNumberFormat="1" applyBorder="1"/>
    <xf numFmtId="3" fontId="26" fillId="0" borderId="42" xfId="0" applyNumberFormat="1" applyFont="1" applyBorder="1"/>
    <xf numFmtId="0" fontId="14" fillId="0" borderId="20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10" xfId="1" applyBorder="1" applyAlignment="1">
      <alignment horizontal="center" vertical="center" wrapText="1"/>
    </xf>
    <xf numFmtId="0" fontId="11" fillId="0" borderId="5" xfId="1" applyBorder="1" applyAlignment="1">
      <alignment horizontal="center" vertical="center" wrapText="1"/>
    </xf>
    <xf numFmtId="0" fontId="11" fillId="0" borderId="4" xfId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1" fillId="3" borderId="14" xfId="1" applyFill="1" applyBorder="1" applyAlignment="1">
      <alignment horizontal="center" vertical="center" wrapText="1"/>
    </xf>
    <xf numFmtId="0" fontId="11" fillId="3" borderId="15" xfId="1" applyFill="1" applyBorder="1" applyAlignment="1">
      <alignment horizontal="center" vertical="center" wrapText="1"/>
    </xf>
  </cellXfs>
  <cellStyles count="4">
    <cellStyle name="Lien hypertexte" xfId="1" builtinId="8"/>
    <cellStyle name="Milliers" xfId="2" builtinId="3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emecloud-my.sharepoint.com/Users/Gouedardh/Desktop/couts%20energie/d&#233;composition%20co&#251;ts%20&#233;lectricit&#233;_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Documents%20MTE\AMS-run2\007_Production%20d'&#233;nergie\20230904hypoth&#232;ses_&#233;nergie_AMSrun2.xlsx" TargetMode="External"/><Relationship Id="rId1" Type="http://schemas.openxmlformats.org/officeDocument/2006/relationships/externalLinkPath" Target="Documents%20MTE/AMS-run2/007_Production%20d'&#233;nergie/20230904hypoth&#232;ses_&#233;nergie_AMSrun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demecloud-my.sharepoint.com/personal/gael_callonnec_ademe_fr/Documents/Github/ThreeME/data/shocks/Bilan%20&#233;nergie%20-%20AMErun2%20-%20AMSrun2.xlsx" TargetMode="External"/><Relationship Id="rId1" Type="http://schemas.openxmlformats.org/officeDocument/2006/relationships/externalLinkPath" Target="https://ademecloud-my.sharepoint.com/personal/gael_callonnec_ademe_fr/Documents/Github/ThreeME/data/shocks/Bilan%20&#233;nergie%20-%20AMErun2%20-%20AMSrun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emecloud-my.sharepoint.com/personal/gael_callonnec_ademe_fr/Documents/Github/ThreeME/data/calibrations/EnergieRessource_S2_202111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SAM_FRA_AME.xls" TargetMode="External"/><Relationship Id="rId1" Type="http://schemas.openxmlformats.org/officeDocument/2006/relationships/externalLinkPath" Target="SAM_FRA_AME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Documents%20MTE\23-12-19%20I4CE%20investissements%20climat%20AMS23-run2.xlsx" TargetMode="External"/><Relationship Id="rId1" Type="http://schemas.openxmlformats.org/officeDocument/2006/relationships/externalLinkPath" Target="Documents%20MTE/23-12-19%20I4CE%20investissements%20climat%20AMS23-run2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shocks\Bilan%20&#233;nergie%20-%20AMErun2%20-%20AMSrun2.xlsx" TargetMode="External"/><Relationship Id="rId1" Type="http://schemas.openxmlformats.org/officeDocument/2006/relationships/externalLinkPath" Target="/Users/callonnecg/Documents/Github/ThreeME/data/shocks/Bilan%20&#233;nergie%20-%20AMErun2%20-%20AMSru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tMwh"/>
      <sheetName val="capacités"/>
      <sheetName val="coût TEND"/>
      <sheetName val="coût S1"/>
      <sheetName val="CAPEX_MWH_TEND"/>
      <sheetName val="OPEX_MWH_TEND"/>
      <sheetName val="Kexo_TEND"/>
      <sheetName val="INVexo_TEND"/>
      <sheetName val="Kexo_S1"/>
      <sheetName val="INVexo_S1"/>
    </sheetNames>
    <sheetDataSet>
      <sheetData sheetId="0"/>
      <sheetData sheetId="1"/>
      <sheetData sheetId="2"/>
      <sheetData sheetId="3">
        <row r="5">
          <cell r="I5">
            <v>20</v>
          </cell>
        </row>
        <row r="6">
          <cell r="I6">
            <v>26.435595244336184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leur"/>
      <sheetName val="élec"/>
      <sheetName val="Co-génération"/>
      <sheetName val="production de combustibles"/>
      <sheetName val="Biocombustibles"/>
      <sheetName val="Hydrogène"/>
    </sheetNames>
    <sheetDataSet>
      <sheetData sheetId="0"/>
      <sheetData sheetId="1">
        <row r="4">
          <cell r="D4">
            <v>39.700000000000003</v>
          </cell>
          <cell r="G4">
            <v>54</v>
          </cell>
          <cell r="I4">
            <v>69</v>
          </cell>
          <cell r="J4">
            <v>89.25</v>
          </cell>
          <cell r="K4">
            <v>109.5</v>
          </cell>
          <cell r="L4">
            <v>129.75</v>
          </cell>
          <cell r="M4">
            <v>150</v>
          </cell>
        </row>
        <row r="5">
          <cell r="G5">
            <v>9.6880000000000006</v>
          </cell>
          <cell r="I5">
            <v>14.08</v>
          </cell>
          <cell r="J5">
            <v>14.08</v>
          </cell>
          <cell r="K5">
            <v>14.08</v>
          </cell>
          <cell r="L5">
            <v>14.08</v>
          </cell>
          <cell r="M5">
            <v>14.08</v>
          </cell>
        </row>
        <row r="6">
          <cell r="G6">
            <v>26</v>
          </cell>
          <cell r="I6">
            <v>36</v>
          </cell>
          <cell r="J6">
            <v>57</v>
          </cell>
          <cell r="K6">
            <v>78</v>
          </cell>
          <cell r="L6">
            <v>99</v>
          </cell>
          <cell r="M6">
            <v>110</v>
          </cell>
        </row>
        <row r="9">
          <cell r="D9">
            <v>335.4</v>
          </cell>
          <cell r="G9">
            <v>393</v>
          </cell>
          <cell r="H9">
            <v>393</v>
          </cell>
          <cell r="J9">
            <v>354.75</v>
          </cell>
          <cell r="K9">
            <v>316.5</v>
          </cell>
          <cell r="L9">
            <v>278.25</v>
          </cell>
          <cell r="M9">
            <v>240</v>
          </cell>
        </row>
        <row r="51">
          <cell r="F51">
            <v>50.772959999999998</v>
          </cell>
        </row>
        <row r="52">
          <cell r="F52">
            <v>32.990160000000003</v>
          </cell>
          <cell r="G52">
            <v>66.716160000000002</v>
          </cell>
          <cell r="H52">
            <v>100.44216000000003</v>
          </cell>
          <cell r="I52">
            <v>134.16816</v>
          </cell>
          <cell r="J52">
            <v>167.89416</v>
          </cell>
          <cell r="K52">
            <v>201.62016000000003</v>
          </cell>
        </row>
        <row r="53">
          <cell r="F53">
            <v>11.837826</v>
          </cell>
          <cell r="G53">
            <v>14.203025999999999</v>
          </cell>
          <cell r="H53">
            <v>70.376525999999998</v>
          </cell>
          <cell r="I53">
            <v>109.79652600000001</v>
          </cell>
          <cell r="J53">
            <v>149.21652600000002</v>
          </cell>
          <cell r="K53">
            <v>176.81052600000001</v>
          </cell>
        </row>
        <row r="56">
          <cell r="F56">
            <v>388.31503199999997</v>
          </cell>
          <cell r="G56">
            <v>382.704252</v>
          </cell>
          <cell r="H56">
            <v>377.12413199999992</v>
          </cell>
          <cell r="I56">
            <v>363.51109199999996</v>
          </cell>
          <cell r="J56">
            <v>235.84285199999997</v>
          </cell>
          <cell r="K56">
            <v>105.07795199999998</v>
          </cell>
        </row>
        <row r="57">
          <cell r="I57">
            <v>24.282719999999998</v>
          </cell>
          <cell r="J57">
            <v>84.621599999999987</v>
          </cell>
          <cell r="K57">
            <v>145.69632000000001</v>
          </cell>
        </row>
        <row r="69">
          <cell r="C69">
            <v>19.100000000000001</v>
          </cell>
          <cell r="F69">
            <v>24.6</v>
          </cell>
          <cell r="G69">
            <v>32.600000000000009</v>
          </cell>
          <cell r="H69">
            <v>41.000000000000014</v>
          </cell>
          <cell r="I69">
            <v>51.000000000000014</v>
          </cell>
          <cell r="J69">
            <v>61.000000000000014</v>
          </cell>
          <cell r="K69">
            <v>71.000000000000014</v>
          </cell>
        </row>
        <row r="70">
          <cell r="F70">
            <v>25.445999999999998</v>
          </cell>
          <cell r="G70">
            <v>47.945999999999998</v>
          </cell>
          <cell r="H70">
            <v>70.445999999999998</v>
          </cell>
          <cell r="I70">
            <v>92.945999999999998</v>
          </cell>
          <cell r="J70">
            <v>115.446</v>
          </cell>
          <cell r="K70">
            <v>137.946</v>
          </cell>
        </row>
        <row r="71">
          <cell r="F71">
            <v>3.0030000000000001</v>
          </cell>
          <cell r="G71">
            <v>3.6030000000000002</v>
          </cell>
          <cell r="H71">
            <v>11.853</v>
          </cell>
          <cell r="I71">
            <v>21.853000000000002</v>
          </cell>
          <cell r="J71">
            <v>31.853000000000002</v>
          </cell>
          <cell r="K71">
            <v>44.853000000000002</v>
          </cell>
        </row>
        <row r="74">
          <cell r="F74">
            <v>63</v>
          </cell>
          <cell r="G74">
            <v>62.085000000000001</v>
          </cell>
          <cell r="H74">
            <v>61.174999999999997</v>
          </cell>
          <cell r="I74">
            <v>58.954999999999998</v>
          </cell>
          <cell r="J74">
            <v>38.134999999999998</v>
          </cell>
          <cell r="K74">
            <v>16.809999999999999</v>
          </cell>
        </row>
        <row r="75">
          <cell r="I75">
            <v>3.3</v>
          </cell>
          <cell r="J75">
            <v>11.5</v>
          </cell>
          <cell r="K75">
            <v>19.8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0 test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AME_Met_2020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s_E_AMS_KP"/>
      <sheetName val="Bilans_E_AMS_KP_2023"/>
      <sheetName val="Bilans_E_AMS_KP_2025"/>
      <sheetName val="Bilans_E_AMS_KP_2028"/>
      <sheetName val="Bilans_E_AMS_KP_2030"/>
      <sheetName val="Bilans_E_AMS_KP_2033"/>
      <sheetName val="Bilans_E_AMS_KP_2035"/>
      <sheetName val="Bilans_E_AMS_KP_2038"/>
      <sheetName val="Bilans_E_AMS_KP_2040"/>
      <sheetName val="Bilans_E_AMS_KP_2043"/>
      <sheetName val="Bilans_E_AMS_KP_2045"/>
      <sheetName val="Bilans_E_AMS_KP_2050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KP_AMS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</sheetNames>
    <sheetDataSet>
      <sheetData sheetId="0"/>
      <sheetData sheetId="1"/>
      <sheetData sheetId="2">
        <row r="7">
          <cell r="I7">
            <v>24.904679182551273</v>
          </cell>
          <cell r="N7">
            <v>7.6163243247728092</v>
          </cell>
          <cell r="S7">
            <v>7.5523881054869557</v>
          </cell>
          <cell r="X7">
            <v>7.9623342705743987</v>
          </cell>
          <cell r="AC7">
            <v>8.315170606453826</v>
          </cell>
          <cell r="AH7">
            <v>8.579895509379492</v>
          </cell>
          <cell r="AM7">
            <v>24.603178920457438</v>
          </cell>
        </row>
      </sheetData>
      <sheetData sheetId="3">
        <row r="7">
          <cell r="N7">
            <v>26.434633696901958</v>
          </cell>
          <cell r="S7">
            <v>23.012014275261006</v>
          </cell>
          <cell r="X7">
            <v>17.076239626292423</v>
          </cell>
          <cell r="AC7">
            <v>1.9497760583305019</v>
          </cell>
          <cell r="AH7">
            <v>2.6500221012566496</v>
          </cell>
          <cell r="AM7">
            <v>3.1772529313232827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dentialité"/>
      <sheetName val="Investissements"/>
      <sheetName val="Production"/>
      <sheetName val="Taux de charge"/>
      <sheetName val="Consommation"/>
      <sheetName val="Echanges européens"/>
      <sheetName val="Ecrêtement"/>
      <sheetName val="CO2_Emissions"/>
      <sheetName val="Coûts marginaux"/>
      <sheetName val="Prod_TWh"/>
      <sheetName val="Installé_CAPA_MW"/>
    </sheetNames>
    <sheetDataSet>
      <sheetData sheetId="0" refreshError="1"/>
      <sheetData sheetId="1" refreshError="1">
        <row r="4">
          <cell r="C4">
            <v>61.370000000000005</v>
          </cell>
        </row>
        <row r="5">
          <cell r="D5">
            <v>6.1640005659265498</v>
          </cell>
        </row>
        <row r="6">
          <cell r="C6">
            <v>1.8500001452782728</v>
          </cell>
        </row>
        <row r="9">
          <cell r="D9">
            <v>15.600000000003027</v>
          </cell>
          <cell r="E9">
            <v>20.000000000018925</v>
          </cell>
          <cell r="F9">
            <v>28.750000000480206</v>
          </cell>
          <cell r="G9">
            <v>37.500000002109303</v>
          </cell>
          <cell r="H9">
            <v>46.250000001496062</v>
          </cell>
          <cell r="I9">
            <v>66.000000000018645</v>
          </cell>
        </row>
        <row r="14">
          <cell r="C14">
            <v>0.24000000000000002</v>
          </cell>
          <cell r="D14">
            <v>0.24000000000000002</v>
          </cell>
          <cell r="E14">
            <v>0.24000000000000002</v>
          </cell>
          <cell r="F14">
            <v>0.24000000000000002</v>
          </cell>
          <cell r="G14">
            <v>0.24000000000000002</v>
          </cell>
          <cell r="H14">
            <v>0.24000000000000002</v>
          </cell>
          <cell r="I14">
            <v>0.24000000000000002</v>
          </cell>
        </row>
        <row r="15">
          <cell r="C15">
            <v>0.48361560000000559</v>
          </cell>
          <cell r="D15">
            <v>0.48361560000000559</v>
          </cell>
          <cell r="E15">
            <v>0.48361560000000559</v>
          </cell>
          <cell r="F15">
            <v>0.48361560000000559</v>
          </cell>
          <cell r="G15">
            <v>0.48361560000000559</v>
          </cell>
          <cell r="H15">
            <v>0.48361560000000559</v>
          </cell>
          <cell r="I15">
            <v>0.48361560000000559</v>
          </cell>
          <cell r="J15">
            <v>0.48361560000000559</v>
          </cell>
          <cell r="K15">
            <v>0.48361560000000559</v>
          </cell>
        </row>
        <row r="16">
          <cell r="C16">
            <v>0.65390400000002646</v>
          </cell>
          <cell r="D16">
            <v>0.80000000000005866</v>
          </cell>
          <cell r="E16">
            <v>0.80000000000005866</v>
          </cell>
          <cell r="F16">
            <v>0.80000000000005866</v>
          </cell>
          <cell r="G16">
            <v>0.80000000000005866</v>
          </cell>
          <cell r="H16">
            <v>0.80000000000005866</v>
          </cell>
          <cell r="I16">
            <v>0.80000000000005866</v>
          </cell>
        </row>
        <row r="17">
          <cell r="C17">
            <v>0.87828299999994663</v>
          </cell>
          <cell r="D17">
            <v>0.87828299999994663</v>
          </cell>
          <cell r="E17">
            <v>0.87828299999994663</v>
          </cell>
          <cell r="F17">
            <v>0.87828299999994663</v>
          </cell>
          <cell r="G17">
            <v>0.87828299999994663</v>
          </cell>
          <cell r="H17">
            <v>0.87828299999994663</v>
          </cell>
          <cell r="I17">
            <v>0.87828299999994663</v>
          </cell>
        </row>
        <row r="18">
          <cell r="C18">
            <v>1.8500000000002501E-3</v>
          </cell>
        </row>
        <row r="19">
          <cell r="C19">
            <v>5.1800000000000006</v>
          </cell>
        </row>
        <row r="20">
          <cell r="C20">
            <v>4.11224892653E-7</v>
          </cell>
          <cell r="D20">
            <v>8.1130696045799994E-7</v>
          </cell>
          <cell r="E20">
            <v>1.4413728045000003E-6</v>
          </cell>
          <cell r="F20">
            <v>0.21040230769474819</v>
          </cell>
          <cell r="G20">
            <v>0.21040235354440281</v>
          </cell>
          <cell r="H20">
            <v>0.21040196962776603</v>
          </cell>
          <cell r="I20">
            <v>0.21040135790046022</v>
          </cell>
        </row>
        <row r="21">
          <cell r="C21">
            <v>25.293000000000003</v>
          </cell>
          <cell r="D21">
            <v>25.293000000000003</v>
          </cell>
          <cell r="E21">
            <v>25.293000000000003</v>
          </cell>
          <cell r="F21">
            <v>25.293000000000003</v>
          </cell>
          <cell r="G21">
            <v>25.293000000000003</v>
          </cell>
          <cell r="H21">
            <v>25.293000000000003</v>
          </cell>
          <cell r="I21">
            <v>25.293000000000003</v>
          </cell>
          <cell r="J21">
            <v>25.293000000000003</v>
          </cell>
          <cell r="K21">
            <v>25.293000000000003</v>
          </cell>
        </row>
        <row r="24">
          <cell r="C24">
            <v>0</v>
          </cell>
          <cell r="D24">
            <v>0.35555066913469363</v>
          </cell>
          <cell r="E24">
            <v>3.9049230999309068</v>
          </cell>
          <cell r="F24">
            <v>10.543004499903294</v>
          </cell>
          <cell r="G24">
            <v>16.266090617170399</v>
          </cell>
          <cell r="H24">
            <v>17.5803574997278</v>
          </cell>
          <cell r="I24">
            <v>30.457248899957968</v>
          </cell>
        </row>
        <row r="25">
          <cell r="C25">
            <v>0</v>
          </cell>
          <cell r="D25">
            <v>1.7048103152845118</v>
          </cell>
          <cell r="E25">
            <v>3.4096220013711549</v>
          </cell>
          <cell r="F25">
            <v>4.9958732008227633</v>
          </cell>
          <cell r="G25">
            <v>6.5821237148727079</v>
          </cell>
          <cell r="H25">
            <v>8.1683749143249234</v>
          </cell>
          <cell r="I25">
            <v>9.7546254283755651</v>
          </cell>
        </row>
      </sheetData>
      <sheetData sheetId="2" refreshError="1">
        <row r="5">
          <cell r="C5">
            <v>0.76080007691000362</v>
          </cell>
        </row>
        <row r="6">
          <cell r="D6">
            <v>4.9720475149880108E-3</v>
          </cell>
          <cell r="E6">
            <v>1.2858088192232258E-2</v>
          </cell>
          <cell r="F6">
            <v>1.5238144340667708E-2</v>
          </cell>
          <cell r="G6">
            <v>1.2088206144485428E-2</v>
          </cell>
          <cell r="H6">
            <v>3.6956358810318495E-2</v>
          </cell>
          <cell r="I6">
            <v>5.1156976572074533E-2</v>
          </cell>
        </row>
        <row r="14">
          <cell r="C14">
            <v>0.46126655999999999</v>
          </cell>
          <cell r="D14">
            <v>0.46126655999999999</v>
          </cell>
          <cell r="E14">
            <v>0.46126655999999999</v>
          </cell>
          <cell r="F14">
            <v>0.46126655999999999</v>
          </cell>
          <cell r="G14">
            <v>0.46126655999999999</v>
          </cell>
          <cell r="H14">
            <v>0.46126655999999999</v>
          </cell>
          <cell r="I14">
            <v>0.46126655999999999</v>
          </cell>
        </row>
        <row r="15">
          <cell r="C15">
            <v>2.3799584888399989</v>
          </cell>
          <cell r="D15">
            <v>2.3799584888399989</v>
          </cell>
          <cell r="E15">
            <v>2.3799584888399989</v>
          </cell>
          <cell r="F15">
            <v>2.3799584888399989</v>
          </cell>
          <cell r="G15">
            <v>2.3799584888399989</v>
          </cell>
          <cell r="H15">
            <v>2.3799584888399989</v>
          </cell>
          <cell r="I15">
            <v>2.3799584888399989</v>
          </cell>
        </row>
        <row r="16">
          <cell r="C16">
            <v>1.6037893462559989</v>
          </cell>
          <cell r="D16">
            <v>1.9621097277623976</v>
          </cell>
          <cell r="E16">
            <v>1.9621097277623976</v>
          </cell>
          <cell r="F16">
            <v>1.9621097277623976</v>
          </cell>
          <cell r="G16">
            <v>1.9621097277623976</v>
          </cell>
          <cell r="H16">
            <v>1.9621097277623976</v>
          </cell>
          <cell r="I16">
            <v>1.9621097277623976</v>
          </cell>
        </row>
        <row r="17">
          <cell r="C17">
            <v>3.144046932672</v>
          </cell>
          <cell r="D17">
            <v>3.144046932672</v>
          </cell>
          <cell r="E17">
            <v>3.144046932672</v>
          </cell>
          <cell r="F17">
            <v>3.144046932672</v>
          </cell>
          <cell r="G17">
            <v>3.144046932672</v>
          </cell>
          <cell r="H17">
            <v>3.144046932672</v>
          </cell>
          <cell r="I17">
            <v>3.144046932672</v>
          </cell>
        </row>
        <row r="18">
          <cell r="C18">
            <v>4.69974E-3</v>
          </cell>
          <cell r="D18">
            <v>6.0969599999999999E-2</v>
          </cell>
          <cell r="E18">
            <v>6.0969599999999999E-2</v>
          </cell>
          <cell r="F18">
            <v>6.0969599999999999E-2</v>
          </cell>
          <cell r="G18">
            <v>6.0969599999999999E-2</v>
          </cell>
          <cell r="H18">
            <v>6.0969599999999999E-2</v>
          </cell>
          <cell r="I18">
            <v>6.0969599999999999E-2</v>
          </cell>
        </row>
        <row r="19">
          <cell r="C19">
            <v>63.525599465424307</v>
          </cell>
          <cell r="D19">
            <v>63.525599412490024</v>
          </cell>
          <cell r="E19">
            <v>63.525599296447801</v>
          </cell>
          <cell r="F19">
            <v>63.525599531050219</v>
          </cell>
          <cell r="G19">
            <v>63.525599759908566</v>
          </cell>
          <cell r="H19">
            <v>63.525597737205786</v>
          </cell>
          <cell r="I19">
            <v>63.525599785437379</v>
          </cell>
        </row>
        <row r="23">
          <cell r="C23">
            <v>3.0650999156052672</v>
          </cell>
          <cell r="D23">
            <v>3.8566373271561072</v>
          </cell>
          <cell r="E23">
            <v>5.8270920439274194</v>
          </cell>
          <cell r="F23">
            <v>5.8291772847573826</v>
          </cell>
          <cell r="G23">
            <v>6.5171806392578837</v>
          </cell>
          <cell r="H23">
            <v>6.7462481658761053</v>
          </cell>
          <cell r="I23">
            <v>6.5596736001065556</v>
          </cell>
        </row>
        <row r="24">
          <cell r="C24">
            <v>2.1252157036899895E-6</v>
          </cell>
          <cell r="D24">
            <v>3.9829152014953135E-6</v>
          </cell>
          <cell r="E24">
            <v>6.946818255577103E-6</v>
          </cell>
          <cell r="F24">
            <v>7.920989322727684E-2</v>
          </cell>
          <cell r="G24">
            <v>8.1284731822778192E-2</v>
          </cell>
          <cell r="H24">
            <v>8.7879215817297879E-2</v>
          </cell>
          <cell r="I24">
            <v>8.090124002506853E-2</v>
          </cell>
        </row>
        <row r="27">
          <cell r="C27">
            <v>0</v>
          </cell>
          <cell r="D27">
            <v>1.5973045520964124</v>
          </cell>
          <cell r="E27">
            <v>11.699024403730201</v>
          </cell>
          <cell r="F27">
            <v>21.965824456934346</v>
          </cell>
          <cell r="G27">
            <v>30.937507492687157</v>
          </cell>
          <cell r="H27">
            <v>38.2708387247038</v>
          </cell>
          <cell r="I27">
            <v>61.788124664458238</v>
          </cell>
        </row>
        <row r="28">
          <cell r="C28">
            <v>0</v>
          </cell>
          <cell r="D28">
            <v>7.8147663832654954</v>
          </cell>
          <cell r="E28">
            <v>14.733417738439314</v>
          </cell>
          <cell r="F28">
            <v>21.00804845688187</v>
          </cell>
          <cell r="G28">
            <v>27.643267939809522</v>
          </cell>
          <cell r="H28">
            <v>34.850705038236946</v>
          </cell>
          <cell r="I28">
            <v>41.390823095183812</v>
          </cell>
        </row>
        <row r="34">
          <cell r="D34">
            <v>2.6990746055000001E-11</v>
          </cell>
          <cell r="E34">
            <v>3.6527991733000001E-10</v>
          </cell>
          <cell r="F34">
            <v>9.0446673339799984E-10</v>
          </cell>
          <cell r="G34">
            <v>1.3689268202970003E-9</v>
          </cell>
          <cell r="H34">
            <v>1.1570629432770425</v>
          </cell>
          <cell r="I34">
            <v>44.834316178932511</v>
          </cell>
        </row>
        <row r="36">
          <cell r="D36">
            <v>7.7070464641111505</v>
          </cell>
          <cell r="E36">
            <v>10.588971068279136</v>
          </cell>
          <cell r="F36">
            <v>14.458420531052537</v>
          </cell>
          <cell r="G36">
            <v>18.169659056823228</v>
          </cell>
          <cell r="H36">
            <v>21.574373255325391</v>
          </cell>
          <cell r="I36">
            <v>27.498580147533193</v>
          </cell>
        </row>
        <row r="37">
          <cell r="D37">
            <v>2.2723765579551198</v>
          </cell>
          <cell r="E37">
            <v>2.4429006060973779</v>
          </cell>
          <cell r="F37">
            <v>3.5140427848919749</v>
          </cell>
          <cell r="G37">
            <v>4.5019986055673176</v>
          </cell>
          <cell r="H37">
            <v>5.4899543003083568</v>
          </cell>
          <cell r="I37">
            <v>6.4779101562551027</v>
          </cell>
        </row>
        <row r="39">
          <cell r="E39">
            <v>70.355046444793672</v>
          </cell>
          <cell r="F39">
            <v>92.759339784844244</v>
          </cell>
          <cell r="G39">
            <v>115.11804204176454</v>
          </cell>
          <cell r="H39">
            <v>141.51337418169942</v>
          </cell>
          <cell r="I39">
            <v>175.11117102622472</v>
          </cell>
        </row>
        <row r="172">
          <cell r="J172">
            <v>0</v>
          </cell>
          <cell r="K17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gend"/>
      <sheetName val="BaselineHypotheses"/>
      <sheetName val="Supply_Use_dom"/>
      <sheetName val="Supply_Use_foreign"/>
      <sheetName val="OTH_VARIABLE"/>
      <sheetName val="INV_MAT"/>
      <sheetName val="Adjustment"/>
      <sheetName val="ELAS_wage"/>
      <sheetName val="ELAS_L1_KLEM"/>
      <sheetName val="ELAS_L2_NRJ"/>
      <sheetName val="ELAS_L2_TRANSPORT"/>
      <sheetName val="ELAS_TRANSP_MARGIN"/>
      <sheetName val="ELAS_L3_IMP_DOM"/>
      <sheetName val="ELAS_INVEST"/>
      <sheetName val="ELAS_EXPORT"/>
      <sheetName val="ELAS_OTHER"/>
      <sheetName val="ELAS_Hybrid_BUILNRJ"/>
      <sheetName val="Household"/>
      <sheetName val="Household_Hybrid_BUIL"/>
      <sheetName val="Household_Hybrid_TRANSITION"/>
      <sheetName val="Household_Hybrid_AUTO"/>
      <sheetName val="Donnees_energie"/>
      <sheetName val="exo_realistic_Hybrid"/>
      <sheetName val="exo_realistic_1"/>
      <sheetName val="mix énergie graphs"/>
      <sheetName val="hypotheses SNBC"/>
      <sheetName val="WEO AIE"/>
      <sheetName val="Demography"/>
      <sheetName val="CU énergie"/>
      <sheetName val="phi_calculation"/>
      <sheetName val="Energy 2010"/>
      <sheetName val="EnergyIndus"/>
      <sheetName val="GHG_Emissions"/>
      <sheetName val="FOOTPRINT"/>
      <sheetName val="M_footprint"/>
      <sheetName val="imports"/>
      <sheetName val="ThreeME V1_V2"/>
      <sheetName val="technical_coef_variation"/>
      <sheetName val="technical_coef_variation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8">
          <cell r="F48">
            <v>18.979902880269496</v>
          </cell>
          <cell r="H48">
            <v>21.052878725363069</v>
          </cell>
        </row>
        <row r="49">
          <cell r="F49">
            <v>122.57599999999999</v>
          </cell>
          <cell r="H49">
            <v>4.6192271301325709</v>
          </cell>
        </row>
        <row r="50">
          <cell r="F50">
            <v>10.162299686291657</v>
          </cell>
          <cell r="H50">
            <v>2.7715362780795427</v>
          </cell>
        </row>
        <row r="51">
          <cell r="F51">
            <v>14.31960410341097</v>
          </cell>
          <cell r="H51">
            <v>8.3146088342386282</v>
          </cell>
        </row>
        <row r="52">
          <cell r="F52">
            <v>70.593025247882508</v>
          </cell>
          <cell r="H52">
            <v>12.9338359643712</v>
          </cell>
        </row>
        <row r="53">
          <cell r="F53">
            <v>119.98755838887863</v>
          </cell>
          <cell r="H53">
            <v>62.140352394535242</v>
          </cell>
        </row>
        <row r="54">
          <cell r="F54">
            <v>15</v>
          </cell>
          <cell r="H54">
            <v>17</v>
          </cell>
        </row>
        <row r="55">
          <cell r="F55">
            <v>61.9</v>
          </cell>
          <cell r="H55">
            <v>23.4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BESOINS"/>
      <sheetName val="SYNTHESE"/>
      <sheetName val="JPF-SM"/>
      <sheetName val="FIGURES"/>
      <sheetName val="VOLUMES"/>
      <sheetName val="BAT_NEUF"/>
      <sheetName val="LOG_RENO"/>
      <sheetName val="axLOG_RENO"/>
      <sheetName val="TER_RENO"/>
      <sheetName val="axTER"/>
      <sheetName val="ECLA"/>
      <sheetName val="VP"/>
      <sheetName val="VUL"/>
      <sheetName val="PL"/>
      <sheetName val="BUSCAR"/>
      <sheetName val="axBatteries"/>
      <sheetName val="synVéhicules"/>
      <sheetName val="IRVE"/>
      <sheetName val="IRVG"/>
      <sheetName val="IRVH"/>
      <sheetName val="INFRA_FER"/>
      <sheetName val="axFER"/>
      <sheetName val="axCOI18"/>
      <sheetName val="axCOI23"/>
      <sheetName val="axART"/>
      <sheetName val="INFRA_TCU"/>
      <sheetName val="synTCU"/>
      <sheetName val="axMétroTram"/>
      <sheetName val="axRER"/>
      <sheetName val="axIDF2"/>
      <sheetName val="axGPE 2023"/>
      <sheetName val="axTCU-Province"/>
      <sheetName val="axTram"/>
      <sheetName val="axBus"/>
      <sheetName val="CYCLABLES"/>
      <sheetName val="axVélo"/>
      <sheetName val="FLUVIAL"/>
      <sheetName val="ROUTES"/>
      <sheetName val="PRODELEC"/>
      <sheetName val="axREN"/>
      <sheetName val="RES"/>
      <sheetName val="axRES"/>
      <sheetName val="PRODCHA"/>
      <sheetName val="NUCLEAIRE"/>
      <sheetName val="axNUC"/>
      <sheetName val="RCU"/>
      <sheetName val="axRC"/>
      <sheetName val="BIOMETHANE"/>
      <sheetName val="PTG"/>
      <sheetName val="BIOCARB"/>
      <sheetName val="CSC"/>
      <sheetName val="axCCS"/>
      <sheetName val="axGénéral"/>
      <sheetName val="axInd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247">
          <cell r="N247">
            <v>740.67857917962817</v>
          </cell>
          <cell r="JX247">
            <v>271.65603415564294</v>
          </cell>
          <cell r="JY247">
            <v>-9.1239636976007201</v>
          </cell>
          <cell r="JZ247">
            <v>0</v>
          </cell>
          <cell r="KA247">
            <v>0</v>
          </cell>
          <cell r="KB247">
            <v>0</v>
          </cell>
          <cell r="KC247">
            <v>0</v>
          </cell>
          <cell r="KD247">
            <v>0</v>
          </cell>
          <cell r="KE247">
            <v>0</v>
          </cell>
          <cell r="KF247">
            <v>0</v>
          </cell>
          <cell r="KG247">
            <v>0</v>
          </cell>
          <cell r="KH247">
            <v>0</v>
          </cell>
          <cell r="KI247">
            <v>0</v>
          </cell>
          <cell r="KJ247">
            <v>0</v>
          </cell>
          <cell r="KK247">
            <v>0</v>
          </cell>
          <cell r="KL247">
            <v>0</v>
          </cell>
          <cell r="KM247">
            <v>0</v>
          </cell>
          <cell r="KN247">
            <v>0</v>
          </cell>
          <cell r="KO247">
            <v>0</v>
          </cell>
          <cell r="KP247">
            <v>0</v>
          </cell>
          <cell r="KQ247">
            <v>0</v>
          </cell>
          <cell r="KR247">
            <v>0</v>
          </cell>
          <cell r="KS247">
            <v>0</v>
          </cell>
          <cell r="KT247">
            <v>0</v>
          </cell>
          <cell r="KU247">
            <v>0</v>
          </cell>
          <cell r="KV247">
            <v>0</v>
          </cell>
          <cell r="KW247">
            <v>0</v>
          </cell>
          <cell r="KX247">
            <v>0</v>
          </cell>
          <cell r="KY247">
            <v>0</v>
          </cell>
          <cell r="KZ247">
            <v>0</v>
          </cell>
          <cell r="LA247">
            <v>0</v>
          </cell>
        </row>
        <row r="619">
          <cell r="N619">
            <v>1839.3681712083605</v>
          </cell>
          <cell r="JX619">
            <v>1764.3441160211848</v>
          </cell>
          <cell r="JY619">
            <v>3890.6034906478731</v>
          </cell>
          <cell r="JZ619">
            <v>2635.6538809642043</v>
          </cell>
          <cell r="KA619">
            <v>2378.1502575196037</v>
          </cell>
          <cell r="KB619">
            <v>2562.3267503353768</v>
          </cell>
          <cell r="KC619">
            <v>2636.0183576427271</v>
          </cell>
          <cell r="KD619">
            <v>2819.35189401561</v>
          </cell>
          <cell r="KE619">
            <v>2950.8559826180053</v>
          </cell>
          <cell r="KF619">
            <v>2983.7487830019195</v>
          </cell>
          <cell r="KG619">
            <v>2925.4843887459215</v>
          </cell>
          <cell r="KH619">
            <v>3307.0349948340681</v>
          </cell>
          <cell r="KI619">
            <v>3198.9657666433882</v>
          </cell>
          <cell r="KJ619">
            <v>3136.869770541753</v>
          </cell>
          <cell r="KK619">
            <v>3063.8760100735667</v>
          </cell>
          <cell r="KL619">
            <v>2982.4898757904348</v>
          </cell>
          <cell r="KM619">
            <v>3158.8134805225245</v>
          </cell>
          <cell r="KN619">
            <v>3135.1157555557675</v>
          </cell>
          <cell r="KO619">
            <v>3119.7693324277006</v>
          </cell>
          <cell r="KP619">
            <v>3094.9079014670288</v>
          </cell>
          <cell r="KQ619">
            <v>3061.8594565726908</v>
          </cell>
          <cell r="KR619">
            <v>3009.6167081081207</v>
          </cell>
          <cell r="KS619">
            <v>2939.0010955984344</v>
          </cell>
          <cell r="KT619">
            <v>2874.6831861146447</v>
          </cell>
          <cell r="KU619">
            <v>2919.4250642488828</v>
          </cell>
          <cell r="KV619">
            <v>3141.2693039983351</v>
          </cell>
          <cell r="KW619">
            <v>3442.5467458265966</v>
          </cell>
          <cell r="KX619">
            <v>3650.9604493403863</v>
          </cell>
          <cell r="KY619">
            <v>3699.1113015038595</v>
          </cell>
          <cell r="KZ619">
            <v>3681.2047251891781</v>
          </cell>
          <cell r="LA619">
            <v>3675.0721154011726</v>
          </cell>
        </row>
        <row r="1188">
          <cell r="N1188">
            <v>1235.088219144578</v>
          </cell>
          <cell r="JX1188">
            <v>720.77764126622719</v>
          </cell>
          <cell r="JY1188">
            <v>1367.5917939137671</v>
          </cell>
          <cell r="JZ1188">
            <v>1839.6847931694901</v>
          </cell>
          <cell r="KA1188">
            <v>2406.9284076398385</v>
          </cell>
          <cell r="KB1188">
            <v>893.83894992872933</v>
          </cell>
          <cell r="KC1188">
            <v>417.48992753345897</v>
          </cell>
          <cell r="KD1188">
            <v>867.47772072399584</v>
          </cell>
          <cell r="KE1188">
            <v>0</v>
          </cell>
          <cell r="KF1188">
            <v>0</v>
          </cell>
          <cell r="KG1188">
            <v>0</v>
          </cell>
          <cell r="KH1188">
            <v>0</v>
          </cell>
          <cell r="KI1188">
            <v>0</v>
          </cell>
          <cell r="KJ1188">
            <v>0</v>
          </cell>
          <cell r="KK1188">
            <v>0</v>
          </cell>
          <cell r="KL1188">
            <v>0</v>
          </cell>
          <cell r="KM1188">
            <v>0</v>
          </cell>
          <cell r="KN1188">
            <v>0</v>
          </cell>
          <cell r="KO1188">
            <v>0</v>
          </cell>
          <cell r="KP1188">
            <v>0.18812575790913699</v>
          </cell>
          <cell r="KQ1188">
            <v>1.4268350862423587</v>
          </cell>
          <cell r="KR1188">
            <v>7.1298803225837322</v>
          </cell>
          <cell r="KS1188">
            <v>26.976718271134878</v>
          </cell>
          <cell r="KT1188">
            <v>79.230902462427409</v>
          </cell>
          <cell r="KU1188">
            <v>190.4148360524629</v>
          </cell>
          <cell r="KV1188">
            <v>378.9616219848657</v>
          </cell>
          <cell r="KW1188">
            <v>621.97092220967943</v>
          </cell>
          <cell r="KX1188">
            <v>842.27917742487875</v>
          </cell>
          <cell r="KY1188">
            <v>916.78390341955969</v>
          </cell>
          <cell r="KZ1188">
            <v>807.50968250327651</v>
          </cell>
          <cell r="LA1188">
            <v>463.65697639934558</v>
          </cell>
        </row>
        <row r="1734">
          <cell r="N1734">
            <v>1411.2719429857464</v>
          </cell>
        </row>
        <row r="1735">
          <cell r="N1735">
            <v>820.71192798199547</v>
          </cell>
        </row>
        <row r="1736">
          <cell r="N1736">
            <v>404.479744936234</v>
          </cell>
        </row>
        <row r="1796">
          <cell r="JX1796">
            <v>2420.8115832784561</v>
          </cell>
          <cell r="JY1796">
            <v>2817.0143949374183</v>
          </cell>
          <cell r="JZ1796">
            <v>2583.8217193667501</v>
          </cell>
          <cell r="KA1796">
            <v>2475.9406567952492</v>
          </cell>
          <cell r="KB1796">
            <v>2371.5715240365316</v>
          </cell>
          <cell r="KC1796">
            <v>2265.8870152628056</v>
          </cell>
          <cell r="KD1796">
            <v>2163.0832757852581</v>
          </cell>
          <cell r="KE1796">
            <v>2064.5806340718009</v>
          </cell>
          <cell r="KF1796">
            <v>1970.3307411301353</v>
          </cell>
          <cell r="KG1796">
            <v>1893.3198547847046</v>
          </cell>
          <cell r="KH1796">
            <v>2849.9921370426346</v>
          </cell>
          <cell r="KI1796">
            <v>2847.3224386018192</v>
          </cell>
          <cell r="KJ1796">
            <v>2986.9625898447102</v>
          </cell>
          <cell r="KK1796">
            <v>3189.9092326250789</v>
          </cell>
          <cell r="KL1796">
            <v>3329.6719398214809</v>
          </cell>
          <cell r="KM1796">
            <v>3295.2117477928523</v>
          </cell>
          <cell r="KN1796">
            <v>3138.8486699587183</v>
          </cell>
          <cell r="KO1796">
            <v>2983.520184520843</v>
          </cell>
          <cell r="KP1796">
            <v>2860.4973523422987</v>
          </cell>
          <cell r="KQ1796">
            <v>2781.1726163716471</v>
          </cell>
          <cell r="KR1796">
            <v>3007.1949345970647</v>
          </cell>
          <cell r="KS1796">
            <v>3049.8716357452467</v>
          </cell>
          <cell r="KT1796">
            <v>3133.244165948046</v>
          </cell>
          <cell r="KU1796">
            <v>3288.4549935239088</v>
          </cell>
          <cell r="KV1796">
            <v>3469.043695989903</v>
          </cell>
          <cell r="KW1796">
            <v>3621.9520969647492</v>
          </cell>
          <cell r="KX1796">
            <v>3696.9217771454055</v>
          </cell>
          <cell r="KY1796">
            <v>3696.4345649076727</v>
          </cell>
          <cell r="KZ1796">
            <v>3672.0293538170167</v>
          </cell>
          <cell r="LA1796">
            <v>3626.9615298810877</v>
          </cell>
        </row>
        <row r="2163">
          <cell r="N2163">
            <v>172.81430065449953</v>
          </cell>
          <cell r="JX2163">
            <v>0</v>
          </cell>
          <cell r="JY2163">
            <v>0</v>
          </cell>
          <cell r="JZ2163">
            <v>0</v>
          </cell>
          <cell r="KA2163">
            <v>0</v>
          </cell>
          <cell r="KB2163">
            <v>0</v>
          </cell>
          <cell r="KC2163">
            <v>0</v>
          </cell>
          <cell r="KD2163">
            <v>0</v>
          </cell>
          <cell r="KE2163">
            <v>0</v>
          </cell>
          <cell r="KF2163">
            <v>0</v>
          </cell>
          <cell r="KG2163">
            <v>0</v>
          </cell>
          <cell r="KH2163">
            <v>0</v>
          </cell>
          <cell r="KI2163">
            <v>0</v>
          </cell>
          <cell r="KJ2163">
            <v>0</v>
          </cell>
          <cell r="KK2163">
            <v>0</v>
          </cell>
          <cell r="KL2163">
            <v>0</v>
          </cell>
          <cell r="KM2163">
            <v>0</v>
          </cell>
          <cell r="KN2163">
            <v>0</v>
          </cell>
          <cell r="KO2163">
            <v>0</v>
          </cell>
          <cell r="KP2163">
            <v>0</v>
          </cell>
          <cell r="KQ2163">
            <v>0</v>
          </cell>
          <cell r="KR2163">
            <v>0</v>
          </cell>
          <cell r="KS2163">
            <v>0</v>
          </cell>
          <cell r="KT2163">
            <v>0</v>
          </cell>
          <cell r="KU2163">
            <v>0</v>
          </cell>
          <cell r="KV2163">
            <v>0</v>
          </cell>
          <cell r="KW2163">
            <v>0</v>
          </cell>
          <cell r="KX2163">
            <v>0</v>
          </cell>
          <cell r="KY2163">
            <v>0</v>
          </cell>
          <cell r="KZ2163">
            <v>0</v>
          </cell>
          <cell r="LA2163">
            <v>0</v>
          </cell>
        </row>
        <row r="2226">
          <cell r="N2226">
            <v>376.49738567366785</v>
          </cell>
          <cell r="JX2226">
            <v>0</v>
          </cell>
          <cell r="JY2226">
            <v>0</v>
          </cell>
          <cell r="JZ2226">
            <v>0</v>
          </cell>
          <cell r="KA2226">
            <v>0</v>
          </cell>
          <cell r="KB2226">
            <v>0</v>
          </cell>
          <cell r="KC2226">
            <v>0</v>
          </cell>
          <cell r="KD2226">
            <v>0</v>
          </cell>
          <cell r="KE2226">
            <v>0</v>
          </cell>
          <cell r="KF2226">
            <v>0</v>
          </cell>
          <cell r="KG2226">
            <v>0</v>
          </cell>
          <cell r="KH2226">
            <v>0</v>
          </cell>
          <cell r="KI2226">
            <v>0</v>
          </cell>
          <cell r="KJ2226">
            <v>0</v>
          </cell>
          <cell r="KK2226">
            <v>0</v>
          </cell>
          <cell r="KL2226">
            <v>0</v>
          </cell>
          <cell r="KM2226">
            <v>0</v>
          </cell>
          <cell r="KN2226">
            <v>0</v>
          </cell>
          <cell r="KO2226">
            <v>0</v>
          </cell>
          <cell r="KP2226">
            <v>0</v>
          </cell>
          <cell r="KQ2226">
            <v>0</v>
          </cell>
          <cell r="KR2226">
            <v>0</v>
          </cell>
          <cell r="KS2226">
            <v>0</v>
          </cell>
          <cell r="KT2226">
            <v>0</v>
          </cell>
          <cell r="KU2226">
            <v>0</v>
          </cell>
          <cell r="KV2226">
            <v>0</v>
          </cell>
          <cell r="KW2226">
            <v>0</v>
          </cell>
          <cell r="KX2226">
            <v>0</v>
          </cell>
          <cell r="KY2226">
            <v>0</v>
          </cell>
          <cell r="KZ2226">
            <v>0</v>
          </cell>
          <cell r="LA2226">
            <v>0</v>
          </cell>
        </row>
      </sheetData>
      <sheetData sheetId="40"/>
      <sheetData sheetId="41"/>
      <sheetData sheetId="42"/>
      <sheetData sheetId="43"/>
      <sheetData sheetId="44">
        <row r="316">
          <cell r="JW316">
            <v>7280.6399999999994</v>
          </cell>
        </row>
        <row r="612">
          <cell r="JX612">
            <v>4079.0135640984909</v>
          </cell>
          <cell r="JY612">
            <v>4463.6159999999991</v>
          </cell>
          <cell r="JZ612">
            <v>4592.111219512195</v>
          </cell>
          <cell r="KA612">
            <v>4193.5354146341451</v>
          </cell>
          <cell r="KB612">
            <v>3911.3092682926817</v>
          </cell>
          <cell r="KC612">
            <v>4040.6072195121947</v>
          </cell>
          <cell r="KD612">
            <v>4310.3016585365849</v>
          </cell>
          <cell r="KE612">
            <v>4814.3601951219507</v>
          </cell>
          <cell r="KF612">
            <v>5347.0899512195119</v>
          </cell>
          <cell r="KG612">
            <v>5384.0850731707314</v>
          </cell>
          <cell r="KH612">
            <v>5049.0942439024393</v>
          </cell>
          <cell r="KI612">
            <v>4524.3184390243896</v>
          </cell>
          <cell r="KJ612">
            <v>4027.903663789868</v>
          </cell>
          <cell r="KK612">
            <v>3766.4505996247649</v>
          </cell>
          <cell r="KL612">
            <v>3431.9378611632264</v>
          </cell>
          <cell r="KM612">
            <v>3004.2201816135084</v>
          </cell>
          <cell r="KN612">
            <v>2461.1118709193242</v>
          </cell>
          <cell r="KO612">
            <v>2079.470192870544</v>
          </cell>
          <cell r="KP612">
            <v>1832.0098221388366</v>
          </cell>
          <cell r="KQ612">
            <v>1673.98942739212</v>
          </cell>
          <cell r="KR612">
            <v>1421.6826956848029</v>
          </cell>
          <cell r="KS612">
            <v>998.70892908067526</v>
          </cell>
          <cell r="KT612">
            <v>651.61500337711061</v>
          </cell>
          <cell r="KU612">
            <v>271.96537035647276</v>
          </cell>
          <cell r="KV612">
            <v>98.418407504690407</v>
          </cell>
          <cell r="KW612">
            <v>107.93469118198874</v>
          </cell>
          <cell r="KX612">
            <v>150.25711069418387</v>
          </cell>
          <cell r="KY612">
            <v>300.51422138836773</v>
          </cell>
          <cell r="KZ612">
            <v>375.64277673545962</v>
          </cell>
          <cell r="LA612">
            <v>300.51422138836773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0 test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AME_Met_2020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s_E_AMS_KP"/>
      <sheetName val="Bilans_E_AMS_KP_2023"/>
      <sheetName val="Bilans_E_AMS_KP_2025"/>
      <sheetName val="Bilans_E_AMS_KP_2028"/>
      <sheetName val="Bilans_E_AMS_KP_2030"/>
      <sheetName val="Bilans_E_AMS_KP_2033"/>
      <sheetName val="Bilans_E_AMS_KP_2035"/>
      <sheetName val="Bilans_E_AMS_KP_2038"/>
      <sheetName val="Bilans_E_AMS_KP_2040"/>
      <sheetName val="Bilans_E_AMS_KP_2043"/>
      <sheetName val="Bilans_E_AMS_KP_2045"/>
      <sheetName val="Bilans_E_AMS_KP_2050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KP_AMS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</sheetNames>
    <sheetDataSet>
      <sheetData sheetId="0"/>
      <sheetData sheetId="1"/>
      <sheetData sheetId="2">
        <row r="12">
          <cell r="N12">
            <v>9.9244961880322116</v>
          </cell>
          <cell r="S12">
            <v>11.911796565870185</v>
          </cell>
          <cell r="X12">
            <v>13.031577807987137</v>
          </cell>
          <cell r="AC12">
            <v>17.347880306926783</v>
          </cell>
          <cell r="AH12">
            <v>18.593158048802927</v>
          </cell>
          <cell r="AM12">
            <v>19.881539784064241</v>
          </cell>
        </row>
      </sheetData>
      <sheetData sheetId="3">
        <row r="12">
          <cell r="I12">
            <v>4.9342958979932492</v>
          </cell>
          <cell r="N12">
            <v>7.8452535058930799</v>
          </cell>
          <cell r="S12">
            <v>7.0043133315992261</v>
          </cell>
          <cell r="X12">
            <v>8.5549511918254506</v>
          </cell>
          <cell r="AC12">
            <v>10.822944189148718</v>
          </cell>
          <cell r="AH12">
            <v>11.328159254120227</v>
          </cell>
          <cell r="AM12">
            <v>11.837166275823565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workbookViewId="0"/>
  </sheetViews>
  <sheetFormatPr baseColWidth="10" defaultRowHeight="15" x14ac:dyDescent="0.25"/>
  <sheetData>
    <row r="1" spans="1:11" ht="15.75" thickBot="1" x14ac:dyDescent="0.3">
      <c r="A1" s="1"/>
      <c r="B1" s="2"/>
      <c r="C1" s="3">
        <v>2020</v>
      </c>
      <c r="D1" s="3">
        <v>2025</v>
      </c>
      <c r="E1" s="3">
        <v>2030</v>
      </c>
      <c r="F1" s="3">
        <v>2035</v>
      </c>
      <c r="G1" s="3">
        <v>2040</v>
      </c>
      <c r="H1" s="3">
        <v>2045</v>
      </c>
      <c r="I1" s="3">
        <v>2050</v>
      </c>
      <c r="J1" s="3">
        <v>2055</v>
      </c>
      <c r="K1" s="4">
        <v>2060</v>
      </c>
    </row>
    <row r="2" spans="1:11" ht="15.75" thickBot="1" x14ac:dyDescent="0.3">
      <c r="A2" s="110" t="s">
        <v>0</v>
      </c>
      <c r="B2" s="6" t="s">
        <v>1</v>
      </c>
      <c r="C2" s="7">
        <v>1160</v>
      </c>
      <c r="D2" s="8">
        <v>949</v>
      </c>
      <c r="E2" s="8">
        <v>738</v>
      </c>
      <c r="F2" s="8">
        <v>702</v>
      </c>
      <c r="G2" s="8">
        <v>666</v>
      </c>
      <c r="H2" s="8">
        <v>631</v>
      </c>
      <c r="I2" s="8">
        <v>595</v>
      </c>
      <c r="J2" s="8">
        <v>595</v>
      </c>
      <c r="K2" s="9">
        <v>595</v>
      </c>
    </row>
    <row r="3" spans="1:11" ht="15.75" thickBot="1" x14ac:dyDescent="0.3">
      <c r="A3" s="111"/>
      <c r="B3" s="6" t="s">
        <v>2</v>
      </c>
      <c r="C3" s="8">
        <v>26</v>
      </c>
      <c r="D3" s="8">
        <v>20</v>
      </c>
      <c r="E3" s="8">
        <v>14</v>
      </c>
      <c r="F3" s="8">
        <v>13</v>
      </c>
      <c r="G3" s="8">
        <v>12</v>
      </c>
      <c r="H3" s="8">
        <v>11</v>
      </c>
      <c r="I3" s="8">
        <v>10</v>
      </c>
      <c r="J3" s="8">
        <v>10</v>
      </c>
      <c r="K3" s="9">
        <v>10</v>
      </c>
    </row>
    <row r="4" spans="1:11" ht="18.75" thickBot="1" x14ac:dyDescent="0.3">
      <c r="A4" s="112"/>
      <c r="B4" s="6" t="s">
        <v>3</v>
      </c>
      <c r="C4" s="8">
        <v>25</v>
      </c>
      <c r="D4" s="8">
        <v>25</v>
      </c>
      <c r="E4" s="8">
        <v>25</v>
      </c>
      <c r="F4" s="8">
        <v>25</v>
      </c>
      <c r="G4" s="8">
        <v>25</v>
      </c>
      <c r="H4" s="8">
        <v>25</v>
      </c>
      <c r="I4" s="8">
        <v>25</v>
      </c>
      <c r="J4" s="8">
        <v>25</v>
      </c>
      <c r="K4" s="9">
        <v>25</v>
      </c>
    </row>
    <row r="5" spans="1:11" ht="15.75" thickBot="1" x14ac:dyDescent="0.3">
      <c r="A5" s="113" t="s">
        <v>4</v>
      </c>
      <c r="B5" s="6" t="s">
        <v>1</v>
      </c>
      <c r="C5" s="7">
        <v>1392</v>
      </c>
      <c r="D5" s="7">
        <v>1139</v>
      </c>
      <c r="E5" s="8">
        <v>886</v>
      </c>
      <c r="F5" s="8">
        <v>842</v>
      </c>
      <c r="G5" s="8">
        <v>799</v>
      </c>
      <c r="H5" s="8">
        <v>757</v>
      </c>
      <c r="I5" s="8">
        <v>714</v>
      </c>
      <c r="J5" s="8">
        <v>714</v>
      </c>
      <c r="K5" s="9">
        <v>714</v>
      </c>
    </row>
    <row r="6" spans="1:11" ht="15.75" thickBot="1" x14ac:dyDescent="0.3">
      <c r="A6" s="114"/>
      <c r="B6" s="6" t="s">
        <v>2</v>
      </c>
      <c r="C6" s="8">
        <v>28</v>
      </c>
      <c r="D6" s="8">
        <v>23</v>
      </c>
      <c r="E6" s="8">
        <v>18</v>
      </c>
      <c r="F6" s="8">
        <v>17</v>
      </c>
      <c r="G6" s="8">
        <v>16</v>
      </c>
      <c r="H6" s="8">
        <v>15</v>
      </c>
      <c r="I6" s="8">
        <v>14</v>
      </c>
      <c r="J6" s="8">
        <v>14</v>
      </c>
      <c r="K6" s="9">
        <v>14</v>
      </c>
    </row>
    <row r="7" spans="1:11" ht="18.75" thickBot="1" x14ac:dyDescent="0.3">
      <c r="A7" s="115"/>
      <c r="B7" s="6" t="s">
        <v>3</v>
      </c>
      <c r="C7" s="8">
        <v>25</v>
      </c>
      <c r="D7" s="8">
        <v>25</v>
      </c>
      <c r="E7" s="8">
        <v>25</v>
      </c>
      <c r="F7" s="8">
        <v>25</v>
      </c>
      <c r="G7" s="8">
        <v>25</v>
      </c>
      <c r="H7" s="8">
        <v>25</v>
      </c>
      <c r="I7" s="8">
        <v>25</v>
      </c>
      <c r="J7" s="8">
        <v>25</v>
      </c>
      <c r="K7" s="9">
        <v>25</v>
      </c>
    </row>
    <row r="8" spans="1:11" ht="15.75" thickBot="1" x14ac:dyDescent="0.3">
      <c r="A8" s="110" t="s">
        <v>5</v>
      </c>
      <c r="B8" s="6" t="s">
        <v>1</v>
      </c>
      <c r="C8" s="8">
        <v>818</v>
      </c>
      <c r="D8" s="8">
        <v>719</v>
      </c>
      <c r="E8" s="8">
        <v>620</v>
      </c>
      <c r="F8" s="8">
        <v>574</v>
      </c>
      <c r="G8" s="8">
        <v>528</v>
      </c>
      <c r="H8" s="8">
        <v>481</v>
      </c>
      <c r="I8" s="8">
        <v>435</v>
      </c>
      <c r="J8" s="8">
        <v>435</v>
      </c>
      <c r="K8" s="9">
        <v>435</v>
      </c>
    </row>
    <row r="9" spans="1:11" ht="15.75" thickBot="1" x14ac:dyDescent="0.3">
      <c r="A9" s="111"/>
      <c r="B9" s="6" t="s">
        <v>2</v>
      </c>
      <c r="C9" s="8">
        <v>24</v>
      </c>
      <c r="D9" s="8">
        <v>18</v>
      </c>
      <c r="E9" s="8">
        <v>13</v>
      </c>
      <c r="F9" s="8">
        <v>12</v>
      </c>
      <c r="G9" s="8">
        <v>11</v>
      </c>
      <c r="H9" s="8">
        <v>10</v>
      </c>
      <c r="I9" s="8">
        <v>9</v>
      </c>
      <c r="J9" s="8">
        <v>9</v>
      </c>
      <c r="K9" s="9">
        <v>9</v>
      </c>
    </row>
    <row r="10" spans="1:11" ht="18.75" thickBot="1" x14ac:dyDescent="0.3">
      <c r="A10" s="112"/>
      <c r="B10" s="6" t="s">
        <v>3</v>
      </c>
      <c r="C10" s="8">
        <v>25</v>
      </c>
      <c r="D10" s="8">
        <v>25</v>
      </c>
      <c r="E10" s="8">
        <v>25</v>
      </c>
      <c r="F10" s="8">
        <v>25</v>
      </c>
      <c r="G10" s="8">
        <v>25</v>
      </c>
      <c r="H10" s="8">
        <v>25</v>
      </c>
      <c r="I10" s="8">
        <v>25</v>
      </c>
      <c r="J10" s="8">
        <v>25</v>
      </c>
      <c r="K10" s="9">
        <v>25</v>
      </c>
    </row>
    <row r="11" spans="1:11" ht="15.75" thickBot="1" x14ac:dyDescent="0.3">
      <c r="A11" s="113" t="s">
        <v>6</v>
      </c>
      <c r="B11" s="6" t="s">
        <v>1</v>
      </c>
      <c r="C11" s="7">
        <v>1078</v>
      </c>
      <c r="D11" s="8">
        <v>948</v>
      </c>
      <c r="E11" s="8">
        <v>818</v>
      </c>
      <c r="F11" s="8">
        <v>757</v>
      </c>
      <c r="G11" s="8">
        <v>696</v>
      </c>
      <c r="H11" s="8">
        <v>635</v>
      </c>
      <c r="I11" s="8">
        <v>574</v>
      </c>
      <c r="J11" s="8">
        <v>574</v>
      </c>
      <c r="K11" s="9">
        <v>574</v>
      </c>
    </row>
    <row r="12" spans="1:11" ht="15.75" thickBot="1" x14ac:dyDescent="0.3">
      <c r="A12" s="114"/>
      <c r="B12" s="6" t="s">
        <v>2</v>
      </c>
      <c r="C12" s="8">
        <v>29</v>
      </c>
      <c r="D12" s="8">
        <v>23</v>
      </c>
      <c r="E12" s="8">
        <v>16</v>
      </c>
      <c r="F12" s="8">
        <v>15</v>
      </c>
      <c r="G12" s="8">
        <v>14</v>
      </c>
      <c r="H12" s="8">
        <v>13</v>
      </c>
      <c r="I12" s="8">
        <v>11</v>
      </c>
      <c r="J12" s="8">
        <v>11</v>
      </c>
      <c r="K12" s="9">
        <v>11</v>
      </c>
    </row>
    <row r="13" spans="1:11" ht="18.75" thickBot="1" x14ac:dyDescent="0.3">
      <c r="A13" s="115"/>
      <c r="B13" s="6" t="s">
        <v>3</v>
      </c>
      <c r="C13" s="8">
        <v>25</v>
      </c>
      <c r="D13" s="8">
        <v>25</v>
      </c>
      <c r="E13" s="8">
        <v>25</v>
      </c>
      <c r="F13" s="8">
        <v>25</v>
      </c>
      <c r="G13" s="8">
        <v>25</v>
      </c>
      <c r="H13" s="8">
        <v>25</v>
      </c>
      <c r="I13" s="8">
        <v>25</v>
      </c>
      <c r="J13" s="8">
        <v>25</v>
      </c>
      <c r="K13" s="9">
        <v>25</v>
      </c>
    </row>
    <row r="14" spans="1:11" ht="15.75" thickBot="1" x14ac:dyDescent="0.3">
      <c r="A14" s="110" t="s">
        <v>7</v>
      </c>
      <c r="B14" s="6" t="s">
        <v>1</v>
      </c>
      <c r="C14" s="7">
        <v>1510</v>
      </c>
      <c r="D14" s="7">
        <v>1458</v>
      </c>
      <c r="E14" s="7">
        <v>1405</v>
      </c>
      <c r="F14" s="7">
        <v>1366</v>
      </c>
      <c r="G14" s="7">
        <v>1328</v>
      </c>
      <c r="H14" s="7">
        <v>1289</v>
      </c>
      <c r="I14" s="7">
        <v>1250</v>
      </c>
      <c r="J14" s="7">
        <v>1250</v>
      </c>
      <c r="K14" s="10">
        <v>1250</v>
      </c>
    </row>
    <row r="15" spans="1:11" ht="15.75" thickBot="1" x14ac:dyDescent="0.3">
      <c r="A15" s="111"/>
      <c r="B15" s="6" t="s">
        <v>2</v>
      </c>
      <c r="C15" s="8">
        <v>48</v>
      </c>
      <c r="D15" s="8">
        <v>43</v>
      </c>
      <c r="E15" s="8">
        <v>39</v>
      </c>
      <c r="F15" s="8">
        <v>36</v>
      </c>
      <c r="G15" s="8">
        <v>33</v>
      </c>
      <c r="H15" s="8">
        <v>30</v>
      </c>
      <c r="I15" s="8">
        <v>28</v>
      </c>
      <c r="J15" s="8">
        <v>28</v>
      </c>
      <c r="K15" s="9">
        <v>28</v>
      </c>
    </row>
    <row r="16" spans="1:11" ht="18.75" thickBot="1" x14ac:dyDescent="0.3">
      <c r="A16" s="112"/>
      <c r="B16" s="6" t="s">
        <v>3</v>
      </c>
      <c r="C16" s="8">
        <v>25</v>
      </c>
      <c r="D16" s="8">
        <v>25</v>
      </c>
      <c r="E16" s="8">
        <v>25</v>
      </c>
      <c r="F16" s="8">
        <v>25</v>
      </c>
      <c r="G16" s="8">
        <v>25</v>
      </c>
      <c r="H16" s="8">
        <v>25</v>
      </c>
      <c r="I16" s="8">
        <v>25</v>
      </c>
      <c r="J16" s="8">
        <v>25</v>
      </c>
      <c r="K16" s="9">
        <v>25</v>
      </c>
    </row>
    <row r="17" spans="1:11" ht="18.75" thickBot="1" x14ac:dyDescent="0.3">
      <c r="A17" s="5" t="s">
        <v>8</v>
      </c>
      <c r="B17" s="6" t="s">
        <v>1</v>
      </c>
      <c r="C17" s="7">
        <f>3100+500</f>
        <v>3600</v>
      </c>
      <c r="D17" s="7">
        <f>2650+500</f>
        <v>3150</v>
      </c>
      <c r="E17" s="7">
        <v>2700</v>
      </c>
      <c r="F17" s="7">
        <v>2700</v>
      </c>
      <c r="G17" s="7">
        <v>2500</v>
      </c>
      <c r="H17" s="7">
        <v>2400</v>
      </c>
      <c r="I17" s="7">
        <v>2300</v>
      </c>
      <c r="J17" s="7">
        <v>2300</v>
      </c>
      <c r="K17" s="7">
        <v>2300</v>
      </c>
    </row>
    <row r="18" spans="1:11" ht="18.75" thickBot="1" x14ac:dyDescent="0.3">
      <c r="A18" s="5" t="s">
        <v>9</v>
      </c>
      <c r="B18" s="6" t="s">
        <v>2</v>
      </c>
      <c r="C18" s="8">
        <v>80</v>
      </c>
      <c r="D18" s="8">
        <v>69</v>
      </c>
      <c r="E18" s="8">
        <v>58</v>
      </c>
      <c r="F18" s="8" t="s">
        <v>10</v>
      </c>
      <c r="G18" s="8">
        <v>47</v>
      </c>
      <c r="H18" s="8" t="s">
        <v>11</v>
      </c>
      <c r="I18" s="8">
        <v>36</v>
      </c>
      <c r="J18" s="8">
        <v>36</v>
      </c>
      <c r="K18" s="9">
        <v>36</v>
      </c>
    </row>
    <row r="19" spans="1:11" ht="18.75" thickBot="1" x14ac:dyDescent="0.3">
      <c r="A19" s="11"/>
      <c r="B19" s="6" t="s">
        <v>3</v>
      </c>
      <c r="C19" s="8">
        <v>25</v>
      </c>
      <c r="D19" s="8">
        <v>25</v>
      </c>
      <c r="E19" s="8">
        <v>25</v>
      </c>
      <c r="F19" s="8">
        <v>25</v>
      </c>
      <c r="G19" s="8">
        <v>25</v>
      </c>
      <c r="H19" s="8">
        <v>25</v>
      </c>
      <c r="I19" s="8">
        <v>25</v>
      </c>
      <c r="J19" s="8">
        <v>25</v>
      </c>
      <c r="K19" s="9">
        <v>25</v>
      </c>
    </row>
    <row r="20" spans="1:11" ht="15.75" thickBot="1" x14ac:dyDescent="0.3">
      <c r="A20" s="110" t="s">
        <v>12</v>
      </c>
      <c r="B20" s="6" t="s">
        <v>1</v>
      </c>
      <c r="C20" s="7">
        <v>4100</v>
      </c>
      <c r="D20" s="8">
        <v>3650</v>
      </c>
      <c r="E20" s="7">
        <v>3200</v>
      </c>
      <c r="F20" s="7">
        <v>3125</v>
      </c>
      <c r="G20" s="7">
        <v>3050</v>
      </c>
      <c r="H20" s="7">
        <v>2975</v>
      </c>
      <c r="I20" s="7">
        <v>2900</v>
      </c>
      <c r="J20" s="7">
        <v>2900</v>
      </c>
      <c r="K20" s="10">
        <v>2900</v>
      </c>
    </row>
    <row r="21" spans="1:11" ht="15.75" thickBot="1" x14ac:dyDescent="0.3">
      <c r="A21" s="111"/>
      <c r="B21" s="6" t="s">
        <v>2</v>
      </c>
      <c r="C21" s="8">
        <v>110</v>
      </c>
      <c r="D21" s="8">
        <v>95</v>
      </c>
      <c r="E21" s="8">
        <v>80</v>
      </c>
      <c r="F21" s="8">
        <v>70</v>
      </c>
      <c r="G21" s="8">
        <v>60</v>
      </c>
      <c r="H21" s="8">
        <v>55</v>
      </c>
      <c r="I21" s="8">
        <v>50</v>
      </c>
      <c r="J21" s="8">
        <v>50</v>
      </c>
      <c r="K21" s="9">
        <v>50</v>
      </c>
    </row>
    <row r="22" spans="1:11" ht="18.75" thickBot="1" x14ac:dyDescent="0.3">
      <c r="A22" s="111"/>
      <c r="B22" s="12" t="s">
        <v>3</v>
      </c>
      <c r="C22" s="8">
        <v>25</v>
      </c>
      <c r="D22" s="8">
        <v>25</v>
      </c>
      <c r="E22" s="8">
        <v>25</v>
      </c>
      <c r="F22" s="8">
        <v>25</v>
      </c>
      <c r="G22" s="8">
        <v>25</v>
      </c>
      <c r="H22" s="8">
        <v>25</v>
      </c>
      <c r="I22" s="8">
        <v>25</v>
      </c>
      <c r="J22" s="8">
        <v>25</v>
      </c>
      <c r="K22" s="9">
        <v>25</v>
      </c>
    </row>
    <row r="23" spans="1:11" ht="15.75" thickBot="1" x14ac:dyDescent="0.3">
      <c r="A23" s="108" t="s">
        <v>23</v>
      </c>
      <c r="B23" s="6" t="s">
        <v>16</v>
      </c>
      <c r="C23" s="7">
        <v>5175</v>
      </c>
      <c r="D23" s="7">
        <f>C23</f>
        <v>5175</v>
      </c>
      <c r="E23" s="7">
        <f t="shared" ref="E23:K23" si="0">D23</f>
        <v>5175</v>
      </c>
      <c r="F23" s="7">
        <f t="shared" si="0"/>
        <v>5175</v>
      </c>
      <c r="G23" s="7">
        <f t="shared" si="0"/>
        <v>5175</v>
      </c>
      <c r="H23" s="7">
        <f t="shared" si="0"/>
        <v>5175</v>
      </c>
      <c r="I23" s="7">
        <f t="shared" si="0"/>
        <v>5175</v>
      </c>
      <c r="J23" s="7">
        <f t="shared" si="0"/>
        <v>5175</v>
      </c>
      <c r="K23" s="7">
        <f t="shared" si="0"/>
        <v>5175</v>
      </c>
    </row>
    <row r="24" spans="1:11" ht="18.75" thickBot="1" x14ac:dyDescent="0.3">
      <c r="A24" s="109" t="s">
        <v>15</v>
      </c>
      <c r="B24" s="6" t="s">
        <v>17</v>
      </c>
      <c r="C24" s="8">
        <v>115</v>
      </c>
      <c r="D24" s="7">
        <f t="shared" ref="D24:K24" si="1">C24</f>
        <v>115</v>
      </c>
      <c r="E24" s="7">
        <f t="shared" si="1"/>
        <v>115</v>
      </c>
      <c r="F24" s="7">
        <f t="shared" si="1"/>
        <v>115</v>
      </c>
      <c r="G24" s="7">
        <f t="shared" si="1"/>
        <v>115</v>
      </c>
      <c r="H24" s="7">
        <f t="shared" si="1"/>
        <v>115</v>
      </c>
      <c r="I24" s="7">
        <f t="shared" si="1"/>
        <v>115</v>
      </c>
      <c r="J24" s="7">
        <f t="shared" si="1"/>
        <v>115</v>
      </c>
      <c r="K24" s="7">
        <f t="shared" si="1"/>
        <v>115</v>
      </c>
    </row>
    <row r="25" spans="1:11" ht="18.75" thickBot="1" x14ac:dyDescent="0.3">
      <c r="A25" s="109"/>
      <c r="B25" s="12" t="s">
        <v>18</v>
      </c>
      <c r="C25" s="8">
        <v>10</v>
      </c>
      <c r="D25" s="7">
        <f t="shared" ref="D25:K25" si="2">C25</f>
        <v>10</v>
      </c>
      <c r="E25" s="7">
        <f t="shared" si="2"/>
        <v>10</v>
      </c>
      <c r="F25" s="7">
        <f t="shared" si="2"/>
        <v>10</v>
      </c>
      <c r="G25" s="7">
        <f t="shared" si="2"/>
        <v>10</v>
      </c>
      <c r="H25" s="7">
        <f t="shared" si="2"/>
        <v>10</v>
      </c>
      <c r="I25" s="7">
        <f t="shared" si="2"/>
        <v>10</v>
      </c>
      <c r="J25" s="7">
        <f t="shared" si="2"/>
        <v>10</v>
      </c>
      <c r="K25" s="7">
        <f t="shared" si="2"/>
        <v>10</v>
      </c>
    </row>
    <row r="26" spans="1:11" ht="15.75" thickBot="1" x14ac:dyDescent="0.3">
      <c r="A26" s="109"/>
      <c r="B26" s="6" t="s">
        <v>19</v>
      </c>
      <c r="C26" s="7" t="s">
        <v>20</v>
      </c>
      <c r="D26" s="7" t="str">
        <f t="shared" ref="D26:K26" si="3">C26</f>
        <v>76,5%</v>
      </c>
      <c r="E26" s="7" t="str">
        <f t="shared" si="3"/>
        <v>76,5%</v>
      </c>
      <c r="F26" s="7" t="str">
        <f t="shared" si="3"/>
        <v>76,5%</v>
      </c>
      <c r="G26" s="7" t="str">
        <f t="shared" si="3"/>
        <v>76,5%</v>
      </c>
      <c r="H26" s="7" t="str">
        <f t="shared" si="3"/>
        <v>76,5%</v>
      </c>
      <c r="I26" s="7" t="str">
        <f t="shared" si="3"/>
        <v>76,5%</v>
      </c>
      <c r="J26" s="7" t="str">
        <f t="shared" si="3"/>
        <v>76,5%</v>
      </c>
      <c r="K26" s="7" t="str">
        <f t="shared" si="3"/>
        <v>76,5%</v>
      </c>
    </row>
    <row r="27" spans="1:11" ht="15.75" thickBot="1" x14ac:dyDescent="0.3">
      <c r="A27" s="109"/>
      <c r="B27" s="6" t="s">
        <v>21</v>
      </c>
      <c r="C27" s="8" t="s">
        <v>22</v>
      </c>
      <c r="D27" s="7" t="str">
        <f t="shared" ref="D27:K27" si="4">C27</f>
        <v>60 ans</v>
      </c>
      <c r="E27" s="7" t="str">
        <f t="shared" si="4"/>
        <v>60 ans</v>
      </c>
      <c r="F27" s="7" t="str">
        <f t="shared" si="4"/>
        <v>60 ans</v>
      </c>
      <c r="G27" s="7" t="str">
        <f t="shared" si="4"/>
        <v>60 ans</v>
      </c>
      <c r="H27" s="7" t="str">
        <f t="shared" si="4"/>
        <v>60 ans</v>
      </c>
      <c r="I27" s="7" t="str">
        <f t="shared" si="4"/>
        <v>60 ans</v>
      </c>
      <c r="J27" s="7" t="str">
        <f t="shared" si="4"/>
        <v>60 ans</v>
      </c>
      <c r="K27" s="7" t="str">
        <f t="shared" si="4"/>
        <v>60 ans</v>
      </c>
    </row>
    <row r="28" spans="1:11" ht="15.75" thickBot="1" x14ac:dyDescent="0.3">
      <c r="A28" s="17"/>
      <c r="B28" s="6" t="s">
        <v>24</v>
      </c>
      <c r="C28" s="8"/>
      <c r="D28" s="8"/>
      <c r="E28" s="8"/>
      <c r="F28" s="8"/>
      <c r="G28" s="8"/>
      <c r="H28" s="8"/>
      <c r="I28" s="8"/>
      <c r="J28" s="8"/>
      <c r="K28" s="9"/>
    </row>
    <row r="29" spans="1:11" ht="15.75" thickBot="1" x14ac:dyDescent="0.3">
      <c r="A29" s="108" t="s">
        <v>25</v>
      </c>
      <c r="B29" s="6" t="s">
        <v>16</v>
      </c>
      <c r="C29" s="7">
        <v>541</v>
      </c>
      <c r="D29" s="7">
        <f>C29</f>
        <v>541</v>
      </c>
      <c r="E29" s="7">
        <f t="shared" ref="E29:K29" si="5">D29</f>
        <v>541</v>
      </c>
      <c r="F29" s="7">
        <f t="shared" si="5"/>
        <v>541</v>
      </c>
      <c r="G29" s="7">
        <f t="shared" si="5"/>
        <v>541</v>
      </c>
      <c r="H29" s="7">
        <f t="shared" si="5"/>
        <v>541</v>
      </c>
      <c r="I29" s="7">
        <f t="shared" si="5"/>
        <v>541</v>
      </c>
      <c r="J29" s="7">
        <f t="shared" si="5"/>
        <v>541</v>
      </c>
      <c r="K29" s="7">
        <f t="shared" si="5"/>
        <v>541</v>
      </c>
    </row>
    <row r="30" spans="1:11" ht="18.75" thickBot="1" x14ac:dyDescent="0.3">
      <c r="A30" s="109" t="s">
        <v>15</v>
      </c>
      <c r="B30" s="6" t="s">
        <v>17</v>
      </c>
      <c r="C30" s="8">
        <v>160</v>
      </c>
      <c r="D30" s="7">
        <f t="shared" ref="D30:K30" si="6">C30</f>
        <v>160</v>
      </c>
      <c r="E30" s="7">
        <f t="shared" si="6"/>
        <v>160</v>
      </c>
      <c r="F30" s="7">
        <f t="shared" si="6"/>
        <v>160</v>
      </c>
      <c r="G30" s="7">
        <f t="shared" si="6"/>
        <v>160</v>
      </c>
      <c r="H30" s="7">
        <f t="shared" si="6"/>
        <v>160</v>
      </c>
      <c r="I30" s="7">
        <f t="shared" si="6"/>
        <v>160</v>
      </c>
      <c r="J30" s="7">
        <f t="shared" si="6"/>
        <v>160</v>
      </c>
      <c r="K30" s="7">
        <f t="shared" si="6"/>
        <v>160</v>
      </c>
    </row>
    <row r="31" spans="1:11" ht="18.75" thickBot="1" x14ac:dyDescent="0.3">
      <c r="A31" s="109"/>
      <c r="B31" s="12" t="s">
        <v>18</v>
      </c>
      <c r="C31" s="8" t="s">
        <v>26</v>
      </c>
      <c r="D31" s="7" t="str">
        <f t="shared" ref="D31:K31" si="7">C31</f>
        <v>5,8</v>
      </c>
      <c r="E31" s="7" t="str">
        <f t="shared" si="7"/>
        <v>5,8</v>
      </c>
      <c r="F31" s="7" t="str">
        <f t="shared" si="7"/>
        <v>5,8</v>
      </c>
      <c r="G31" s="7" t="str">
        <f t="shared" si="7"/>
        <v>5,8</v>
      </c>
      <c r="H31" s="7" t="str">
        <f t="shared" si="7"/>
        <v>5,8</v>
      </c>
      <c r="I31" s="7" t="str">
        <f t="shared" si="7"/>
        <v>5,8</v>
      </c>
      <c r="J31" s="7" t="str">
        <f t="shared" si="7"/>
        <v>5,8</v>
      </c>
      <c r="K31" s="7" t="str">
        <f t="shared" si="7"/>
        <v>5,8</v>
      </c>
    </row>
    <row r="32" spans="1:11" ht="15.75" thickBot="1" x14ac:dyDescent="0.3">
      <c r="A32" s="109"/>
      <c r="B32" s="6" t="s">
        <v>19</v>
      </c>
      <c r="C32" s="7" t="s">
        <v>27</v>
      </c>
      <c r="D32" s="7" t="str">
        <f t="shared" ref="D32:K32" si="8">C32</f>
        <v>73,5%</v>
      </c>
      <c r="E32" s="7" t="str">
        <f t="shared" si="8"/>
        <v>73,5%</v>
      </c>
      <c r="F32" s="7" t="str">
        <f t="shared" si="8"/>
        <v>73,5%</v>
      </c>
      <c r="G32" s="7" t="str">
        <f t="shared" si="8"/>
        <v>73,5%</v>
      </c>
      <c r="H32" s="7" t="str">
        <f t="shared" si="8"/>
        <v>73,5%</v>
      </c>
      <c r="I32" s="7" t="str">
        <f t="shared" si="8"/>
        <v>73,5%</v>
      </c>
      <c r="J32" s="7" t="str">
        <f t="shared" si="8"/>
        <v>73,5%</v>
      </c>
      <c r="K32" s="7" t="str">
        <f t="shared" si="8"/>
        <v>73,5%</v>
      </c>
    </row>
    <row r="33" spans="1:11" ht="15.75" thickBot="1" x14ac:dyDescent="0.3">
      <c r="A33" s="109"/>
      <c r="B33" s="6" t="s">
        <v>21</v>
      </c>
      <c r="C33" s="8" t="s">
        <v>28</v>
      </c>
      <c r="D33" s="7" t="str">
        <f t="shared" ref="D33:K33" si="9">C33</f>
        <v>10 ans</v>
      </c>
      <c r="E33" s="7" t="str">
        <f t="shared" si="9"/>
        <v>10 ans</v>
      </c>
      <c r="F33" s="7" t="str">
        <f t="shared" si="9"/>
        <v>10 ans</v>
      </c>
      <c r="G33" s="7" t="str">
        <f t="shared" si="9"/>
        <v>10 ans</v>
      </c>
      <c r="H33" s="7" t="str">
        <f t="shared" si="9"/>
        <v>10 ans</v>
      </c>
      <c r="I33" s="7" t="str">
        <f t="shared" si="9"/>
        <v>10 ans</v>
      </c>
      <c r="J33" s="7" t="str">
        <f t="shared" si="9"/>
        <v>10 ans</v>
      </c>
      <c r="K33" s="7" t="str">
        <f t="shared" si="9"/>
        <v>10 ans</v>
      </c>
    </row>
    <row r="34" spans="1:11" ht="15.75" thickBot="1" x14ac:dyDescent="0.3">
      <c r="A34" s="17"/>
      <c r="B34" s="6" t="s">
        <v>24</v>
      </c>
      <c r="C34" s="8"/>
      <c r="D34" s="8"/>
      <c r="E34" s="8">
        <v>46.4</v>
      </c>
      <c r="F34" s="8">
        <v>33</v>
      </c>
      <c r="G34" s="8"/>
      <c r="H34" s="8"/>
      <c r="I34" s="8">
        <v>23</v>
      </c>
      <c r="J34" s="8"/>
      <c r="K34" s="9"/>
    </row>
    <row r="35" spans="1:11" ht="15.75" thickBot="1" x14ac:dyDescent="0.3">
      <c r="A35" s="104" t="s">
        <v>29</v>
      </c>
      <c r="B35" s="6" t="s">
        <v>16</v>
      </c>
      <c r="C35" s="7">
        <v>820</v>
      </c>
      <c r="D35" s="8">
        <v>795</v>
      </c>
      <c r="E35" s="7">
        <v>770</v>
      </c>
      <c r="F35" s="7">
        <v>760</v>
      </c>
      <c r="G35" s="7">
        <v>750</v>
      </c>
      <c r="H35" s="7">
        <v>750</v>
      </c>
      <c r="I35" s="7">
        <v>750</v>
      </c>
      <c r="J35" s="7">
        <v>750</v>
      </c>
      <c r="K35" s="10">
        <v>750</v>
      </c>
    </row>
    <row r="36" spans="1:11" ht="18.75" thickBot="1" x14ac:dyDescent="0.3">
      <c r="A36" s="105"/>
      <c r="B36" s="6" t="s">
        <v>30</v>
      </c>
      <c r="C36" s="8">
        <v>15</v>
      </c>
      <c r="D36" s="8">
        <v>15</v>
      </c>
      <c r="E36" s="8">
        <v>15</v>
      </c>
      <c r="F36" s="8">
        <v>15</v>
      </c>
      <c r="G36" s="8">
        <v>15</v>
      </c>
      <c r="H36" s="8">
        <v>15</v>
      </c>
      <c r="I36" s="8">
        <v>15</v>
      </c>
      <c r="J36" s="8">
        <v>15</v>
      </c>
      <c r="K36" s="9">
        <v>15</v>
      </c>
    </row>
    <row r="37" spans="1:11" ht="15.75" thickBot="1" x14ac:dyDescent="0.3">
      <c r="A37" s="105"/>
      <c r="B37" s="12" t="s">
        <v>31</v>
      </c>
      <c r="C37" s="8">
        <v>0.6</v>
      </c>
      <c r="D37" s="8">
        <v>0.6</v>
      </c>
      <c r="E37" s="8">
        <v>0.6</v>
      </c>
      <c r="F37" s="8">
        <v>0.6</v>
      </c>
      <c r="G37" s="8">
        <v>0.6</v>
      </c>
      <c r="H37" s="8">
        <v>0.6</v>
      </c>
      <c r="I37" s="8">
        <v>0.6</v>
      </c>
      <c r="J37" s="8">
        <v>0.6</v>
      </c>
      <c r="K37" s="9">
        <v>0.6</v>
      </c>
    </row>
    <row r="38" spans="1:11" ht="18.75" thickBot="1" x14ac:dyDescent="0.3">
      <c r="A38" s="106"/>
      <c r="B38" s="6" t="s">
        <v>3</v>
      </c>
      <c r="C38" s="7">
        <v>30</v>
      </c>
      <c r="D38" s="8">
        <v>30</v>
      </c>
      <c r="E38" s="7">
        <v>30</v>
      </c>
      <c r="F38" s="7">
        <v>30</v>
      </c>
      <c r="G38" s="7">
        <v>30</v>
      </c>
      <c r="H38" s="7">
        <v>30</v>
      </c>
      <c r="I38" s="7">
        <v>30</v>
      </c>
      <c r="J38" s="7">
        <v>30</v>
      </c>
      <c r="K38" s="10">
        <v>30</v>
      </c>
    </row>
    <row r="39" spans="1:11" ht="15.75" thickBot="1" x14ac:dyDescent="0.3">
      <c r="A39" s="107" t="s">
        <v>32</v>
      </c>
      <c r="B39" s="6" t="s">
        <v>16</v>
      </c>
      <c r="C39" s="8">
        <v>800</v>
      </c>
      <c r="D39" s="8">
        <v>750</v>
      </c>
      <c r="E39" s="8">
        <v>700</v>
      </c>
      <c r="F39" s="8">
        <v>675</v>
      </c>
      <c r="G39" s="8">
        <v>650</v>
      </c>
      <c r="H39" s="8">
        <v>625</v>
      </c>
      <c r="I39" s="8">
        <v>600</v>
      </c>
      <c r="J39" s="8">
        <v>600</v>
      </c>
      <c r="K39" s="9">
        <v>600</v>
      </c>
    </row>
    <row r="40" spans="1:11" ht="18.75" thickBot="1" x14ac:dyDescent="0.3">
      <c r="A40" s="105"/>
      <c r="B40" s="6" t="s">
        <v>30</v>
      </c>
      <c r="C40" s="8">
        <v>15</v>
      </c>
      <c r="D40" s="8">
        <v>15</v>
      </c>
      <c r="E40" s="8">
        <v>15</v>
      </c>
      <c r="F40" s="8">
        <v>15</v>
      </c>
      <c r="G40" s="8">
        <v>15</v>
      </c>
      <c r="H40" s="8">
        <v>15</v>
      </c>
      <c r="I40" s="8">
        <v>15</v>
      </c>
      <c r="J40" s="8">
        <v>15</v>
      </c>
      <c r="K40" s="9">
        <v>15</v>
      </c>
    </row>
    <row r="41" spans="1:11" ht="15.75" thickBot="1" x14ac:dyDescent="0.3">
      <c r="A41" s="105"/>
      <c r="B41" s="6" t="s">
        <v>33</v>
      </c>
      <c r="C41" s="7">
        <v>0.42</v>
      </c>
      <c r="D41" s="8">
        <v>0.42</v>
      </c>
      <c r="E41" s="7">
        <v>0.42</v>
      </c>
      <c r="F41" s="7">
        <v>0.42</v>
      </c>
      <c r="G41" s="7">
        <v>0.42</v>
      </c>
      <c r="H41" s="7">
        <v>0.42</v>
      </c>
      <c r="I41" s="7">
        <v>0.42</v>
      </c>
      <c r="J41" s="7">
        <v>0.42</v>
      </c>
      <c r="K41" s="10">
        <v>0.42</v>
      </c>
    </row>
    <row r="42" spans="1:11" ht="18.75" thickBot="1" x14ac:dyDescent="0.3">
      <c r="A42" s="106"/>
      <c r="B42" s="6" t="s">
        <v>3</v>
      </c>
      <c r="C42" s="8">
        <v>25</v>
      </c>
      <c r="D42" s="8">
        <v>25</v>
      </c>
      <c r="E42" s="8">
        <v>25</v>
      </c>
      <c r="F42" s="8">
        <v>25</v>
      </c>
      <c r="G42" s="8">
        <v>25</v>
      </c>
      <c r="H42" s="8">
        <v>25</v>
      </c>
      <c r="I42" s="8">
        <v>25</v>
      </c>
      <c r="J42" s="8">
        <v>25</v>
      </c>
      <c r="K42" s="9">
        <v>25</v>
      </c>
    </row>
    <row r="43" spans="1:11" ht="76.5" x14ac:dyDescent="0.25">
      <c r="A43" s="19" t="s">
        <v>34</v>
      </c>
    </row>
    <row r="44" spans="1:11" x14ac:dyDescent="0.25">
      <c r="A44" s="18"/>
      <c r="B44" s="15"/>
      <c r="C44" s="16"/>
      <c r="D44" s="16"/>
      <c r="E44" s="16"/>
      <c r="F44" s="16"/>
      <c r="G44" s="16"/>
      <c r="H44" s="16"/>
      <c r="I44" s="16"/>
      <c r="J44" s="16"/>
      <c r="K44" s="16"/>
    </row>
    <row r="47" spans="1:11" ht="210" x14ac:dyDescent="0.25">
      <c r="A47" s="14" t="s">
        <v>13</v>
      </c>
    </row>
    <row r="48" spans="1:11" ht="409.5" x14ac:dyDescent="0.25">
      <c r="A48" s="13" t="s">
        <v>14</v>
      </c>
    </row>
  </sheetData>
  <mergeCells count="12">
    <mergeCell ref="A20:A22"/>
    <mergeCell ref="A2:A4"/>
    <mergeCell ref="A5:A7"/>
    <mergeCell ref="A8:A10"/>
    <mergeCell ref="A11:A13"/>
    <mergeCell ref="A14:A16"/>
    <mergeCell ref="A35:A38"/>
    <mergeCell ref="A39:A42"/>
    <mergeCell ref="A23:A25"/>
    <mergeCell ref="A26:A27"/>
    <mergeCell ref="A29:A31"/>
    <mergeCell ref="A32:A33"/>
  </mergeCells>
  <hyperlinks>
    <hyperlink ref="A5" location="_ftn1" display="_ftn1" xr:uid="{00000000-0004-0000-0000-000000000000}"/>
    <hyperlink ref="A11" location="_ftn2" display="_ftn2" xr:uid="{00000000-0004-0000-0000-000001000000}"/>
    <hyperlink ref="A47" location="_ftnref1" display="_ftnref1" xr:uid="{00000000-0004-0000-0000-000002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F20"/>
  <sheetViews>
    <sheetView topLeftCell="T1" workbookViewId="0">
      <selection activeCell="AG9" sqref="AG9"/>
    </sheetView>
  </sheetViews>
  <sheetFormatPr baseColWidth="10" defaultRowHeight="15" x14ac:dyDescent="0.25"/>
  <cols>
    <col min="1" max="1" width="34.7109375" customWidth="1"/>
    <col min="34" max="58" width="10.85546875"/>
  </cols>
  <sheetData>
    <row r="1" spans="1:58" x14ac:dyDescent="0.25">
      <c r="A1" s="56" t="s">
        <v>121</v>
      </c>
      <c r="B1" s="48">
        <v>2010</v>
      </c>
      <c r="C1" s="48">
        <v>2020</v>
      </c>
      <c r="D1" s="48">
        <f>C1+1</f>
        <v>2021</v>
      </c>
      <c r="E1" s="48">
        <f t="shared" ref="E1:AG1" si="0">D1+1</f>
        <v>2022</v>
      </c>
      <c r="F1" s="48">
        <f t="shared" si="0"/>
        <v>2023</v>
      </c>
      <c r="G1" s="48">
        <f t="shared" si="0"/>
        <v>2024</v>
      </c>
      <c r="H1" s="48">
        <f t="shared" si="0"/>
        <v>2025</v>
      </c>
      <c r="I1" s="48">
        <f t="shared" si="0"/>
        <v>2026</v>
      </c>
      <c r="J1" s="48">
        <f t="shared" si="0"/>
        <v>2027</v>
      </c>
      <c r="K1" s="48">
        <f t="shared" si="0"/>
        <v>2028</v>
      </c>
      <c r="L1" s="48">
        <f t="shared" si="0"/>
        <v>2029</v>
      </c>
      <c r="M1" s="48">
        <f t="shared" si="0"/>
        <v>2030</v>
      </c>
      <c r="N1" s="48">
        <f t="shared" si="0"/>
        <v>2031</v>
      </c>
      <c r="O1" s="48">
        <f t="shared" si="0"/>
        <v>2032</v>
      </c>
      <c r="P1" s="48">
        <f t="shared" si="0"/>
        <v>2033</v>
      </c>
      <c r="Q1" s="48">
        <f t="shared" si="0"/>
        <v>2034</v>
      </c>
      <c r="R1" s="48">
        <f t="shared" si="0"/>
        <v>2035</v>
      </c>
      <c r="S1" s="48">
        <f t="shared" si="0"/>
        <v>2036</v>
      </c>
      <c r="T1" s="48">
        <f t="shared" si="0"/>
        <v>2037</v>
      </c>
      <c r="U1" s="48">
        <f t="shared" si="0"/>
        <v>2038</v>
      </c>
      <c r="V1" s="48">
        <f t="shared" si="0"/>
        <v>2039</v>
      </c>
      <c r="W1" s="48">
        <f t="shared" si="0"/>
        <v>2040</v>
      </c>
      <c r="X1" s="48">
        <f t="shared" si="0"/>
        <v>2041</v>
      </c>
      <c r="Y1" s="48">
        <f t="shared" si="0"/>
        <v>2042</v>
      </c>
      <c r="Z1" s="48">
        <f t="shared" si="0"/>
        <v>2043</v>
      </c>
      <c r="AA1" s="48">
        <f t="shared" si="0"/>
        <v>2044</v>
      </c>
      <c r="AB1" s="48">
        <f t="shared" si="0"/>
        <v>2045</v>
      </c>
      <c r="AC1" s="48">
        <f t="shared" si="0"/>
        <v>2046</v>
      </c>
      <c r="AD1" s="48">
        <f t="shared" si="0"/>
        <v>2047</v>
      </c>
      <c r="AE1" s="48">
        <f t="shared" si="0"/>
        <v>2048</v>
      </c>
      <c r="AF1" s="48">
        <f t="shared" si="0"/>
        <v>2049</v>
      </c>
      <c r="AG1" s="48">
        <f t="shared" si="0"/>
        <v>2050</v>
      </c>
    </row>
    <row r="2" spans="1:58" x14ac:dyDescent="0.25">
      <c r="A2" s="57" t="s">
        <v>88</v>
      </c>
      <c r="B2" s="69"/>
      <c r="C2" s="85">
        <f>Kexo_TEND!C2</f>
        <v>22885.540280261903</v>
      </c>
      <c r="D2" s="85">
        <f>Kexo_TEND!D2</f>
        <v>26711.038180375363</v>
      </c>
      <c r="E2" s="85">
        <f>Kexo_TEND!E2</f>
        <v>30536.536080488822</v>
      </c>
      <c r="F2" s="85">
        <f>Kexo_TEND!F2</f>
        <v>34362.033980602282</v>
      </c>
      <c r="G2" s="69">
        <f>+F2+($H2-$F2)/2</f>
        <v>34616.899343242316</v>
      </c>
      <c r="H2" s="69">
        <f>('coût S2'!D65*'coût S2'!D63*'coût S2'!D61+'coût S2'!D74*'coût S2'!D72*'coût S2'!D70)/1.19</f>
        <v>34871.76470588235</v>
      </c>
      <c r="I2" s="69">
        <f>H2+($M2-$H2)/5</f>
        <v>34788.568907563022</v>
      </c>
      <c r="J2" s="69">
        <f t="shared" ref="J2:L2" si="1">I2+($M2-$H2)/5</f>
        <v>34705.373109243694</v>
      </c>
      <c r="K2" s="69">
        <f t="shared" si="1"/>
        <v>34622.177310924366</v>
      </c>
      <c r="L2" s="69">
        <f t="shared" si="1"/>
        <v>34538.981512605038</v>
      </c>
      <c r="M2" s="69">
        <f>('coût S2'!E65*'coût S2'!E63*'coût S2'!E61+'coût S2'!E74*'coût S2'!E72*'coût S2'!E70)/1.19</f>
        <v>34455.78571428571</v>
      </c>
      <c r="N2" s="69">
        <f>M2+($R2-$M2)/5</f>
        <v>34373.04453781512</v>
      </c>
      <c r="O2" s="69">
        <f t="shared" ref="O2:Q2" si="2">N2+($R2-$M2)/5</f>
        <v>34290.30336134453</v>
      </c>
      <c r="P2" s="69">
        <f t="shared" si="2"/>
        <v>34207.562184873939</v>
      </c>
      <c r="Q2" s="69">
        <f t="shared" si="2"/>
        <v>34124.821008403349</v>
      </c>
      <c r="R2" s="69">
        <f>('coût S2'!F65*'coût S2'!F63*'coût S2'!F61+'coût S2'!F74*'coût S2'!F72*'coût S2'!F70)/1.19</f>
        <v>34042.079831932773</v>
      </c>
      <c r="S2" s="69">
        <f>R2+($W2-$R2)/5</f>
        <v>36710.395798319332</v>
      </c>
      <c r="T2" s="69">
        <f t="shared" ref="T2:V2" si="3">S2+($W2-$R2)/5</f>
        <v>39378.711764705891</v>
      </c>
      <c r="U2" s="69">
        <f t="shared" si="3"/>
        <v>42047.02773109245</v>
      </c>
      <c r="V2" s="69">
        <f t="shared" si="3"/>
        <v>44715.343697479009</v>
      </c>
      <c r="W2" s="69">
        <f>('coût S2'!G65*'coût S2'!G63*'coût S2'!G61+'coût S2'!G74*'coût S2'!G72*'coût S2'!G70)/1.19</f>
        <v>47383.659663865554</v>
      </c>
      <c r="X2" s="69">
        <f>W2+($AB2-$W2)/5</f>
        <v>52622.547058823533</v>
      </c>
      <c r="Y2" s="69">
        <f t="shared" ref="Y2:AA2" si="4">X2+($AB2-$W2)/5</f>
        <v>57861.434453781512</v>
      </c>
      <c r="Z2" s="69">
        <f t="shared" si="4"/>
        <v>63100.321848739492</v>
      </c>
      <c r="AA2" s="69">
        <f t="shared" si="4"/>
        <v>68339.209243697478</v>
      </c>
      <c r="AB2" s="69">
        <f>('coût S2'!H65*'coût S2'!H63*'coût S2'!H61+'coût S2'!H74*'coût S2'!H72*'coût S2'!H70)/1.19</f>
        <v>73578.096638655465</v>
      </c>
      <c r="AC2" s="69">
        <f>AB2+($AG2-$AB2)/5</f>
        <v>78858.042016806721</v>
      </c>
      <c r="AD2" s="69">
        <f t="shared" ref="AD2:AF2" si="5">AC2+($AG2-$AB2)/5</f>
        <v>84137.987394957978</v>
      </c>
      <c r="AE2" s="69">
        <f t="shared" si="5"/>
        <v>89417.932773109234</v>
      </c>
      <c r="AF2" s="69">
        <f t="shared" si="5"/>
        <v>94697.878151260491</v>
      </c>
      <c r="AG2" s="69">
        <f>('coût S2'!I65*'coût S2'!I63*'coût S2'!I61+'coût S2'!I74*'coût S2'!I72*'coût S2'!I70)/1.19</f>
        <v>99977.823529411777</v>
      </c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</row>
    <row r="3" spans="1:58" x14ac:dyDescent="0.25">
      <c r="A3" s="57" t="s">
        <v>89</v>
      </c>
      <c r="B3" s="69"/>
      <c r="C3" s="85">
        <f>Kexo_TEND!C3</f>
        <v>122.57599999999999</v>
      </c>
      <c r="D3" s="85">
        <f>Kexo_TEND!D3</f>
        <v>122.57599999999999</v>
      </c>
      <c r="E3" s="85">
        <f>Kexo_TEND!E3</f>
        <v>122.57599999999999</v>
      </c>
      <c r="F3" s="85">
        <f>Kexo_TEND!F3</f>
        <v>122.57599999999999</v>
      </c>
      <c r="G3" s="69">
        <f t="shared" ref="G3:G9" si="6">+F3+($H3-$F3)/2</f>
        <v>67.416799999999995</v>
      </c>
      <c r="H3" s="69">
        <f>'[5]CU énergie'!$F49*0.1</f>
        <v>12.2576</v>
      </c>
      <c r="I3" s="69">
        <f t="shared" ref="I3:L9" si="7">H3+($M3-$H3)/5</f>
        <v>12.2576</v>
      </c>
      <c r="J3" s="69">
        <f t="shared" si="7"/>
        <v>12.2576</v>
      </c>
      <c r="K3" s="69">
        <f t="shared" si="7"/>
        <v>12.2576</v>
      </c>
      <c r="L3" s="69">
        <f t="shared" si="7"/>
        <v>12.2576</v>
      </c>
      <c r="M3" s="69">
        <f>'[5]CU énergie'!$F49*0.1</f>
        <v>12.2576</v>
      </c>
      <c r="N3" s="69">
        <f t="shared" ref="N3:Q9" si="8">M3+($R3-$M3)/5</f>
        <v>12.2576</v>
      </c>
      <c r="O3" s="69">
        <f t="shared" si="8"/>
        <v>12.2576</v>
      </c>
      <c r="P3" s="69">
        <f t="shared" si="8"/>
        <v>12.2576</v>
      </c>
      <c r="Q3" s="69">
        <f t="shared" si="8"/>
        <v>12.2576</v>
      </c>
      <c r="R3" s="69">
        <f>'[5]CU énergie'!$F49*0.1</f>
        <v>12.2576</v>
      </c>
      <c r="S3" s="69">
        <f t="shared" ref="S3:V9" si="9">R3+($W3-$R3)/5</f>
        <v>12.2576</v>
      </c>
      <c r="T3" s="69">
        <f t="shared" si="9"/>
        <v>12.2576</v>
      </c>
      <c r="U3" s="69">
        <f t="shared" si="9"/>
        <v>12.2576</v>
      </c>
      <c r="V3" s="69">
        <f t="shared" si="9"/>
        <v>12.2576</v>
      </c>
      <c r="W3" s="69">
        <f>'[5]CU énergie'!$F49*0.1</f>
        <v>12.2576</v>
      </c>
      <c r="X3" s="69">
        <f t="shared" ref="X3:AA9" si="10">W3+($AB3-$W3)/5</f>
        <v>12.2576</v>
      </c>
      <c r="Y3" s="69">
        <f t="shared" si="10"/>
        <v>12.2576</v>
      </c>
      <c r="Z3" s="69">
        <f t="shared" si="10"/>
        <v>12.2576</v>
      </c>
      <c r="AA3" s="69">
        <f t="shared" si="10"/>
        <v>12.2576</v>
      </c>
      <c r="AB3" s="69">
        <f>'[5]CU énergie'!$F49*0.1</f>
        <v>12.2576</v>
      </c>
      <c r="AC3" s="69">
        <f t="shared" ref="AC3:AF9" si="11">AB3+($AG3-$AB3)/5</f>
        <v>12.2576</v>
      </c>
      <c r="AD3" s="69">
        <f t="shared" si="11"/>
        <v>12.2576</v>
      </c>
      <c r="AE3" s="69">
        <f t="shared" si="11"/>
        <v>12.2576</v>
      </c>
      <c r="AF3" s="69">
        <f t="shared" si="11"/>
        <v>12.2576</v>
      </c>
      <c r="AG3" s="69">
        <f>'[5]CU énergie'!$F49*0.1</f>
        <v>12.2576</v>
      </c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</row>
    <row r="4" spans="1:58" x14ac:dyDescent="0.25">
      <c r="A4" s="57" t="s">
        <v>90</v>
      </c>
      <c r="B4" s="69"/>
      <c r="C4" s="85">
        <f>Kexo_TEND!C4</f>
        <v>7592.664403321055</v>
      </c>
      <c r="D4" s="85">
        <f>Kexo_TEND!D4</f>
        <v>6837.3640232695816</v>
      </c>
      <c r="E4" s="85">
        <f>Kexo_TEND!E4</f>
        <v>6082.0636432181082</v>
      </c>
      <c r="F4" s="85">
        <f>Kexo_TEND!F4</f>
        <v>5326.7632631666347</v>
      </c>
      <c r="G4" s="69">
        <f t="shared" si="6"/>
        <v>4722.3650138991188</v>
      </c>
      <c r="H4" s="69">
        <f>'coût S2'!D82*'coût S2'!D80*'coût S2'!D78/1.19</f>
        <v>4117.9667646316029</v>
      </c>
      <c r="I4" s="69">
        <f t="shared" si="7"/>
        <v>4011.3321640700533</v>
      </c>
      <c r="J4" s="69">
        <f t="shared" si="7"/>
        <v>3904.6975635085037</v>
      </c>
      <c r="K4" s="69">
        <f t="shared" si="7"/>
        <v>3798.062962946954</v>
      </c>
      <c r="L4" s="69">
        <f t="shared" si="7"/>
        <v>3691.4283623854044</v>
      </c>
      <c r="M4" s="69">
        <f>'coût S2'!D82*'coût S2'!E80*'coût S2'!E78/1.19</f>
        <v>3584.7937618238552</v>
      </c>
      <c r="N4" s="69">
        <f t="shared" si="8"/>
        <v>3506.4904716439582</v>
      </c>
      <c r="O4" s="69">
        <f t="shared" si="8"/>
        <v>3428.1871814640613</v>
      </c>
      <c r="P4" s="69">
        <f t="shared" si="8"/>
        <v>3349.8838912841643</v>
      </c>
      <c r="Q4" s="69">
        <f>P4+($R4-$M4)/5</f>
        <v>3271.5806011042673</v>
      </c>
      <c r="R4" s="69">
        <f>'coût S2'!F82*'coût S2'!F80*'coût S2'!F78/1.19</f>
        <v>3193.2773109243699</v>
      </c>
      <c r="S4" s="69">
        <f t="shared" si="9"/>
        <v>3058.8235294117649</v>
      </c>
      <c r="T4" s="69">
        <f t="shared" si="9"/>
        <v>2924.3697478991598</v>
      </c>
      <c r="U4" s="69">
        <f t="shared" si="9"/>
        <v>2789.9159663865548</v>
      </c>
      <c r="V4" s="69">
        <f t="shared" si="9"/>
        <v>2655.4621848739498</v>
      </c>
      <c r="W4" s="69">
        <f>'coût S2'!G82*'coût S2'!G80*'coût S2'!G78/1.19</f>
        <v>2521.0084033613443</v>
      </c>
      <c r="X4" s="69">
        <f t="shared" si="10"/>
        <v>2394.957983193277</v>
      </c>
      <c r="Y4" s="69">
        <f t="shared" si="10"/>
        <v>2268.90756302521</v>
      </c>
      <c r="Z4" s="69">
        <f t="shared" si="10"/>
        <v>2142.8571428571431</v>
      </c>
      <c r="AA4" s="69">
        <f t="shared" si="10"/>
        <v>2016.806722689076</v>
      </c>
      <c r="AB4" s="69">
        <f>'coût S2'!H82*'coût S2'!H80*'coût S2'!H78/1.19</f>
        <v>1890.7563025210086</v>
      </c>
      <c r="AC4" s="69">
        <f t="shared" si="11"/>
        <v>1638.6554621848741</v>
      </c>
      <c r="AD4" s="69">
        <f t="shared" si="11"/>
        <v>1386.5546218487395</v>
      </c>
      <c r="AE4" s="69">
        <f t="shared" si="11"/>
        <v>1134.453781512605</v>
      </c>
      <c r="AF4" s="69">
        <f t="shared" si="11"/>
        <v>882.35294117647049</v>
      </c>
      <c r="AG4" s="69">
        <f>'coût S2'!I82*'coût S2'!I80*'coût S2'!I78/1.19</f>
        <v>630.2521008403362</v>
      </c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</row>
    <row r="5" spans="1:58" x14ac:dyDescent="0.25">
      <c r="A5" s="57" t="s">
        <v>91</v>
      </c>
      <c r="B5" s="69"/>
      <c r="C5" s="85">
        <f>Kexo_TEND!C5</f>
        <v>143.1960410341097</v>
      </c>
      <c r="D5" s="85">
        <f>Kexo_TEND!D5</f>
        <v>143.1960410341097</v>
      </c>
      <c r="E5" s="85">
        <f>Kexo_TEND!E5</f>
        <v>143.1960410341097</v>
      </c>
      <c r="F5" s="85">
        <f>Kexo_TEND!F5</f>
        <v>143.1960410341097</v>
      </c>
      <c r="G5" s="69">
        <f>+F5+($H5-$F5)/2</f>
        <v>78.757822568760332</v>
      </c>
      <c r="H5" s="69">
        <f>'[5]CU énergie'!$F51*1</f>
        <v>14.31960410341097</v>
      </c>
      <c r="I5" s="69">
        <f>'[5]CU énergie'!$F51*1</f>
        <v>14.31960410341097</v>
      </c>
      <c r="J5" s="69">
        <f>'[5]CU énergie'!$F51*1</f>
        <v>14.31960410341097</v>
      </c>
      <c r="K5" s="69">
        <f>'[5]CU énergie'!$F51*1</f>
        <v>14.31960410341097</v>
      </c>
      <c r="L5" s="69">
        <f>'[5]CU énergie'!$F51*1</f>
        <v>14.31960410341097</v>
      </c>
      <c r="M5" s="69">
        <f>'[5]CU énergie'!$F51*1</f>
        <v>14.31960410341097</v>
      </c>
      <c r="N5" s="69">
        <f>'[5]CU énergie'!$F51*1</f>
        <v>14.31960410341097</v>
      </c>
      <c r="O5" s="69">
        <f>'[5]CU énergie'!$F51*1</f>
        <v>14.31960410341097</v>
      </c>
      <c r="P5" s="69">
        <f>'[5]CU énergie'!$F51*1</f>
        <v>14.31960410341097</v>
      </c>
      <c r="Q5" s="69">
        <f>'[5]CU énergie'!$F51*1</f>
        <v>14.31960410341097</v>
      </c>
      <c r="R5" s="69">
        <f>'[5]CU énergie'!$F51*1</f>
        <v>14.31960410341097</v>
      </c>
      <c r="S5" s="69">
        <f>'[5]CU énergie'!$F51*1</f>
        <v>14.31960410341097</v>
      </c>
      <c r="T5" s="69">
        <f>'[5]CU énergie'!$F51*1</f>
        <v>14.31960410341097</v>
      </c>
      <c r="U5" s="69">
        <f>'[5]CU énergie'!$F51*1</f>
        <v>14.31960410341097</v>
      </c>
      <c r="V5" s="69">
        <f>'[5]CU énergie'!$F51*1</f>
        <v>14.31960410341097</v>
      </c>
      <c r="W5" s="69">
        <f>'[5]CU énergie'!$F51*1</f>
        <v>14.31960410341097</v>
      </c>
      <c r="X5" s="69">
        <f>'[5]CU énergie'!$F51*1</f>
        <v>14.31960410341097</v>
      </c>
      <c r="Y5" s="69">
        <f>'[5]CU énergie'!$F51*1</f>
        <v>14.31960410341097</v>
      </c>
      <c r="Z5" s="69">
        <f>'[5]CU énergie'!$F51*1</f>
        <v>14.31960410341097</v>
      </c>
      <c r="AA5" s="69">
        <f>'[5]CU énergie'!$F51*1</f>
        <v>14.31960410341097</v>
      </c>
      <c r="AB5" s="69">
        <f>'[5]CU énergie'!$F51*1</f>
        <v>14.31960410341097</v>
      </c>
      <c r="AC5" s="69">
        <f>'[5]CU énergie'!$F51*1</f>
        <v>14.31960410341097</v>
      </c>
      <c r="AD5" s="69">
        <f>'[5]CU énergie'!$F51*1</f>
        <v>14.31960410341097</v>
      </c>
      <c r="AE5" s="69">
        <f>'[5]CU énergie'!$F51*1</f>
        <v>14.31960410341097</v>
      </c>
      <c r="AF5" s="69">
        <f>'[5]CU énergie'!$F51*1</f>
        <v>14.31960410341097</v>
      </c>
      <c r="AG5" s="69">
        <f>'[5]CU énergie'!$F51*1</f>
        <v>14.31960410341097</v>
      </c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</row>
    <row r="6" spans="1:58" x14ac:dyDescent="0.25">
      <c r="A6" s="57" t="s">
        <v>92</v>
      </c>
      <c r="B6" s="69"/>
      <c r="C6" s="85">
        <f>Kexo_TEND!C6</f>
        <v>25183.273565199754</v>
      </c>
      <c r="D6" s="85">
        <f>Kexo_TEND!D6</f>
        <v>27356.273594056562</v>
      </c>
      <c r="E6" s="85">
        <f>Kexo_TEND!E6</f>
        <v>29529.27362291337</v>
      </c>
      <c r="F6" s="85">
        <f>Kexo_TEND!F6</f>
        <v>31702.273651770178</v>
      </c>
      <c r="G6" s="69">
        <f t="shared" si="6"/>
        <v>34895.779683027948</v>
      </c>
      <c r="H6" s="69">
        <f>('coût S2'!D42*'coût S2'!D40*'coût S2'!D38+'coût S2'!D49*'coût S2'!D47*'coût S2'!D45+'coût S2'!D56*'coût S2'!D54*'coût S2'!D52)/1.19</f>
        <v>38089.285714285717</v>
      </c>
      <c r="I6" s="69">
        <f t="shared" si="7"/>
        <v>39804.386554621851</v>
      </c>
      <c r="J6" s="69">
        <f t="shared" si="7"/>
        <v>41519.487394957985</v>
      </c>
      <c r="K6" s="69">
        <f t="shared" si="7"/>
        <v>43234.588235294119</v>
      </c>
      <c r="L6" s="69">
        <f t="shared" si="7"/>
        <v>44949.689075630253</v>
      </c>
      <c r="M6" s="69">
        <f>('coût S2'!E42*'coût S2'!E40*'coût S2'!E38+'coût S2'!E49*'coût S2'!E47*'coût S2'!E45+'coût S2'!E56*'coût S2'!E54*'coût S2'!E52)/1.19</f>
        <v>46664.789915966401</v>
      </c>
      <c r="N6" s="69">
        <f t="shared" si="8"/>
        <v>52123.277310924386</v>
      </c>
      <c r="O6" s="69">
        <f t="shared" si="8"/>
        <v>57581.764705882371</v>
      </c>
      <c r="P6" s="69">
        <f t="shared" si="8"/>
        <v>63040.252100840356</v>
      </c>
      <c r="Q6" s="69">
        <f t="shared" si="8"/>
        <v>68498.739495798334</v>
      </c>
      <c r="R6" s="69">
        <f>('coût S2'!F42*'coût S2'!F40*'coût S2'!F38+'coût S2'!F49*'coût S2'!F47*'coût S2'!F45+'coût S2'!F56*'coût S2'!F54*'coût S2'!F52)/1.19</f>
        <v>73957.226890756327</v>
      </c>
      <c r="S6" s="69">
        <f t="shared" si="9"/>
        <v>79730.571428571449</v>
      </c>
      <c r="T6" s="69">
        <f t="shared" si="9"/>
        <v>85503.915966386572</v>
      </c>
      <c r="U6" s="69">
        <f t="shared" si="9"/>
        <v>91277.260504201695</v>
      </c>
      <c r="V6" s="69">
        <f t="shared" si="9"/>
        <v>97050.605042016818</v>
      </c>
      <c r="W6" s="69">
        <f>('coût S2'!G42*'coût S2'!G40*'coût S2'!G38+'coût S2'!G49*'coût S2'!G47*'coût S2'!G45+'coût S2'!G56*'coût S2'!G54*'coût S2'!G52)/1.19</f>
        <v>102823.94957983195</v>
      </c>
      <c r="X6" s="69">
        <f t="shared" si="10"/>
        <v>108322.38655462187</v>
      </c>
      <c r="Y6" s="69">
        <f t="shared" si="10"/>
        <v>113820.82352941179</v>
      </c>
      <c r="Z6" s="69">
        <f t="shared" si="10"/>
        <v>119319.26050420171</v>
      </c>
      <c r="AA6" s="69">
        <f t="shared" si="10"/>
        <v>124817.69747899163</v>
      </c>
      <c r="AB6" s="69">
        <f>('coût S2'!H42*'coût S2'!H40*'coût S2'!H38+'coût S2'!H49*'coût S2'!H47*'coût S2'!H45+'coût S2'!H56*'coût S2'!H54*'coût S2'!H52)/1.19</f>
        <v>130316.13445378153</v>
      </c>
      <c r="AC6" s="69">
        <f t="shared" si="11"/>
        <v>136507.00840336137</v>
      </c>
      <c r="AD6" s="69">
        <f t="shared" si="11"/>
        <v>142697.8823529412</v>
      </c>
      <c r="AE6" s="69">
        <f t="shared" si="11"/>
        <v>148888.75630252104</v>
      </c>
      <c r="AF6" s="69">
        <f t="shared" si="11"/>
        <v>155079.63025210088</v>
      </c>
      <c r="AG6" s="69">
        <f>('coût S2'!I42*'coût S2'!I40*'coût S2'!I38+'coût S2'!I49*'coût S2'!I47*'coût S2'!I45+'coût S2'!I56*'coût S2'!I54*'coût S2'!I52)/1.19</f>
        <v>161270.50420168071</v>
      </c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</row>
    <row r="7" spans="1:58" x14ac:dyDescent="0.25">
      <c r="A7" s="57" t="s">
        <v>93</v>
      </c>
      <c r="B7" s="69"/>
      <c r="C7" s="85">
        <f>Kexo_TEND!C7</f>
        <v>8840.6352833608616</v>
      </c>
      <c r="D7" s="85">
        <f>Kexo_TEND!D7</f>
        <v>10194.821985322686</v>
      </c>
      <c r="E7" s="85">
        <f>Kexo_TEND!E7</f>
        <v>11549.00868728451</v>
      </c>
      <c r="F7" s="85">
        <f>Kexo_TEND!F7</f>
        <v>12903.195389246333</v>
      </c>
      <c r="G7" s="69">
        <f t="shared" si="6"/>
        <v>15053.647698695735</v>
      </c>
      <c r="H7" s="69">
        <f>('coût S2'!D15*'coût S2'!D13*'coût S2'!D11+'coût S2'!D8*'coût S2'!D6*'coût S2'!D4+'coût S2'!D24*'coût S2'!D22*'coût S2'!D20+'coût S2'!D31*'coût S2'!D29*'coût S2'!D27)/1.19</f>
        <v>17204.100008145135</v>
      </c>
      <c r="I7" s="69">
        <f t="shared" si="7"/>
        <v>19007.401014882573</v>
      </c>
      <c r="J7" s="69">
        <f t="shared" si="7"/>
        <v>20810.702021620011</v>
      </c>
      <c r="K7" s="69">
        <f t="shared" si="7"/>
        <v>22614.003028357449</v>
      </c>
      <c r="L7" s="69">
        <f t="shared" si="7"/>
        <v>24417.304035094887</v>
      </c>
      <c r="M7" s="69">
        <f>('coût S2'!E15*'coût S2'!E13*'coût S2'!E11+'coût S2'!E8*'coût S2'!E6*'coût S2'!E4+'coût S2'!E24*'coût S2'!E22*'coût S2'!E20+'coût S2'!E31*'coût S2'!E29*'coût S2'!E27)/1.19</f>
        <v>26220.605041832318</v>
      </c>
      <c r="N7" s="69">
        <f t="shared" si="8"/>
        <v>28132.955293878691</v>
      </c>
      <c r="O7" s="69">
        <f t="shared" si="8"/>
        <v>30045.305545925065</v>
      </c>
      <c r="P7" s="69">
        <f t="shared" si="8"/>
        <v>31957.655797971438</v>
      </c>
      <c r="Q7" s="69">
        <f t="shared" si="8"/>
        <v>33870.006050017815</v>
      </c>
      <c r="R7" s="69">
        <f>('coût S2'!F15*'coût S2'!F13*'coût S2'!F11+'coût S2'!F8*'coût S2'!F6*'coût S2'!F4+'coût S2'!F24*'coût S2'!F22*'coût S2'!F20+'coût S2'!F31*'coût S2'!F29*'coût S2'!F27)/1.19</f>
        <v>35782.356302064189</v>
      </c>
      <c r="S7" s="69">
        <f t="shared" si="9"/>
        <v>37357.983865042486</v>
      </c>
      <c r="T7" s="69">
        <f t="shared" si="9"/>
        <v>38933.611428020784</v>
      </c>
      <c r="U7" s="69">
        <f t="shared" si="9"/>
        <v>40509.238990999082</v>
      </c>
      <c r="V7" s="69">
        <f t="shared" si="9"/>
        <v>42084.866553977379</v>
      </c>
      <c r="W7" s="69">
        <f>('coût S2'!G15*'coût S2'!G13*'coût S2'!G11+'coût S2'!G8*'coût S2'!G6*'coût S2'!G4+'coût S2'!G24*'coût S2'!G22*'coût S2'!G20+'coût S2'!G31*'coût S2'!G29*'coût S2'!G27)/1.19</f>
        <v>43660.494116955662</v>
      </c>
      <c r="X7" s="69">
        <f t="shared" si="10"/>
        <v>44769.923091178214</v>
      </c>
      <c r="Y7" s="69">
        <f t="shared" si="10"/>
        <v>45879.352065400766</v>
      </c>
      <c r="Z7" s="69">
        <f t="shared" si="10"/>
        <v>46988.781039623318</v>
      </c>
      <c r="AA7" s="69">
        <f t="shared" si="10"/>
        <v>48098.21001384587</v>
      </c>
      <c r="AB7" s="69">
        <f>('coût S2'!H15*'coût S2'!H13*'coût S2'!H11+'coût S2'!H8*'coût S2'!H6*'coût S2'!H4+'coût S2'!H24*'coût S2'!H22*'coût S2'!H20+'coût S2'!H31*'coût S2'!H29*'coût S2'!H27)/1.19</f>
        <v>49207.638988068429</v>
      </c>
      <c r="AC7" s="69">
        <f t="shared" si="11"/>
        <v>45694.599593817882</v>
      </c>
      <c r="AD7" s="69">
        <f t="shared" si="11"/>
        <v>42181.560199567335</v>
      </c>
      <c r="AE7" s="69">
        <f t="shared" si="11"/>
        <v>38668.520805316788</v>
      </c>
      <c r="AF7" s="69">
        <f t="shared" si="11"/>
        <v>35155.481411066241</v>
      </c>
      <c r="AG7" s="69">
        <f>('coût S2'!I15*'coût S2'!I13*'coût S2'!I11+'coût S2'!I8*'coût S2'!I6*'coût S2'!I4+'coût S2'!I24*'coût S2'!I22*'coût S2'!I20+'coût S2'!I31*'coût S2'!I29*'coût S2'!I27)/1.19</f>
        <v>31642.442016815708</v>
      </c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</row>
    <row r="8" spans="1:58" x14ac:dyDescent="0.25">
      <c r="A8" s="57" t="s">
        <v>94</v>
      </c>
      <c r="B8" s="69"/>
      <c r="C8" s="85">
        <f>Kexo_TEND!C8</f>
        <v>39954.327247697649</v>
      </c>
      <c r="D8" s="85">
        <f>Kexo_TEND!D8</f>
        <v>40025.291624067853</v>
      </c>
      <c r="E8" s="85">
        <f>Kexo_TEND!E8</f>
        <v>40096.256000438058</v>
      </c>
      <c r="F8" s="85">
        <f>Kexo_TEND!F8</f>
        <v>40167.220376808262</v>
      </c>
      <c r="G8" s="69">
        <f t="shared" si="6"/>
        <v>40298.281210297966</v>
      </c>
      <c r="H8" s="69">
        <f>'[5]CU énergie'!$F54*'coût S2'!D128*40</f>
        <v>40429.342043787678</v>
      </c>
      <c r="I8" s="69">
        <f t="shared" si="7"/>
        <v>40665.796595875167</v>
      </c>
      <c r="J8" s="69">
        <f t="shared" si="7"/>
        <v>40902.251147962656</v>
      </c>
      <c r="K8" s="69">
        <f t="shared" si="7"/>
        <v>41138.705700050145</v>
      </c>
      <c r="L8" s="69">
        <f t="shared" si="7"/>
        <v>41375.160252137634</v>
      </c>
      <c r="M8" s="69">
        <f>'[5]CU énergie'!$F54*'coût S2'!E128*40</f>
        <v>41611.61480422513</v>
      </c>
      <c r="N8" s="69">
        <f t="shared" si="8"/>
        <v>41611.865061277014</v>
      </c>
      <c r="O8" s="69">
        <f t="shared" si="8"/>
        <v>41612.115318328899</v>
      </c>
      <c r="P8" s="69">
        <f t="shared" si="8"/>
        <v>41612.365575380783</v>
      </c>
      <c r="Q8" s="69">
        <f t="shared" si="8"/>
        <v>41612.615832432668</v>
      </c>
      <c r="R8" s="69">
        <f>'[5]CU énergie'!$F54*'coût S2'!F128*40</f>
        <v>41612.86608948456</v>
      </c>
      <c r="S8" s="69">
        <f t="shared" si="9"/>
        <v>41695.426519487621</v>
      </c>
      <c r="T8" s="69">
        <f t="shared" si="9"/>
        <v>41777.986949490682</v>
      </c>
      <c r="U8" s="69">
        <f t="shared" si="9"/>
        <v>41860.547379493742</v>
      </c>
      <c r="V8" s="69">
        <f t="shared" si="9"/>
        <v>41943.107809496803</v>
      </c>
      <c r="W8" s="69">
        <f>'[5]CU énergie'!$F54*'coût S2'!G128*40</f>
        <v>42025.668239499864</v>
      </c>
      <c r="X8" s="69">
        <f t="shared" si="10"/>
        <v>42053.156099969718</v>
      </c>
      <c r="Y8" s="69">
        <f t="shared" si="10"/>
        <v>42080.643960439571</v>
      </c>
      <c r="Z8" s="69">
        <f t="shared" si="10"/>
        <v>42108.131820909424</v>
      </c>
      <c r="AA8" s="69">
        <f t="shared" si="10"/>
        <v>42135.619681379278</v>
      </c>
      <c r="AB8" s="69">
        <f>'[5]CU énergie'!$F54*'coût S2'!H128*40</f>
        <v>42163.107541849138</v>
      </c>
      <c r="AC8" s="69">
        <f t="shared" si="11"/>
        <v>42140.718839744579</v>
      </c>
      <c r="AD8" s="69">
        <f t="shared" si="11"/>
        <v>42118.33013764002</v>
      </c>
      <c r="AE8" s="69">
        <f t="shared" si="11"/>
        <v>42095.94143553546</v>
      </c>
      <c r="AF8" s="69">
        <f t="shared" si="11"/>
        <v>42073.552733430901</v>
      </c>
      <c r="AG8" s="69">
        <f>'[5]CU énergie'!$F54*'coût S2'!I128*40</f>
        <v>42051.164031326349</v>
      </c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</row>
    <row r="9" spans="1:58" x14ac:dyDescent="0.25">
      <c r="A9" s="57" t="s">
        <v>95</v>
      </c>
      <c r="B9" s="69"/>
      <c r="C9" s="85">
        <f>Kexo_TEND!C9</f>
        <v>6108.6583217156422</v>
      </c>
      <c r="D9" s="85">
        <f>Kexo_TEND!D9</f>
        <v>7344.2319135292892</v>
      </c>
      <c r="E9" s="85">
        <f>Kexo_TEND!E9</f>
        <v>8579.8055053429362</v>
      </c>
      <c r="F9" s="85">
        <f>Kexo_TEND!F9</f>
        <v>9815.3790971565832</v>
      </c>
      <c r="G9" s="69">
        <f t="shared" si="6"/>
        <v>9763.9014687261079</v>
      </c>
      <c r="H9" s="69">
        <f>'[5]CU énergie'!$F55*'[7]Cibles ThreeME v2 AMS'!$N$12*20</f>
        <v>9712.4238402956325</v>
      </c>
      <c r="I9" s="69">
        <f t="shared" ref="I9" si="12">H9+($M9-$H9)/5</f>
        <v>9504.2070531404752</v>
      </c>
      <c r="J9" s="69">
        <f t="shared" ref="J9" si="13">I9+($M9-$H9)/5</f>
        <v>9295.9902659853178</v>
      </c>
      <c r="K9" s="69">
        <f t="shared" ref="K9" si="14">J9+($M9-$H9)/5</f>
        <v>9087.7734788301605</v>
      </c>
      <c r="L9" s="69">
        <f t="shared" ref="L9" si="15">K9+($M9-$H9)/5</f>
        <v>8879.5566916750031</v>
      </c>
      <c r="M9" s="69">
        <f>'[5]CU énergie'!$F55*'[7]Cibles ThreeME v2 AMS'!S$12*20</f>
        <v>8671.3399045198421</v>
      </c>
      <c r="N9" s="69">
        <f t="shared" ref="N9" si="16">M9+($R9-$M9)/5</f>
        <v>9055.277838711856</v>
      </c>
      <c r="O9" s="69">
        <f t="shared" ref="O9" si="17">N9+($R9-$M9)/5</f>
        <v>9439.2157729038699</v>
      </c>
      <c r="P9" s="69">
        <f t="shared" ref="P9" si="18">O9+($R9-$M9)/5</f>
        <v>9823.1537070958839</v>
      </c>
      <c r="Q9" s="69">
        <f t="shared" ref="Q9" si="19">P9+($R9-$M9)/5</f>
        <v>10207.091641287898</v>
      </c>
      <c r="R9" s="69">
        <f>'[5]CU énergie'!$F55*'[7]Cibles ThreeME v2 AMS'!X$12*20</f>
        <v>10591.029575479908</v>
      </c>
      <c r="S9" s="69">
        <f t="shared" ref="S9" si="20">R9+($W9-$R9)/5</f>
        <v>11152.58464161715</v>
      </c>
      <c r="T9" s="69">
        <f t="shared" ref="T9" si="21">S9+($W9-$R9)/5</f>
        <v>11714.139707754392</v>
      </c>
      <c r="U9" s="69">
        <f t="shared" ref="U9" si="22">T9+($W9-$R9)/5</f>
        <v>12275.694773891633</v>
      </c>
      <c r="V9" s="69">
        <f t="shared" ref="V9" si="23">U9+($W9-$R9)/5</f>
        <v>12837.249840028875</v>
      </c>
      <c r="W9" s="69">
        <f>'[5]CU énergie'!$F55*'[7]Cibles ThreeME v2 AMS'!AC$12*20</f>
        <v>13398.804906166113</v>
      </c>
      <c r="X9" s="69">
        <f t="shared" ref="X9" si="24">W9+($AB9-$W9)/5</f>
        <v>13523.896156253059</v>
      </c>
      <c r="Y9" s="69">
        <f t="shared" ref="Y9" si="25">X9+($AB9-$W9)/5</f>
        <v>13648.987406340004</v>
      </c>
      <c r="Z9" s="69">
        <f t="shared" ref="Z9" si="26">Y9+($AB9-$W9)/5</f>
        <v>13774.078656426949</v>
      </c>
      <c r="AA9" s="69">
        <f t="shared" ref="AA9" si="27">Z9+($AB9-$W9)/5</f>
        <v>13899.169906513895</v>
      </c>
      <c r="AB9" s="69">
        <f>'[5]CU énergie'!$F55*'[7]Cibles ThreeME v2 AMS'!AH$12*20</f>
        <v>14024.26115660084</v>
      </c>
      <c r="AC9" s="69">
        <f t="shared" ref="AC9" si="28">AB9+($AG9-$AB9)/5</f>
        <v>14150.291295174586</v>
      </c>
      <c r="AD9" s="69">
        <f t="shared" ref="AD9" si="29">AC9+($AG9-$AB9)/5</f>
        <v>14276.321433748331</v>
      </c>
      <c r="AE9" s="69">
        <f t="shared" ref="AE9" si="30">AD9+($AG9-$AB9)/5</f>
        <v>14402.351572322077</v>
      </c>
      <c r="AF9" s="69">
        <f t="shared" ref="AF9" si="31">AE9+($AG9-$AB9)/5</f>
        <v>14528.381710895823</v>
      </c>
      <c r="AG9" s="69">
        <f>'[5]CU énergie'!$F55*'[7]Cibles ThreeME v2 AMS'!AM$12*20</f>
        <v>14654.411849469572</v>
      </c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</row>
    <row r="12" spans="1:58" ht="18" x14ac:dyDescent="0.25">
      <c r="B12" s="58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</row>
    <row r="13" spans="1:58" x14ac:dyDescent="0.25">
      <c r="A13" s="72"/>
      <c r="B13" s="73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5"/>
      <c r="AC13" s="75"/>
      <c r="AD13" s="75"/>
      <c r="AE13" s="75"/>
      <c r="AF13" s="75"/>
      <c r="AG13" s="75"/>
      <c r="AH13" s="75"/>
      <c r="AI13" s="75"/>
      <c r="AJ13" s="75"/>
      <c r="AK13" s="76"/>
      <c r="AL13" s="76"/>
      <c r="AM13" s="76"/>
      <c r="AN13" s="76"/>
      <c r="AO13" s="76"/>
      <c r="AP13" s="75"/>
      <c r="AQ13" s="75"/>
      <c r="AR13" s="75"/>
      <c r="AS13" s="75"/>
      <c r="AT13" s="75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</row>
    <row r="14" spans="1:58" x14ac:dyDescent="0.25">
      <c r="A14" s="72"/>
      <c r="B14" s="73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5"/>
      <c r="AC14" s="75"/>
      <c r="AD14" s="75"/>
      <c r="AE14" s="75"/>
      <c r="AF14" s="75"/>
      <c r="AG14" s="75"/>
      <c r="AH14" s="75"/>
      <c r="AI14" s="75"/>
      <c r="AJ14" s="75"/>
      <c r="AK14" s="76"/>
      <c r="AL14" s="76"/>
      <c r="AM14" s="76"/>
      <c r="AN14" s="76"/>
      <c r="AO14" s="76"/>
      <c r="AP14" s="75"/>
      <c r="AQ14" s="75"/>
      <c r="AR14" s="75"/>
      <c r="AS14" s="75"/>
      <c r="AT14" s="75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</row>
    <row r="15" spans="1:58" x14ac:dyDescent="0.25">
      <c r="A15" s="72"/>
      <c r="B15" s="73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5"/>
      <c r="AC15" s="75"/>
      <c r="AD15" s="75"/>
      <c r="AE15" s="75"/>
      <c r="AF15" s="75"/>
      <c r="AG15" s="75"/>
      <c r="AH15" s="75"/>
      <c r="AI15" s="75"/>
      <c r="AJ15" s="75"/>
      <c r="AK15" s="76"/>
      <c r="AL15" s="76"/>
      <c r="AM15" s="76"/>
      <c r="AN15" s="76"/>
      <c r="AO15" s="76"/>
      <c r="AP15" s="75"/>
      <c r="AQ15" s="75"/>
      <c r="AR15" s="75"/>
      <c r="AS15" s="75"/>
      <c r="AT15" s="75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</row>
    <row r="16" spans="1:58" x14ac:dyDescent="0.25">
      <c r="A16" s="72"/>
      <c r="B16" s="73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5"/>
      <c r="AC16" s="75"/>
      <c r="AD16" s="75"/>
      <c r="AE16" s="75"/>
      <c r="AF16" s="75"/>
      <c r="AG16" s="75"/>
      <c r="AH16" s="75"/>
      <c r="AI16" s="75"/>
      <c r="AJ16" s="75"/>
      <c r="AK16" s="76"/>
      <c r="AL16" s="76"/>
      <c r="AM16" s="76"/>
      <c r="AN16" s="76"/>
      <c r="AO16" s="76"/>
      <c r="AP16" s="75"/>
      <c r="AQ16" s="75"/>
      <c r="AR16" s="75"/>
      <c r="AS16" s="75"/>
      <c r="AT16" s="75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</row>
    <row r="17" spans="1:58" x14ac:dyDescent="0.25">
      <c r="A17" s="72"/>
      <c r="B17" s="73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5"/>
      <c r="AC17" s="75"/>
      <c r="AD17" s="75"/>
      <c r="AE17" s="75"/>
      <c r="AF17" s="75"/>
      <c r="AG17" s="75"/>
      <c r="AH17" s="75"/>
      <c r="AI17" s="75"/>
      <c r="AJ17" s="75"/>
      <c r="AK17" s="77"/>
      <c r="AL17" s="77"/>
      <c r="AM17" s="77"/>
      <c r="AN17" s="77"/>
      <c r="AO17" s="77"/>
      <c r="AP17" s="74"/>
      <c r="AQ17" s="74"/>
      <c r="AR17" s="74"/>
      <c r="AS17" s="74"/>
      <c r="AT17" s="74"/>
      <c r="AU17" s="76"/>
      <c r="AV17" s="76"/>
      <c r="AW17" s="76"/>
      <c r="AX17" s="76"/>
      <c r="AY17" s="76"/>
      <c r="AZ17" s="78"/>
      <c r="BA17" s="78"/>
      <c r="BB17" s="78"/>
      <c r="BC17" s="78"/>
      <c r="BD17" s="78"/>
      <c r="BE17" s="78"/>
      <c r="BF17" s="78"/>
    </row>
    <row r="18" spans="1:58" x14ac:dyDescent="0.25">
      <c r="A18" s="72"/>
      <c r="B18" s="73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5"/>
      <c r="AC18" s="75"/>
      <c r="AD18" s="75"/>
      <c r="AE18" s="75"/>
      <c r="AF18" s="75"/>
      <c r="AG18" s="75"/>
      <c r="AH18" s="75"/>
      <c r="AI18" s="75"/>
      <c r="AJ18" s="75"/>
      <c r="AK18" s="77"/>
      <c r="AL18" s="77"/>
      <c r="AM18" s="77"/>
      <c r="AN18" s="77"/>
      <c r="AO18" s="77"/>
      <c r="AP18" s="74"/>
      <c r="AQ18" s="74"/>
      <c r="AR18" s="74"/>
      <c r="AS18" s="74"/>
      <c r="AT18" s="74"/>
      <c r="AU18" s="76"/>
      <c r="AV18" s="76"/>
      <c r="AW18" s="76"/>
      <c r="AX18" s="76"/>
      <c r="AY18" s="76"/>
      <c r="AZ18" s="78"/>
      <c r="BA18" s="78"/>
      <c r="BB18" s="78"/>
      <c r="BC18" s="78"/>
      <c r="BD18" s="78"/>
      <c r="BE18" s="78"/>
      <c r="BF18" s="78"/>
    </row>
    <row r="19" spans="1:58" x14ac:dyDescent="0.25">
      <c r="A19" s="72"/>
      <c r="B19" s="73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5"/>
      <c r="AC19" s="75"/>
      <c r="AD19" s="75"/>
      <c r="AE19" s="75"/>
      <c r="AF19" s="75"/>
      <c r="AG19" s="75"/>
      <c r="AH19" s="75"/>
      <c r="AI19" s="75"/>
      <c r="AJ19" s="75"/>
      <c r="AK19" s="76"/>
      <c r="AL19" s="76"/>
      <c r="AM19" s="76"/>
      <c r="AN19" s="76"/>
      <c r="AO19" s="76"/>
      <c r="AP19" s="74"/>
      <c r="AQ19" s="74"/>
      <c r="AR19" s="74"/>
      <c r="AS19" s="74"/>
      <c r="AT19" s="74"/>
      <c r="AU19" s="76"/>
      <c r="AV19" s="76"/>
      <c r="AW19" s="76"/>
      <c r="AX19" s="76"/>
      <c r="AY19" s="76"/>
      <c r="AZ19" s="78"/>
      <c r="BA19" s="78"/>
      <c r="BB19" s="78"/>
      <c r="BC19" s="78"/>
      <c r="BD19" s="78"/>
      <c r="BE19" s="78"/>
      <c r="BF19" s="78"/>
    </row>
    <row r="20" spans="1:58" x14ac:dyDescent="0.25">
      <c r="A20" s="72"/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5"/>
      <c r="AC20" s="75"/>
      <c r="AD20" s="75"/>
      <c r="AE20" s="75"/>
      <c r="AF20" s="75"/>
      <c r="AG20" s="75"/>
      <c r="AH20" s="75"/>
      <c r="AI20" s="75"/>
      <c r="AJ20" s="75"/>
      <c r="AK20" s="76"/>
      <c r="AL20" s="76"/>
      <c r="AM20" s="76"/>
      <c r="AN20" s="76"/>
      <c r="AO20" s="76"/>
      <c r="AP20" s="75"/>
      <c r="AQ20" s="75"/>
      <c r="AR20" s="75"/>
      <c r="AS20" s="75"/>
      <c r="AT20" s="75"/>
      <c r="AU20" s="76"/>
      <c r="AV20" s="76"/>
      <c r="AW20" s="76"/>
      <c r="AX20" s="76"/>
      <c r="AY20" s="76"/>
      <c r="AZ20" s="78"/>
      <c r="BA20" s="78"/>
      <c r="BB20" s="78"/>
      <c r="BC20" s="78"/>
      <c r="BD20" s="78"/>
      <c r="BE20" s="78"/>
      <c r="BF20" s="78"/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E20"/>
  <sheetViews>
    <sheetView tabSelected="1" workbookViewId="0">
      <selection activeCell="X9" sqref="D9:X9"/>
    </sheetView>
  </sheetViews>
  <sheetFormatPr baseColWidth="10" defaultRowHeight="15" x14ac:dyDescent="0.25"/>
  <cols>
    <col min="1" max="1" width="34.7109375" customWidth="1"/>
    <col min="34" max="58" width="10.85546875"/>
  </cols>
  <sheetData>
    <row r="1" spans="1:57" x14ac:dyDescent="0.25">
      <c r="A1" s="56" t="s">
        <v>122</v>
      </c>
      <c r="B1" s="48">
        <v>2010</v>
      </c>
      <c r="C1" s="48">
        <v>2020</v>
      </c>
      <c r="D1" s="48">
        <f>C1+1</f>
        <v>2021</v>
      </c>
      <c r="E1" s="48">
        <f t="shared" ref="E1:AG1" si="0">D1+1</f>
        <v>2022</v>
      </c>
      <c r="F1" s="48">
        <f t="shared" si="0"/>
        <v>2023</v>
      </c>
      <c r="G1" s="48">
        <f t="shared" si="0"/>
        <v>2024</v>
      </c>
      <c r="H1" s="48">
        <f t="shared" si="0"/>
        <v>2025</v>
      </c>
      <c r="I1" s="48">
        <f t="shared" si="0"/>
        <v>2026</v>
      </c>
      <c r="J1" s="48">
        <f t="shared" si="0"/>
        <v>2027</v>
      </c>
      <c r="K1" s="48">
        <f t="shared" si="0"/>
        <v>2028</v>
      </c>
      <c r="L1" s="48">
        <f t="shared" si="0"/>
        <v>2029</v>
      </c>
      <c r="M1" s="48">
        <f t="shared" si="0"/>
        <v>2030</v>
      </c>
      <c r="N1" s="48">
        <f t="shared" si="0"/>
        <v>2031</v>
      </c>
      <c r="O1" s="48">
        <f t="shared" si="0"/>
        <v>2032</v>
      </c>
      <c r="P1" s="48">
        <f t="shared" si="0"/>
        <v>2033</v>
      </c>
      <c r="Q1" s="48">
        <f t="shared" si="0"/>
        <v>2034</v>
      </c>
      <c r="R1" s="48">
        <f t="shared" si="0"/>
        <v>2035</v>
      </c>
      <c r="S1" s="48">
        <f t="shared" si="0"/>
        <v>2036</v>
      </c>
      <c r="T1" s="48">
        <f t="shared" si="0"/>
        <v>2037</v>
      </c>
      <c r="U1" s="48">
        <f t="shared" si="0"/>
        <v>2038</v>
      </c>
      <c r="V1" s="48">
        <f t="shared" si="0"/>
        <v>2039</v>
      </c>
      <c r="W1" s="48">
        <f t="shared" si="0"/>
        <v>2040</v>
      </c>
      <c r="X1" s="48">
        <f t="shared" si="0"/>
        <v>2041</v>
      </c>
      <c r="Y1" s="48">
        <f t="shared" si="0"/>
        <v>2042</v>
      </c>
      <c r="Z1" s="48">
        <f t="shared" si="0"/>
        <v>2043</v>
      </c>
      <c r="AA1" s="48">
        <f t="shared" si="0"/>
        <v>2044</v>
      </c>
      <c r="AB1" s="48">
        <f t="shared" si="0"/>
        <v>2045</v>
      </c>
      <c r="AC1" s="48">
        <f t="shared" si="0"/>
        <v>2046</v>
      </c>
      <c r="AD1" s="48">
        <f t="shared" si="0"/>
        <v>2047</v>
      </c>
      <c r="AE1" s="48">
        <f t="shared" si="0"/>
        <v>2048</v>
      </c>
      <c r="AF1" s="48">
        <f t="shared" si="0"/>
        <v>2049</v>
      </c>
      <c r="AG1" s="48">
        <f t="shared" si="0"/>
        <v>2050</v>
      </c>
    </row>
    <row r="2" spans="1:57" x14ac:dyDescent="0.25">
      <c r="A2" s="57" t="s">
        <v>88</v>
      </c>
      <c r="B2" s="69"/>
      <c r="C2" s="69"/>
      <c r="D2" s="69">
        <f>INVexo_TEND!D2</f>
        <v>6114.0519281396482</v>
      </c>
      <c r="E2" s="69">
        <f>INVexo_TEND!E2</f>
        <v>6496.601718150996</v>
      </c>
      <c r="F2" s="69">
        <f>INVexo_TEND!F2</f>
        <v>6879.1515081623402</v>
      </c>
      <c r="G2" s="69">
        <f>Kexo_S2!G2-Kexo_S2!F2*(1-1/(('coût S2'!$C61*'coût S2'!$C62+'coût S2'!$C70*'coût S2'!$C71)/('coût S2'!$C62+'coût S2'!$C71)))</f>
        <v>3691.0687607002619</v>
      </c>
      <c r="H2" s="69">
        <f>Kexo_S2!H2-Kexo_S2!G2*(1-1/(('coût S2'!$D61*'coût S2'!$D62+'coût S2'!$D70*'coût S2'!$D71)/('coût S2'!$D62+'coût S2'!$D71)))</f>
        <v>3326.5057268995624</v>
      </c>
      <c r="I2" s="69">
        <f>Kexo_S2!I2-Kexo_S2!H2*(1-1/(('coût S2'!$D61*'coût S2'!$D62+'coût S2'!$D70*'coût S2'!$D71)/('coût S2'!$D62+'coût S2'!$D71)))</f>
        <v>3011.0593798082591</v>
      </c>
      <c r="J2" s="69">
        <f>Kexo_S2!J2-Kexo_S2!I2*(1-1/(('coût S2'!$D61*'coût S2'!$D62+'coût S2'!$D70*'coût S2'!$D71)/('coût S2'!$D62+'coût S2'!$D71)))</f>
        <v>3003.6772174221805</v>
      </c>
      <c r="K2" s="69">
        <f>Kexo_S2!K2-Kexo_S2!J2*(1-1/(('coût S2'!$D61*'coût S2'!$D62+'coût S2'!$D70*'coût S2'!$D71)/('coût S2'!$D62+'coût S2'!$D71)))</f>
        <v>2996.2950550360983</v>
      </c>
      <c r="L2" s="69">
        <f>Kexo_S2!L2-Kexo_S2!K2*(1-1/(('coût S2'!$D61*'coût S2'!$D62+'coût S2'!$D70*'coût S2'!$D71)/('coût S2'!$D62+'coût S2'!$D71)))</f>
        <v>2988.9128926500161</v>
      </c>
      <c r="M2" s="69">
        <f>Kexo_S2!M2-Kexo_S2!L2*(1-1/(('coût S2'!$E61*'coût S2'!$E62+'coût S2'!$E70*'coût S2'!$E71)/('coût S2'!$E62+'coût S2'!$E71)))</f>
        <v>2976.4498708111314</v>
      </c>
      <c r="N2" s="69">
        <f>Kexo_S2!N2-Kexo_S2!M2*(1-1/(('coût S2'!$E61*'coût S2'!$E62+'coût S2'!$E70*'coût S2'!$E71)/('coût S2'!$E62+'coût S2'!$E71)))</f>
        <v>2969.5345687979097</v>
      </c>
      <c r="O2" s="69">
        <f>Kexo_S2!O2-Kexo_S2!N2*(1-1/(('coût S2'!$E61*'coût S2'!$E62+'coût S2'!$E70*'coût S2'!$E71)/('coût S2'!$E62+'coût S2'!$E71)))</f>
        <v>2962.2049177439367</v>
      </c>
      <c r="P2" s="69">
        <f>Kexo_S2!P2-Kexo_S2!O2*(1-1/(('coût S2'!$E61*'coût S2'!$E62+'coût S2'!$E70*'coût S2'!$E71)/('coût S2'!$E62+'coût S2'!$E71)))</f>
        <v>2954.8752666899636</v>
      </c>
      <c r="Q2" s="69">
        <f>Kexo_S2!Q2-Kexo_S2!P2*(1-1/(('coût S2'!$E61*'coût S2'!$E62+'coût S2'!$E70*'coût S2'!$E71)/('coût S2'!$E62+'coût S2'!$E71)))</f>
        <v>2947.5456156359905</v>
      </c>
      <c r="R2" s="69">
        <f>Kexo_S2!R2-Kexo_S2!Q2*(1-1/(('coût S2'!$F61*'coût S2'!$F62+'coût S2'!$F70*'coût S2'!$F71)/('coût S2'!$F62+'coût S2'!$F71)))</f>
        <v>2935.0917475468777</v>
      </c>
      <c r="S2" s="69">
        <f>Kexo_S2!S2-Kexo_S2!R2*(1-1/(('coût S2'!$F61*'coût S2'!$F62+'coût S2'!$F70*'coût S2'!$F71)/('coût S2'!$F62+'coût S2'!$F71)))</f>
        <v>5678.8316638473298</v>
      </c>
      <c r="T2" s="69">
        <f>Kexo_S2!T2-Kexo_S2!S2*(1-1/(('coût S2'!$F61*'coût S2'!$F62+'coût S2'!$F70*'coût S2'!$F71)/('coût S2'!$F62+'coût S2'!$F71)))</f>
        <v>5914.8045286737761</v>
      </c>
      <c r="U2" s="69">
        <f>Kexo_S2!U2-Kexo_S2!T2*(1-1/(('coût S2'!$F61*'coût S2'!$F62+'coût S2'!$F70*'coût S2'!$F71)/('coût S2'!$F62+'coût S2'!$F71)))</f>
        <v>6150.7773935002333</v>
      </c>
      <c r="V2" s="69">
        <f>Kexo_S2!V2-Kexo_S2!U2*(1-1/(('coût S2'!$F61*'coût S2'!$F62+'coût S2'!$F70*'coût S2'!$F71)/('coût S2'!$F62+'coût S2'!$F71)))</f>
        <v>6386.7502583266833</v>
      </c>
      <c r="W2" s="69">
        <f>Kexo_S2!W2-Kexo_S2!V2*(1-1/(('coût S2'!$G61*'coût S2'!$G62+'coût S2'!$G70*'coût S2'!$G71)/('coût S2'!$G62+'coût S2'!$G71)))</f>
        <v>5877.0690317851477</v>
      </c>
      <c r="X2" s="69">
        <f>Kexo_S2!X2-Kexo_S2!W2*(1-1/(('coût S2'!$G61*'coût S2'!$G62+'coût S2'!$G70*'coût S2'!$G71)/('coût S2'!$G62+'coût S2'!$G71)))</f>
        <v>8639.117620736266</v>
      </c>
      <c r="Y2" s="69">
        <f>Kexo_S2!Y2-Kexo_S2!X2*(1-1/(('coût S2'!$G61*'coût S2'!$G62+'coût S2'!$G70*'coût S2'!$G71)/('coût S2'!$G62+'coût S2'!$G71)))</f>
        <v>9015.0578371769443</v>
      </c>
      <c r="Z2" s="69">
        <f>Kexo_S2!Z2-Kexo_S2!Y2*(1-1/(('coût S2'!$G61*'coût S2'!$G62+'coût S2'!$G70*'coût S2'!$G71)/('coût S2'!$G62+'coût S2'!$G71)))</f>
        <v>9390.9980536176154</v>
      </c>
      <c r="AA2" s="69">
        <f>Kexo_S2!AA2-Kexo_S2!Z2*(1-1/(('coût S2'!$G61*'coût S2'!$G62+'coût S2'!$G70*'coût S2'!$G71)/('coût S2'!$G62+'coût S2'!$G71)))</f>
        <v>9766.938270058301</v>
      </c>
      <c r="AB2" s="69">
        <f>Kexo_S2!AB2-Kexo_S2!AA2*(1-1/(('coût S2'!$H61*'coût S2'!$H62+'coût S2'!$H70*'coût S2'!$H71)/('coût S2'!$H62+'coût S2'!$H71)))</f>
        <v>8185.0086012036336</v>
      </c>
      <c r="AC2" s="79">
        <f>IF(Kexo_S2!AC2-Kexo_S2!AB2*(1-1/(('coût S2'!$H61*'coût S2'!$H62+'coût S2'!$H70*'coût S2'!$H71)/('coût S2'!$H62+'coût S2'!$H71)))&gt;0,Kexo_S2!AC2-Kexo_S2!AB2*(1-1/(('coût S2'!$H61*'coût S2'!$H62+'coût S2'!$H70*'coût S2'!$H71)/('coût S2'!$H62+'coût S2'!$H71))),0.5)</f>
        <v>8451.9163918826671</v>
      </c>
      <c r="AD2" s="79">
        <f>IF(Kexo_S2!AD2-Kexo_S2!AC2*(1-1/(('coût S2'!$H61*'coût S2'!$H62+'coût S2'!$H70*'coût S2'!$H71)/('coût S2'!$H62+'coût S2'!$H71)))&gt;0,Kexo_S2!AD2-Kexo_S2!AC2*(1-1/(('coût S2'!$H61*'coût S2'!$H62+'coût S2'!$H70*'coût S2'!$H71)/('coût S2'!$H62+'coût S2'!$H71))),0.5)</f>
        <v>8679.5362197756185</v>
      </c>
      <c r="AE2" s="79">
        <f>IF(Kexo_S2!AE2-Kexo_S2!AD2*(1-1/(('coût S2'!$H61*'coût S2'!$H62+'coût S2'!$H70*'coût S2'!$H71)/('coût S2'!$H62+'coût S2'!$H71)))&gt;0,Kexo_S2!AE2-Kexo_S2!AD2*(1-1/(('coût S2'!$H61*'coût S2'!$H62+'coût S2'!$H70*'coût S2'!$H71)/('coût S2'!$H62+'coût S2'!$H71))),0.5)</f>
        <v>8907.1560476685554</v>
      </c>
      <c r="AF2" s="79">
        <f>IF(Kexo_S2!AF2-Kexo_S2!AE2*(1-1/(('coût S2'!$H61*'coût S2'!$H62+'coût S2'!$H70*'coût S2'!$H71)/('coût S2'!$H62+'coût S2'!$H71)))&gt;0,Kexo_S2!AF2-Kexo_S2!AE2*(1-1/(('coût S2'!$H61*'coût S2'!$H62+'coût S2'!$H70*'coût S2'!$H71)/('coût S2'!$H62+'coût S2'!$H71))),0.5)</f>
        <v>9134.7758755614923</v>
      </c>
      <c r="AG2" s="79">
        <f>IF(Kexo_S2!AG2-Kexo_S2!AF2*(1-1/(('coût S2'!$H61*'coût S2'!$H62+'coût S2'!$H70*'coût S2'!$H71)/('coût S2'!$H62+'coût S2'!$H71)))&gt;0,Kexo_S2!AG2-Kexo_S2!AF2*(1-1/(('coût S2'!$H61*'coût S2'!$H62+'coût S2'!$H70*'coût S2'!$H71)/('coût S2'!$H62+'coût S2'!$H71))),0.5)</f>
        <v>9362.3957034544728</v>
      </c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</row>
    <row r="3" spans="1:57" x14ac:dyDescent="0.25">
      <c r="A3" s="57" t="s">
        <v>89</v>
      </c>
      <c r="B3" s="69"/>
      <c r="C3" s="69"/>
      <c r="D3" s="69">
        <f>INVexo_TEND!D3</f>
        <v>3.0644000000000062</v>
      </c>
      <c r="E3" s="69">
        <f>INVexo_TEND!E3</f>
        <v>3.0644000000000062</v>
      </c>
      <c r="F3" s="69">
        <f>INVexo_TEND!F3</f>
        <v>3.0644000000000062</v>
      </c>
      <c r="G3" s="79">
        <f>IF(Kexo_S2!G3-Kexo_S2!F3*(1-1/40)&gt;0.5,Kexo_S2!G3-Kexo_S2!F3*(1-1/40),0.5)</f>
        <v>0.5</v>
      </c>
      <c r="H3" s="79">
        <f>IF(Kexo_S2!H3-Kexo_S2!G3*(1-1/40)&gt;0.5,Kexo_S2!H3-Kexo_S2!G3*(1-1/40),0.5)</f>
        <v>0.5</v>
      </c>
      <c r="I3" s="79">
        <f>IF(Kexo_S2!I3-Kexo_S2!H3*(1-1/40)&gt;0.5,Kexo_S2!I3-Kexo_S2!H3*(1-1/40),0.5)</f>
        <v>0.5</v>
      </c>
      <c r="J3" s="79">
        <f>IF(Kexo_S2!J3-Kexo_S2!I3*(1-1/40)&gt;0.5,Kexo_S2!J3-Kexo_S2!I3*(1-1/40),0.5)</f>
        <v>0.5</v>
      </c>
      <c r="K3" s="79">
        <f>IF(Kexo_S2!K3-Kexo_S2!J3*(1-1/40)&gt;0.5,Kexo_S2!K3-Kexo_S2!J3*(1-1/40),0.5)</f>
        <v>0.5</v>
      </c>
      <c r="L3" s="79">
        <f>IF(Kexo_S2!L3-Kexo_S2!K3*(1-1/40)&gt;0.5,Kexo_S2!L3-Kexo_S2!K3*(1-1/40),0.5)</f>
        <v>0.5</v>
      </c>
      <c r="M3" s="79">
        <f>IF(Kexo_S2!M3-Kexo_S2!L3*(1-1/40)&gt;0.5,Kexo_S2!M3-Kexo_S2!L3*(1-1/40),0.5)</f>
        <v>0.5</v>
      </c>
      <c r="N3" s="79">
        <f>IF(Kexo_S2!N3-Kexo_S2!M3*(1-1/40)&gt;0.5,Kexo_S2!N3-Kexo_S2!M3*(1-1/40),0.5)</f>
        <v>0.5</v>
      </c>
      <c r="O3" s="79">
        <f>IF(Kexo_S2!O3-Kexo_S2!N3*(1-1/40)&gt;0.5,Kexo_S2!O3-Kexo_S2!N3*(1-1/40),0.5)</f>
        <v>0.5</v>
      </c>
      <c r="P3" s="79">
        <f>IF(Kexo_S2!P3-Kexo_S2!O3*(1-1/40)&gt;0.5,Kexo_S2!P3-Kexo_S2!O3*(1-1/40),0.5)</f>
        <v>0.5</v>
      </c>
      <c r="Q3" s="79">
        <f>IF(Kexo_S2!Q3-Kexo_S2!P3*(1-1/40)&gt;0.5,Kexo_S2!Q3-Kexo_S2!P3*(1-1/40),0.5)</f>
        <v>0.5</v>
      </c>
      <c r="R3" s="79">
        <f>IF(Kexo_S2!R3-Kexo_S2!Q3*(1-1/40)&gt;0.5,Kexo_S2!R3-Kexo_S2!Q3*(1-1/40),0.5)</f>
        <v>0.5</v>
      </c>
      <c r="S3" s="79">
        <f>IF(Kexo_S2!S3-Kexo_S2!R3*(1-1/40)&gt;0.5,Kexo_S2!S3-Kexo_S2!R3*(1-1/40),0.5)</f>
        <v>0.5</v>
      </c>
      <c r="T3" s="79">
        <f>IF(Kexo_S2!T3-Kexo_S2!S3*(1-1/40)&gt;0.5,Kexo_S2!T3-Kexo_S2!S3*(1-1/40),0.5)</f>
        <v>0.5</v>
      </c>
      <c r="U3" s="79">
        <f>IF(Kexo_S2!U3-Kexo_S2!T3*(1-1/40)&gt;0.5,Kexo_S2!U3-Kexo_S2!T3*(1-1/40),0.5)</f>
        <v>0.5</v>
      </c>
      <c r="V3" s="79">
        <f>IF(Kexo_S2!V3-Kexo_S2!U3*(1-1/40)&gt;0.5,Kexo_S2!V3-Kexo_S2!U3*(1-1/40),0.5)</f>
        <v>0.5</v>
      </c>
      <c r="W3" s="79">
        <f>IF(Kexo_S2!W3-Kexo_S2!V3*(1-1/40)&gt;0.5,Kexo_S2!W3-Kexo_S2!V3*(1-1/40),0.5)</f>
        <v>0.5</v>
      </c>
      <c r="X3" s="79">
        <f>IF(Kexo_S2!X3-Kexo_S2!W3*(1-1/40)&gt;0.5,Kexo_S2!X3-Kexo_S2!W3*(1-1/40),0.5)</f>
        <v>0.5</v>
      </c>
      <c r="Y3" s="79">
        <f>IF(Kexo_S2!Y3-Kexo_S2!X3*(1-1/40)&gt;0.5,Kexo_S2!Y3-Kexo_S2!X3*(1-1/40),0.5)</f>
        <v>0.5</v>
      </c>
      <c r="Z3" s="79">
        <f>IF(Kexo_S2!Z3-Kexo_S2!Y3*(1-1/40)&gt;0.5,Kexo_S2!Z3-Kexo_S2!Y3*(1-1/40),0.5)</f>
        <v>0.5</v>
      </c>
      <c r="AA3" s="79">
        <f>IF(Kexo_S2!AA3-Kexo_S2!Z3*(1-1/40)&gt;0.5,Kexo_S2!AA3-Kexo_S2!Z3*(1-1/40),0.5)</f>
        <v>0.5</v>
      </c>
      <c r="AB3" s="79">
        <f>IF(Kexo_S2!AB3-Kexo_S2!AA3*(1-1/40)&gt;0.5,Kexo_S2!AB3-Kexo_S2!AA3*(1-1/40),0.5)</f>
        <v>0.5</v>
      </c>
      <c r="AC3" s="79">
        <f>IF(Kexo_S2!AC3-Kexo_S2!AB3*(1-1/40)&gt;0.5,Kexo_S2!AC3-Kexo_S2!AB3*(1-1/40),0.5)</f>
        <v>0.5</v>
      </c>
      <c r="AD3" s="79">
        <f>IF(Kexo_S2!AD3-Kexo_S2!AC3*(1-1/40)&gt;0.5,Kexo_S2!AD3-Kexo_S2!AC3*(1-1/40),0.5)</f>
        <v>0.5</v>
      </c>
      <c r="AE3" s="79">
        <f>IF(Kexo_S2!AE3-Kexo_S2!AD3*(1-1/40)&gt;0.5,Kexo_S2!AE3-Kexo_S2!AD3*(1-1/40),0.5)</f>
        <v>0.5</v>
      </c>
      <c r="AF3" s="79">
        <f>IF(Kexo_S2!AF3-Kexo_S2!AE3*(1-1/40)&gt;0.5,Kexo_S2!AF3-Kexo_S2!AE3*(1-1/40),0.5)</f>
        <v>0.5</v>
      </c>
      <c r="AG3" s="79">
        <f>IF(Kexo_S2!AG3-Kexo_S2!AF3*(1-1/40)&gt;0.5,Kexo_S2!AG3-Kexo_S2!AF3*(1-1/40),0.5)</f>
        <v>0.5</v>
      </c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</row>
    <row r="4" spans="1:57" x14ac:dyDescent="0.25">
      <c r="A4" s="57" t="s">
        <v>90</v>
      </c>
      <c r="B4" s="69"/>
      <c r="C4" s="69"/>
      <c r="D4" s="69">
        <f>INVexo_TEND!D4</f>
        <v>0.5</v>
      </c>
      <c r="E4" s="69">
        <f>INVexo_TEND!E4</f>
        <v>0.5</v>
      </c>
      <c r="F4" s="69">
        <f>INVexo_TEND!F4</f>
        <v>0.5</v>
      </c>
      <c r="G4" s="79">
        <f>IF(Kexo_S2!G4-Kexo_S2!F4*(1-1/'coût S2'!$C78)&gt;0,Kexo_S2!G4-Kexo_S2!F4*(1-1/'coût S2'!$C78),0.5)</f>
        <v>0.5</v>
      </c>
      <c r="H4" s="79">
        <f>IF(Kexo_S2!H4-Kexo_S2!G4*(1-1/'coût S2'!$C78)&gt;0,Kexo_S2!H4-Kexo_S2!G4*(1-1/'coût S2'!$C78),0.5)</f>
        <v>0.5</v>
      </c>
      <c r="I4" s="79">
        <f>IF(Kexo_S2!I4-Kexo_S2!H4*(1-1/'coût S2'!$C78)&gt;0,Kexo_S2!I4-Kexo_S2!H4*(1-1/'coût S2'!$C78),0.5)</f>
        <v>30.630958259503586</v>
      </c>
      <c r="J4" s="79">
        <f>IF(Kexo_S2!J4-Kexo_S2!I4*(1-1/'coût S2'!$C78)&gt;0,Kexo_S2!J4-Kexo_S2!I4*(1-1/'coût S2'!$C78),0.5)</f>
        <v>27.076471574118841</v>
      </c>
      <c r="K4" s="79">
        <f>IF(Kexo_S2!K4-Kexo_S2!J4*(1-1/'coût S2'!$C78)&gt;0,Kexo_S2!K4-Kexo_S2!J4*(1-1/'coût S2'!$C78),0.5)</f>
        <v>23.521984888733641</v>
      </c>
      <c r="L4" s="79">
        <f>IF(Kexo_S2!L4-Kexo_S2!K4*(1-1/'coût S2'!$C78)&gt;0,Kexo_S2!L4-Kexo_S2!K4*(1-1/'coût S2'!$C78),0.5)</f>
        <v>19.967498203348896</v>
      </c>
      <c r="M4" s="79">
        <f>IF(Kexo_S2!M4-Kexo_S2!L4*(1-1/'coût S2'!$C78)&gt;0,Kexo_S2!M4-Kexo_S2!L4*(1-1/'coût S2'!$C78),0.5)</f>
        <v>16.413011517964151</v>
      </c>
      <c r="N4" s="79">
        <f>IF(Kexo_S2!N4-Kexo_S2!M4*(1-1/'coût S2'!$C78)&gt;0,Kexo_S2!N4-Kexo_S2!M4*(1-1/'coût S2'!$C78),0.5)</f>
        <v>41.189835214231607</v>
      </c>
      <c r="O4" s="79">
        <f>IF(Kexo_S2!O4-Kexo_S2!N4*(1-1/'coût S2'!$C78)&gt;0,Kexo_S2!O4-Kexo_S2!N4*(1-1/'coût S2'!$C78),0.5)</f>
        <v>38.579725541568223</v>
      </c>
      <c r="P4" s="79">
        <f>IF(Kexo_S2!P4-Kexo_S2!O4*(1-1/'coût S2'!$C78)&gt;0,Kexo_S2!P4-Kexo_S2!O4*(1-1/'coût S2'!$C78),0.5)</f>
        <v>35.969615868904839</v>
      </c>
      <c r="Q4" s="79">
        <f>IF(Kexo_S2!Q4-Kexo_S2!P4*(1-1/'coût S2'!$C78)&gt;0,Kexo_S2!Q4-Kexo_S2!P4*(1-1/'coût S2'!$C78),0.5)</f>
        <v>33.359506196241909</v>
      </c>
      <c r="R4" s="79">
        <f>IF(Kexo_S2!R4-Kexo_S2!Q4*(1-1/'coût S2'!$C78)&gt;0,Kexo_S2!R4-Kexo_S2!Q4*(1-1/'coût S2'!$C78),0.5)</f>
        <v>30.749396523578071</v>
      </c>
      <c r="S4" s="79">
        <f>IF(Kexo_S2!S4-Kexo_S2!R4*(1-1/'coût S2'!$C78)&gt;0,Kexo_S2!S4-Kexo_S2!R4*(1-1/'coût S2'!$C78),0.5)</f>
        <v>0.5</v>
      </c>
      <c r="T4" s="79">
        <f>IF(Kexo_S2!T4-Kexo_S2!S4*(1-1/'coût S2'!$C78)&gt;0,Kexo_S2!T4-Kexo_S2!S4*(1-1/'coût S2'!$C78),0.5)</f>
        <v>0.5</v>
      </c>
      <c r="U4" s="79">
        <f>IF(Kexo_S2!U4-Kexo_S2!T4*(1-1/'coût S2'!$C78)&gt;0,Kexo_S2!U4-Kexo_S2!T4*(1-1/'coût S2'!$C78),0.5)</f>
        <v>0.5</v>
      </c>
      <c r="V4" s="79">
        <f>IF(Kexo_S2!V4-Kexo_S2!U4*(1-1/'coût S2'!$C78)&gt;0,Kexo_S2!V4-Kexo_S2!U4*(1-1/'coût S2'!$C78),0.5)</f>
        <v>0.5</v>
      </c>
      <c r="W4" s="79">
        <f>IF(Kexo_S2!W4-Kexo_S2!V4*(1-1/'coût S2'!$C78)&gt;0,Kexo_S2!W4-Kexo_S2!V4*(1-1/'coût S2'!$C78),0.5)</f>
        <v>0.5</v>
      </c>
      <c r="X4" s="79">
        <f>IF(Kexo_S2!X4-Kexo_S2!W4*(1-1/'coût S2'!$C78)&gt;0,Kexo_S2!X4-Kexo_S2!W4*(1-1/'coût S2'!$C78),0.5)</f>
        <v>0.5</v>
      </c>
      <c r="Y4" s="79">
        <f>IF(Kexo_S2!Y4-Kexo_S2!X4*(1-1/'coût S2'!$C78)&gt;0,Kexo_S2!Y4-Kexo_S2!X4*(1-1/'coût S2'!$C78),0.5)</f>
        <v>0.5</v>
      </c>
      <c r="Z4" s="79">
        <f>IF(Kexo_S2!Z4-Kexo_S2!Y4*(1-1/'coût S2'!$C78)&gt;0,Kexo_S2!Z4-Kexo_S2!Y4*(1-1/'coût S2'!$C78),0.5)</f>
        <v>0.5</v>
      </c>
      <c r="AA4" s="79">
        <f>IF(Kexo_S2!AA4-Kexo_S2!Z4*(1-1/'coût S2'!$C78)&gt;0,Kexo_S2!AA4-Kexo_S2!Z4*(1-1/'coût S2'!$C78),0.5)</f>
        <v>0.5</v>
      </c>
      <c r="AB4" s="79">
        <f>IF(Kexo_S2!AB4-Kexo_S2!AA4*(1-1/'coût S2'!$C78)&gt;0,Kexo_S2!AB4-Kexo_S2!AA4*(1-1/'coût S2'!$C78),0.5)</f>
        <v>0.5</v>
      </c>
      <c r="AC4" s="79">
        <f>IF(Kexo_S2!AC4-Kexo_S2!AB4*(1-1/'coût S2'!$C78)&gt;0,Kexo_S2!AC4-Kexo_S2!AB4*(1-1/'coût S2'!$C78),0.5)</f>
        <v>0.5</v>
      </c>
      <c r="AD4" s="79">
        <f>IF(Kexo_S2!AD4-Kexo_S2!AC4*(1-1/'coût S2'!$C78)&gt;0,Kexo_S2!AD4-Kexo_S2!AC4*(1-1/'coût S2'!$C78),0.5)</f>
        <v>0.5</v>
      </c>
      <c r="AE4" s="79">
        <f>IF(Kexo_S2!AE4-Kexo_S2!AD4*(1-1/'coût S2'!$C78)&gt;0,Kexo_S2!AE4-Kexo_S2!AD4*(1-1/'coût S2'!$C78),0.5)</f>
        <v>0.5</v>
      </c>
      <c r="AF4" s="79">
        <f>IF(Kexo_S2!AF4-Kexo_S2!AE4*(1-1/'coût S2'!$C78)&gt;0,Kexo_S2!AF4-Kexo_S2!AE4*(1-1/'coût S2'!$C78),0.5)</f>
        <v>0.5</v>
      </c>
      <c r="AG4" s="79">
        <f>IF(Kexo_S2!AG4-Kexo_S2!AF4*(1-1/'coût S2'!$C78)&gt;0,Kexo_S2!AG4-Kexo_S2!AF4*(1-1/'coût S2'!$C78),0.5)</f>
        <v>0.5</v>
      </c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</row>
    <row r="5" spans="1:57" x14ac:dyDescent="0.25">
      <c r="A5" s="57" t="s">
        <v>91</v>
      </c>
      <c r="B5" s="69"/>
      <c r="C5" s="69"/>
      <c r="D5" s="69">
        <f>INVexo_TEND!D5</f>
        <v>3.5799010258527346</v>
      </c>
      <c r="E5" s="69">
        <f>INVexo_TEND!E5</f>
        <v>3.5799010258527346</v>
      </c>
      <c r="F5" s="69">
        <f>INVexo_TEND!F5</f>
        <v>3.5799010258527346</v>
      </c>
      <c r="G5" s="80">
        <f>IF(Kexo_S2!G5-Kexo_S2!F5*(1-1/40)&gt;0.5,Kexo_S2!G5-Kexo_S2!F5*(1-1/40),0.5)</f>
        <v>0.5</v>
      </c>
      <c r="H5" s="80">
        <f>IF(Kexo_S2!H5-Kexo_S2!G5*(1-1/40)&gt;0.5,Kexo_S2!H5-Kexo_S2!G5*(1-1/40),0.5)</f>
        <v>0.5</v>
      </c>
      <c r="I5" s="80">
        <f>IF(Kexo_S2!I5-Kexo_S2!H5*(1-1/40)&gt;0.5,Kexo_S2!I5-Kexo_S2!H5*(1-1/40),0.5)</f>
        <v>0.5</v>
      </c>
      <c r="J5" s="80">
        <f>IF(Kexo_S2!J5-Kexo_S2!I5*(1-1/40)&gt;0.5,Kexo_S2!J5-Kexo_S2!I5*(1-1/40),0.5)</f>
        <v>0.5</v>
      </c>
      <c r="K5" s="80">
        <f>IF(Kexo_S2!K5-Kexo_S2!J5*(1-1/40)&gt;0.5,Kexo_S2!K5-Kexo_S2!J5*(1-1/40),0.5)</f>
        <v>0.5</v>
      </c>
      <c r="L5" s="80">
        <f>IF(Kexo_S2!L5-Kexo_S2!K5*(1-1/40)&gt;0.5,Kexo_S2!L5-Kexo_S2!K5*(1-1/40),0.5)</f>
        <v>0.5</v>
      </c>
      <c r="M5" s="80">
        <f>IF(Kexo_S2!M5-Kexo_S2!L5*(1-1/40)&gt;0.5,Kexo_S2!M5-Kexo_S2!L5*(1-1/40),0.5)</f>
        <v>0.5</v>
      </c>
      <c r="N5" s="80">
        <f>IF(Kexo_S2!N5-Kexo_S2!M5*(1-1/40)&gt;0.5,Kexo_S2!N5-Kexo_S2!M5*(1-1/40),0.5)</f>
        <v>0.5</v>
      </c>
      <c r="O5" s="80">
        <f>IF(Kexo_S2!O5-Kexo_S2!N5*(1-1/40)&gt;0.5,Kexo_S2!O5-Kexo_S2!N5*(1-1/40),0.5)</f>
        <v>0.5</v>
      </c>
      <c r="P5" s="80">
        <f>IF(Kexo_S2!P5-Kexo_S2!O5*(1-1/40)&gt;0.5,Kexo_S2!P5-Kexo_S2!O5*(1-1/40),0.5)</f>
        <v>0.5</v>
      </c>
      <c r="Q5" s="80">
        <f>IF(Kexo_S2!Q5-Kexo_S2!P5*(1-1/40)&gt;0.5,Kexo_S2!Q5-Kexo_S2!P5*(1-1/40),0.5)</f>
        <v>0.5</v>
      </c>
      <c r="R5" s="80">
        <f>IF(Kexo_S2!R5-Kexo_S2!Q5*(1-1/40)&gt;0.5,Kexo_S2!R5-Kexo_S2!Q5*(1-1/40),0.5)</f>
        <v>0.5</v>
      </c>
      <c r="S5" s="80">
        <f>IF(Kexo_S2!S5-Kexo_S2!R5*(1-1/40)&gt;0.5,Kexo_S2!S5-Kexo_S2!R5*(1-1/40),0.5)</f>
        <v>0.5</v>
      </c>
      <c r="T5" s="80">
        <f>IF(Kexo_S2!T5-Kexo_S2!S5*(1-1/40)&gt;0.5,Kexo_S2!T5-Kexo_S2!S5*(1-1/40),0.5)</f>
        <v>0.5</v>
      </c>
      <c r="U5" s="80">
        <f>IF(Kexo_S2!U5-Kexo_S2!T5*(1-1/40)&gt;0.5,Kexo_S2!U5-Kexo_S2!T5*(1-1/40),0.5)</f>
        <v>0.5</v>
      </c>
      <c r="V5" s="80">
        <f>IF(Kexo_S2!V5-Kexo_S2!U5*(1-1/40)&gt;0.5,Kexo_S2!V5-Kexo_S2!U5*(1-1/40),0.5)</f>
        <v>0.5</v>
      </c>
      <c r="W5" s="80">
        <f>IF(Kexo_S2!W5-Kexo_S2!V5*(1-1/40)&gt;0.5,Kexo_S2!W5-Kexo_S2!V5*(1-1/40),0.5)</f>
        <v>0.5</v>
      </c>
      <c r="X5" s="80">
        <f>IF(Kexo_S2!X5-Kexo_S2!W5*(1-1/40)&gt;0.5,Kexo_S2!X5-Kexo_S2!W5*(1-1/40),0.5)</f>
        <v>0.5</v>
      </c>
      <c r="Y5" s="80">
        <f>IF(Kexo_S2!Y5-Kexo_S2!X5*(1-1/40)&gt;0.5,Kexo_S2!Y5-Kexo_S2!X5*(1-1/40),0.5)</f>
        <v>0.5</v>
      </c>
      <c r="Z5" s="80">
        <f>IF(Kexo_S2!Z5-Kexo_S2!Y5*(1-1/40)&gt;0.5,Kexo_S2!Z5-Kexo_S2!Y5*(1-1/40),0.5)</f>
        <v>0.5</v>
      </c>
      <c r="AA5" s="80">
        <f>IF(Kexo_S2!AA5-Kexo_S2!Z5*(1-1/40)&gt;0.5,Kexo_S2!AA5-Kexo_S2!Z5*(1-1/40),0.5)</f>
        <v>0.5</v>
      </c>
      <c r="AB5" s="80">
        <f>IF(Kexo_S2!AB5-Kexo_S2!AA5*(1-1/40)&gt;0.5,Kexo_S2!AB5-Kexo_S2!AA5*(1-1/40),0.5)</f>
        <v>0.5</v>
      </c>
      <c r="AC5" s="80">
        <f>IF(Kexo_S2!AC5-Kexo_S2!AB5*(1-1/40)&gt;0.5,Kexo_S2!AC5-Kexo_S2!AB5*(1-1/40),0.5)</f>
        <v>0.5</v>
      </c>
      <c r="AD5" s="80">
        <f>IF(Kexo_S2!AD5-Kexo_S2!AC5*(1-1/40)&gt;0.5,Kexo_S2!AD5-Kexo_S2!AC5*(1-1/40),0.5)</f>
        <v>0.5</v>
      </c>
      <c r="AE5" s="80">
        <f>IF(Kexo_S2!AE5-Kexo_S2!AD5*(1-1/40)&gt;0.5,Kexo_S2!AE5-Kexo_S2!AD5*(1-1/40),0.5)</f>
        <v>0.5</v>
      </c>
      <c r="AF5" s="80">
        <f>IF(Kexo_S2!AF5-Kexo_S2!AE5*(1-1/40)&gt;0.5,Kexo_S2!AF5-Kexo_S2!AE5*(1-1/40),0.5)</f>
        <v>0.5</v>
      </c>
      <c r="AG5" s="80">
        <f>IF(Kexo_S2!AG5-Kexo_S2!AF5*(1-1/40)&gt;0.5,Kexo_S2!AG5-Kexo_S2!AF5*(1-1/40),0.5)</f>
        <v>0.5</v>
      </c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</row>
    <row r="6" spans="1:57" x14ac:dyDescent="0.25">
      <c r="A6" s="57" t="s">
        <v>92</v>
      </c>
      <c r="B6" s="69"/>
      <c r="C6" s="69"/>
      <c r="D6" s="69">
        <f>INVexo_TEND!D6</f>
        <v>3180.3309714647985</v>
      </c>
      <c r="E6" s="69">
        <f>INVexo_TEND!E6</f>
        <v>3267.2509726190729</v>
      </c>
      <c r="F6" s="69">
        <f>INVexo_TEND!F6</f>
        <v>3354.1709737733436</v>
      </c>
      <c r="G6" s="69">
        <f>Kexo_S2!G6-Kexo_S2!F6*(1-1/'coût S2'!$C38)</f>
        <v>4461.5969773285797</v>
      </c>
      <c r="H6" s="69">
        <f>Kexo_S2!H6-Kexo_S2!G6*(1-1/'coût S2'!$C38)</f>
        <v>4589.3372185788903</v>
      </c>
      <c r="I6" s="69">
        <f>Kexo_S2!I6-Kexo_S2!H6*(1-1/'coût S2'!$C38)</f>
        <v>3238.6722689075614</v>
      </c>
      <c r="J6" s="69">
        <f>Kexo_S2!J6-Kexo_S2!I6*(1-1/'coût S2'!$C38)</f>
        <v>3307.2763025210079</v>
      </c>
      <c r="K6" s="69">
        <f>Kexo_S2!K6-Kexo_S2!J6*(1-1/'coût S2'!$C38)</f>
        <v>3375.8803361344544</v>
      </c>
      <c r="L6" s="69">
        <f>Kexo_S2!L6-Kexo_S2!K6*(1-1/'coût S2'!$C38)</f>
        <v>3444.4843697479009</v>
      </c>
      <c r="M6" s="69">
        <f>Kexo_S2!M6-Kexo_S2!L6*(1-1/'coût S2'!$C38)</f>
        <v>3513.088403361362</v>
      </c>
      <c r="N6" s="69">
        <f>Kexo_S2!N6-Kexo_S2!M6*(1-1/'coût S2'!$C38)</f>
        <v>7325.0789915966452</v>
      </c>
      <c r="O6" s="69">
        <f>Kexo_S2!O6-Kexo_S2!N6*(1-1/'coût S2'!$C38)</f>
        <v>7543.4184873949634</v>
      </c>
      <c r="P6" s="69">
        <f>Kexo_S2!P6-Kexo_S2!O6*(1-1/'coût S2'!$C38)</f>
        <v>7761.7579831932817</v>
      </c>
      <c r="Q6" s="69">
        <f>Kexo_S2!Q6-Kexo_S2!P6*(1-1/'coût S2'!$C38)</f>
        <v>7980.0974789915927</v>
      </c>
      <c r="R6" s="69">
        <f>Kexo_S2!R6-Kexo_S2!Q6*(1-1/'coût S2'!$C38)</f>
        <v>8198.4369747899327</v>
      </c>
      <c r="S6" s="69">
        <f>Kexo_S2!S6-Kexo_S2!R6*(1-1/'coût S2'!$C38)</f>
        <v>8731.6336134453741</v>
      </c>
      <c r="T6" s="69">
        <f>Kexo_S2!T6-Kexo_S2!S6*(1-1/'coût S2'!$C38)</f>
        <v>8962.5673949579796</v>
      </c>
      <c r="U6" s="69">
        <f>Kexo_S2!U6-Kexo_S2!T6*(1-1/'coût S2'!$C38)</f>
        <v>9193.5011764705851</v>
      </c>
      <c r="V6" s="69">
        <f>Kexo_S2!V6-Kexo_S2!U6*(1-1/'coût S2'!$C38)</f>
        <v>9424.4349579831905</v>
      </c>
      <c r="W6" s="69">
        <f>Kexo_S2!W6-Kexo_S2!V6*(1-1/'coût S2'!$C38)</f>
        <v>9655.3687394958106</v>
      </c>
      <c r="X6" s="69">
        <f>Kexo_S2!X6-Kexo_S2!W6*(1-1/'coût S2'!$C38)</f>
        <v>9611.3949579831969</v>
      </c>
      <c r="Y6" s="69">
        <f>Kexo_S2!Y6-Kexo_S2!X6*(1-1/'coût S2'!$C38)</f>
        <v>9831.3324369748007</v>
      </c>
      <c r="Z6" s="69">
        <f>Kexo_S2!Z6-Kexo_S2!Y6*(1-1/'coût S2'!$C38)</f>
        <v>10051.26991596639</v>
      </c>
      <c r="AA6" s="69">
        <f>Kexo_S2!AA6-Kexo_S2!Z6*(1-1/'coût S2'!$C38)</f>
        <v>10271.207394957994</v>
      </c>
      <c r="AB6" s="69">
        <f>Kexo_S2!AB6-Kexo_S2!AA6*(1-1/'coût S2'!$C38)</f>
        <v>10491.144873949568</v>
      </c>
      <c r="AC6" s="69">
        <f>Kexo_S2!AC6-Kexo_S2!AB6*(1-1/'coût S2'!$C38)</f>
        <v>11403.519327731105</v>
      </c>
      <c r="AD6" s="69">
        <f>Kexo_S2!AD6-Kexo_S2!AC6*(1-1/'coût S2'!$C38)</f>
        <v>11651.154285714292</v>
      </c>
      <c r="AE6" s="69">
        <f>Kexo_S2!AE6-Kexo_S2!AD6*(1-1/'coût S2'!$C38)</f>
        <v>11898.78924369748</v>
      </c>
      <c r="AF6" s="69">
        <f>Kexo_S2!AF6-Kexo_S2!AE6*(1-1/'coût S2'!$C38)</f>
        <v>12146.424201680697</v>
      </c>
      <c r="AG6" s="69">
        <f>Kexo_S2!AG6-Kexo_S2!AF6*(1-1/'coût S2'!$C38)</f>
        <v>12394.059159663884</v>
      </c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</row>
    <row r="7" spans="1:57" x14ac:dyDescent="0.25">
      <c r="A7" s="57" t="s">
        <v>93</v>
      </c>
      <c r="B7" s="69"/>
      <c r="C7" s="69"/>
      <c r="D7" s="69">
        <f>INVexo_TEND!D7</f>
        <v>1707.8121132962588</v>
      </c>
      <c r="E7" s="69">
        <f>INVexo_TEND!E7</f>
        <v>1761.9795813747314</v>
      </c>
      <c r="F7" s="69">
        <f>INVexo_TEND!F7</f>
        <v>1816.1470494532041</v>
      </c>
      <c r="G7" s="69">
        <f>Kexo_S2!G7-Kexo_S2!F7*(1-1/('coût S2'!$C27))</f>
        <v>2666.5801250192562</v>
      </c>
      <c r="H7" s="69">
        <f>Kexo_S2!H7-Kexo_S2!G7*(1-1/('coût S2'!$C27))</f>
        <v>2752.5982173972297</v>
      </c>
      <c r="I7" s="69">
        <f>Kexo_S2!I7-Kexo_S2!H7*(1-1/('coût S2'!$C27))</f>
        <v>2491.4650070632451</v>
      </c>
      <c r="J7" s="69">
        <f>Kexo_S2!J7-Kexo_S2!I7*(1-1/('coût S2'!$C27))</f>
        <v>2563.5970473327434</v>
      </c>
      <c r="K7" s="69">
        <f>Kexo_S2!K7-Kexo_S2!J7*(1-1/('coût S2'!$C27))</f>
        <v>2635.729087602238</v>
      </c>
      <c r="L7" s="69">
        <f>Kexo_S2!L7-Kexo_S2!K7*(1-1/('coût S2'!$C27))</f>
        <v>2707.8611278717362</v>
      </c>
      <c r="M7" s="69">
        <f>Kexo_S2!M7-Kexo_S2!L7*(1-1/('coût S2'!$C27))</f>
        <v>2779.9931681412272</v>
      </c>
      <c r="N7" s="69">
        <f>Kexo_S2!N7-Kexo_S2!M7*(1-1/('coût S2'!$C27))</f>
        <v>2961.1744537196682</v>
      </c>
      <c r="O7" s="69">
        <f>Kexo_S2!O7-Kexo_S2!N7*(1-1/('coût S2'!$C27))</f>
        <v>3037.6684638015213</v>
      </c>
      <c r="P7" s="69">
        <f>Kexo_S2!P7-Kexo_S2!O7*(1-1/('coût S2'!$C27))</f>
        <v>3114.162473883378</v>
      </c>
      <c r="Q7" s="69">
        <f>Kexo_S2!Q7-Kexo_S2!P7*(1-1/('coût S2'!$C27))</f>
        <v>3190.6564839652347</v>
      </c>
      <c r="R7" s="69">
        <f>Kexo_S2!R7-Kexo_S2!Q7*(1-1/('coût S2'!$C27))</f>
        <v>3267.1504940470877</v>
      </c>
      <c r="S7" s="69">
        <f>Kexo_S2!S7-Kexo_S2!R7*(1-1/('coût S2'!$C27))</f>
        <v>3006.9218150608649</v>
      </c>
      <c r="T7" s="69">
        <f>Kexo_S2!T7-Kexo_S2!S7*(1-1/('coût S2'!$C27))</f>
        <v>3069.9469175799968</v>
      </c>
      <c r="U7" s="69">
        <f>Kexo_S2!U7-Kexo_S2!T7*(1-1/('coût S2'!$C27))</f>
        <v>3132.9720200991287</v>
      </c>
      <c r="V7" s="69">
        <f>Kexo_S2!V7-Kexo_S2!U7*(1-1/('coût S2'!$C27))</f>
        <v>3195.9971226182606</v>
      </c>
      <c r="W7" s="69">
        <f>Kexo_S2!W7-Kexo_S2!V7*(1-1/('coût S2'!$C27))</f>
        <v>3259.022225137378</v>
      </c>
      <c r="X7" s="69">
        <f>Kexo_S2!X7-Kexo_S2!W7*(1-1/('coût S2'!$C27))</f>
        <v>2855.8487389007787</v>
      </c>
      <c r="Y7" s="69">
        <f>Kexo_S2!Y7-Kexo_S2!X7*(1-1/('coût S2'!$C27))</f>
        <v>2900.2258978696846</v>
      </c>
      <c r="Z7" s="69">
        <f>Kexo_S2!Z7-Kexo_S2!Y7*(1-1/('coût S2'!$C27))</f>
        <v>2944.6030568385831</v>
      </c>
      <c r="AA7" s="69">
        <f>Kexo_S2!AA7-Kexo_S2!Z7*(1-1/('coût S2'!$C27))</f>
        <v>2988.980215807489</v>
      </c>
      <c r="AB7" s="69">
        <f>Kexo_S2!AB7-Kexo_S2!AA7*(1-1/('coût S2'!$C27))</f>
        <v>3033.3573747763949</v>
      </c>
      <c r="AC7" s="79">
        <f>IF(Kexo_S2!AC7-Kexo_S2!AB7*(1-1/('coût S2'!$C27))&gt;0,Kexo_S2!AC7-Kexo_S2!AB7*(1-1/('coût S2'!$C27)),0.5)</f>
        <v>0.5</v>
      </c>
      <c r="AD7" s="79">
        <f>IF(Kexo_S2!AD7-Kexo_S2!AC7*(1-1/('coût S2'!$C27))&gt;0,Kexo_S2!AD7-Kexo_S2!AC7*(1-1/('coût S2'!$C27)),0.5)</f>
        <v>0.5</v>
      </c>
      <c r="AE7" s="79">
        <f>IF(Kexo_S2!AE7-Kexo_S2!AD7*(1-1/('coût S2'!$C27))&gt;0,Kexo_S2!AE7-Kexo_S2!AD7*(1-1/('coût S2'!$C27)),0.5)</f>
        <v>0.5</v>
      </c>
      <c r="AF7" s="79">
        <f>IF(Kexo_S2!AF7-Kexo_S2!AE7*(1-1/('coût S2'!$C27))&gt;0,Kexo_S2!AF7-Kexo_S2!AE7*(1-1/('coût S2'!$C27)),0.5)</f>
        <v>0.5</v>
      </c>
      <c r="AG7" s="79">
        <f>IF(Kexo_S2!AG7-Kexo_S2!AF7*(1-1/('coût S2'!$C27))&gt;0,Kexo_S2!AG7-Kexo_S2!AF7*(1-1/('coût S2'!$C27)),0.5)</f>
        <v>0.5</v>
      </c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</row>
    <row r="8" spans="1:57" x14ac:dyDescent="0.25">
      <c r="A8" s="57" t="s">
        <v>94</v>
      </c>
      <c r="B8" s="69"/>
      <c r="C8" s="69"/>
      <c r="D8" s="69">
        <f>INVexo_TEND!D8</f>
        <v>1069.8225575626493</v>
      </c>
      <c r="E8" s="69">
        <f>INVexo_TEND!E8</f>
        <v>1071.5966669718982</v>
      </c>
      <c r="F8" s="69">
        <f>INVexo_TEND!F8</f>
        <v>1073.3707763811544</v>
      </c>
      <c r="G8" s="69">
        <f>Kexo_S2!G8-Kexo_S2!F8*(1-1/40)</f>
        <v>1135.2413429099106</v>
      </c>
      <c r="H8" s="69">
        <f>Kexo_S2!H8-Kexo_S2!G8*(1-1/40)</f>
        <v>1138.5178637471618</v>
      </c>
      <c r="I8" s="69">
        <f>Kexo_S2!I8-Kexo_S2!H8*(1-1/40)</f>
        <v>1247.1881031821831</v>
      </c>
      <c r="J8" s="69">
        <f>Kexo_S2!J8-Kexo_S2!I8*(1-1/40)</f>
        <v>1253.0994669843712</v>
      </c>
      <c r="K8" s="69">
        <f>Kexo_S2!K8-Kexo_S2!J8*(1-1/40)</f>
        <v>1259.0108307865594</v>
      </c>
      <c r="L8" s="69">
        <f>Kexo_S2!L8-Kexo_S2!K8*(1-1/40)</f>
        <v>1264.9221945887402</v>
      </c>
      <c r="M8" s="69">
        <f>Kexo_S2!M8-Kexo_S2!L8*(1-1/40)</f>
        <v>1270.8335583909357</v>
      </c>
      <c r="N8" s="69">
        <f>Kexo_S2!N8-Kexo_S2!M8*(1-1/40)</f>
        <v>1040.5406271575121</v>
      </c>
      <c r="O8" s="69">
        <f>Kexo_S2!O8-Kexo_S2!N8*(1-1/40)</f>
        <v>1040.546883583811</v>
      </c>
      <c r="P8" s="69">
        <f>Kexo_S2!P8-Kexo_S2!O8*(1-1/40)</f>
        <v>1040.5531400101099</v>
      </c>
      <c r="Q8" s="69">
        <f>Kexo_S2!Q8-Kexo_S2!P8*(1-1/40)</f>
        <v>1040.5593964364016</v>
      </c>
      <c r="R8" s="69">
        <f>Kexo_S2!R8-Kexo_S2!Q8*(1-1/40)</f>
        <v>1040.5656528627078</v>
      </c>
      <c r="S8" s="69">
        <f>Kexo_S2!S8-Kexo_S2!R8*(1-1/40)</f>
        <v>1122.8820822401758</v>
      </c>
      <c r="T8" s="69">
        <f>Kexo_S2!T8-Kexo_S2!S8*(1-1/40)</f>
        <v>1124.9460929902489</v>
      </c>
      <c r="U8" s="69">
        <f>Kexo_S2!U8-Kexo_S2!T8*(1-1/40)</f>
        <v>1127.0101037403292</v>
      </c>
      <c r="V8" s="69">
        <f>Kexo_S2!V8-Kexo_S2!U8*(1-1/40)</f>
        <v>1129.0741144904023</v>
      </c>
      <c r="W8" s="69">
        <f>Kexo_S2!W8-Kexo_S2!V8*(1-1/40)</f>
        <v>1131.1381252404826</v>
      </c>
      <c r="X8" s="69">
        <f>Kexo_S2!X8-Kexo_S2!W8*(1-1/40)</f>
        <v>1078.1295664573481</v>
      </c>
      <c r="Y8" s="69">
        <f>Kexo_S2!Y8-Kexo_S2!X8*(1-1/40)</f>
        <v>1078.8167629690943</v>
      </c>
      <c r="Z8" s="69">
        <f>Kexo_S2!Z8-Kexo_S2!Y8*(1-1/40)</f>
        <v>1079.5039594808404</v>
      </c>
      <c r="AA8" s="69">
        <f>Kexo_S2!AA8-Kexo_S2!Z8*(1-1/40)</f>
        <v>1080.1911559925866</v>
      </c>
      <c r="AB8" s="69">
        <f>Kexo_S2!AB8-Kexo_S2!AA8*(1-1/40)</f>
        <v>1080.87835250434</v>
      </c>
      <c r="AC8" s="69">
        <f>Kexo_S2!AC8-Kexo_S2!AB8*(1-1/40)</f>
        <v>1031.6889864416735</v>
      </c>
      <c r="AD8" s="69">
        <f>Kexo_S2!AD8-Kexo_S2!AC8*(1-1/40)</f>
        <v>1031.1292688890535</v>
      </c>
      <c r="AE8" s="69">
        <f>Kexo_S2!AE8-Kexo_S2!AD8*(1-1/40)</f>
        <v>1030.5695513364408</v>
      </c>
      <c r="AF8" s="69">
        <f>Kexo_S2!AF8-Kexo_S2!AE8*(1-1/40)</f>
        <v>1030.0098337838281</v>
      </c>
      <c r="AG8" s="69">
        <f>Kexo_S2!AG8-Kexo_S2!AF8*(1-1/40)</f>
        <v>1029.4501162312226</v>
      </c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</row>
    <row r="9" spans="1:57" x14ac:dyDescent="0.25">
      <c r="A9" s="57" t="s">
        <v>95</v>
      </c>
      <c r="B9" s="69"/>
      <c r="C9" s="69"/>
      <c r="D9" s="69">
        <f>IF(Kexo_S2!D9-Kexo_S2!C9*(1-1/20)&gt;0.5,Kexo_S2!D9-Kexo_S2!C9*(1-1/20),0.5)</f>
        <v>1541.0065078994294</v>
      </c>
      <c r="E9" s="69">
        <f>IF(Kexo_S2!E9-Kexo_S2!D9*(1-1/20)&gt;0.5,Kexo_S2!E9-Kexo_S2!D9*(1-1/20),0.5)</f>
        <v>1602.7851874901116</v>
      </c>
      <c r="F9" s="69">
        <f>IF(Kexo_S2!F9-Kexo_S2!E9*(1-1/20)&gt;0.5,Kexo_S2!F9-Kexo_S2!E9*(1-1/20),0.5)</f>
        <v>1664.5638670807939</v>
      </c>
      <c r="G9" s="69">
        <f>IF(Kexo_S2!G9-Kexo_S2!F9*(1-1/20)&gt;0.5,Kexo_S2!G9-Kexo_S2!F9*(1-1/20),0.5)</f>
        <v>439.29132642735385</v>
      </c>
      <c r="H9" s="69">
        <f>IF(Kexo_S2!H9-Kexo_S2!G9*(1-1/20)&gt;0.5,Kexo_S2!H9-Kexo_S2!G9*(1-1/20),0.5)</f>
        <v>436.71744500583009</v>
      </c>
      <c r="I9" s="69">
        <f>IF(Kexo_S2!I9-Kexo_S2!H9*(1-1/20)&gt;0.5,Kexo_S2!I9-Kexo_S2!H9*(1-1/20),0.5)</f>
        <v>277.40440485962426</v>
      </c>
      <c r="J9" s="69">
        <f>IF(Kexo_S2!J9-Kexo_S2!I9*(1-1/20)&gt;0.5,Kexo_S2!J9-Kexo_S2!I9*(1-1/20),0.5)</f>
        <v>266.99356550186712</v>
      </c>
      <c r="K9" s="69">
        <f>IF(Kexo_S2!K9-Kexo_S2!J9*(1-1/20)&gt;0.5,Kexo_S2!K9-Kexo_S2!J9*(1-1/20),0.5)</f>
        <v>256.58272614410816</v>
      </c>
      <c r="L9" s="69">
        <f>IF(Kexo_S2!L9-Kexo_S2!K9*(1-1/20)&gt;0.5,Kexo_S2!L9-Kexo_S2!K9*(1-1/20),0.5)</f>
        <v>246.17188678635102</v>
      </c>
      <c r="M9" s="69">
        <f>IF(Kexo_S2!M9-Kexo_S2!L9*(1-1/20)&gt;0.5,Kexo_S2!M9-Kexo_S2!L9*(1-1/20),0.5)</f>
        <v>235.76104742859025</v>
      </c>
      <c r="N9" s="69">
        <f>IF(Kexo_S2!N9-Kexo_S2!M9*(1-1/20)&gt;0.5,Kexo_S2!N9-Kexo_S2!M9*(1-1/20),0.5)</f>
        <v>817.50492941800621</v>
      </c>
      <c r="O9" s="69">
        <f>IF(Kexo_S2!O9-Kexo_S2!N9*(1-1/20)&gt;0.5,Kexo_S2!O9-Kexo_S2!N9*(1-1/20),0.5)</f>
        <v>836.701826127608</v>
      </c>
      <c r="P9" s="69">
        <f>IF(Kexo_S2!P9-Kexo_S2!O9*(1-1/20)&gt;0.5,Kexo_S2!P9-Kexo_S2!O9*(1-1/20),0.5)</f>
        <v>855.89872283720797</v>
      </c>
      <c r="Q9" s="69">
        <f>IF(Kexo_S2!Q9-Kexo_S2!P9*(1-1/20)&gt;0.5,Kexo_S2!Q9-Kexo_S2!P9*(1-1/20),0.5)</f>
        <v>875.09561954680794</v>
      </c>
      <c r="R9" s="69">
        <f>IF(Kexo_S2!R9-Kexo_S2!Q9*(1-1/20)&gt;0.5,Kexo_S2!R9-Kexo_S2!Q9*(1-1/20),0.5)</f>
        <v>894.29251625640609</v>
      </c>
      <c r="S9" s="69">
        <f>IF(Kexo_S2!S9-Kexo_S2!R9*(1-1/20)&gt;0.5,Kexo_S2!S9-Kexo_S2!R9*(1-1/20),0.5)</f>
        <v>1091.1065449112375</v>
      </c>
      <c r="T9" s="69">
        <f>IF(Kexo_S2!T9-Kexo_S2!S9*(1-1/20)&gt;0.5,Kexo_S2!T9-Kexo_S2!S9*(1-1/20),0.5)</f>
        <v>1119.1842982181006</v>
      </c>
      <c r="U9" s="69">
        <f>IF(Kexo_S2!U9-Kexo_S2!T9*(1-1/20)&gt;0.5,Kexo_S2!U9-Kexo_S2!T9*(1-1/20),0.5)</f>
        <v>1147.2620515249619</v>
      </c>
      <c r="V9" s="69">
        <f>IF(Kexo_S2!V9-Kexo_S2!U9*(1-1/20)&gt;0.5,Kexo_S2!V9-Kexo_S2!U9*(1-1/20),0.5)</f>
        <v>1175.3398048318231</v>
      </c>
      <c r="W9" s="69">
        <f>IF(Kexo_S2!W9-Kexo_S2!V9*(1-1/20)&gt;0.5,Kexo_S2!W9-Kexo_S2!V9*(1-1/20),0.5)</f>
        <v>1203.4175581386826</v>
      </c>
      <c r="X9" s="69">
        <f>IF(Kexo_S2!X9-Kexo_S2!W9*(1-1/20)&gt;0.5,Kexo_S2!X9-Kexo_S2!W9*(1-1/20),0.5)</f>
        <v>795.03149539525111</v>
      </c>
      <c r="Y9" s="69">
        <f>IF(Kexo_S2!Y9-Kexo_S2!X9*(1-1/20)&gt;0.5,Kexo_S2!Y9-Kexo_S2!X9*(1-1/20),0.5)</f>
        <v>801.28605789959875</v>
      </c>
      <c r="Z9" s="69">
        <f>IF(Kexo_S2!Z9-Kexo_S2!Y9*(1-1/20)&gt;0.5,Kexo_S2!Z9-Kexo_S2!Y9*(1-1/20),0.5)</f>
        <v>807.54062040394638</v>
      </c>
      <c r="AA9" s="69">
        <f>IF(Kexo_S2!AA9-Kexo_S2!Z9*(1-1/20)&gt;0.5,Kexo_S2!AA9-Kexo_S2!Z9*(1-1/20),0.5)</f>
        <v>813.79518290829401</v>
      </c>
      <c r="AB9" s="69">
        <f>IF(Kexo_S2!AB9-Kexo_S2!AA9*(1-1/20)&gt;0.5,Kexo_S2!AB9-Kexo_S2!AA9*(1-1/20),0.5)</f>
        <v>820.04974541263982</v>
      </c>
      <c r="AC9" s="69">
        <f>IF(Kexo_S2!AC9-Kexo_S2!AB9*(1-1/20)&gt;0.5,Kexo_S2!AC9-Kexo_S2!AB9*(1-1/20),0.5)</f>
        <v>827.24319640378781</v>
      </c>
      <c r="AD9" s="69">
        <f>IF(Kexo_S2!AD9-Kexo_S2!AC9*(1-1/20)&gt;0.5,Kexo_S2!AD9-Kexo_S2!AC9*(1-1/20),0.5)</f>
        <v>833.54470333247627</v>
      </c>
      <c r="AE9" s="69">
        <f>IF(Kexo_S2!AE9-Kexo_S2!AD9*(1-1/20)&gt;0.5,Kexo_S2!AE9-Kexo_S2!AD9*(1-1/20),0.5)</f>
        <v>839.84621026116292</v>
      </c>
      <c r="AF9" s="69">
        <f>IF(Kexo_S2!AF9-Kexo_S2!AE9*(1-1/20)&gt;0.5,Kexo_S2!AF9-Kexo_S2!AE9*(1-1/20),0.5)</f>
        <v>846.14771718984957</v>
      </c>
      <c r="AG9" s="69">
        <f>IF(Kexo_S2!AG9-Kexo_S2!AF9*(1-1/20)&gt;0.5,Kexo_S2!AG9-Kexo_S2!AF9*(1-1/20),0.5)</f>
        <v>852.44922411854168</v>
      </c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</row>
    <row r="12" spans="1:57" ht="18" x14ac:dyDescent="0.25">
      <c r="B12" s="58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</row>
    <row r="13" spans="1:57" x14ac:dyDescent="0.25">
      <c r="A13" s="72"/>
      <c r="B13" s="73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6"/>
      <c r="AK13" s="76"/>
      <c r="AL13" s="76"/>
      <c r="AM13" s="76"/>
      <c r="AN13" s="76"/>
      <c r="AO13" s="75"/>
      <c r="AP13" s="75"/>
      <c r="AQ13" s="75"/>
      <c r="AR13" s="75"/>
      <c r="AS13" s="75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</row>
    <row r="14" spans="1:57" x14ac:dyDescent="0.25">
      <c r="A14" s="72"/>
      <c r="B14" s="73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6"/>
      <c r="AK14" s="76"/>
      <c r="AL14" s="76"/>
      <c r="AM14" s="76"/>
      <c r="AN14" s="76"/>
      <c r="AO14" s="75"/>
      <c r="AP14" s="75"/>
      <c r="AQ14" s="75"/>
      <c r="AR14" s="75"/>
      <c r="AS14" s="75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</row>
    <row r="15" spans="1:57" x14ac:dyDescent="0.25">
      <c r="A15" s="72"/>
      <c r="B15" s="73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6"/>
      <c r="AK15" s="76"/>
      <c r="AL15" s="76"/>
      <c r="AM15" s="76"/>
      <c r="AN15" s="76"/>
      <c r="AO15" s="75"/>
      <c r="AP15" s="75"/>
      <c r="AQ15" s="75"/>
      <c r="AR15" s="75"/>
      <c r="AS15" s="75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</row>
    <row r="16" spans="1:57" x14ac:dyDescent="0.25">
      <c r="A16" s="72"/>
      <c r="B16" s="73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6"/>
      <c r="AK16" s="76"/>
      <c r="AL16" s="76"/>
      <c r="AM16" s="76"/>
      <c r="AN16" s="76"/>
      <c r="AO16" s="75"/>
      <c r="AP16" s="75"/>
      <c r="AQ16" s="75"/>
      <c r="AR16" s="75"/>
      <c r="AS16" s="75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</row>
    <row r="17" spans="1:57" x14ac:dyDescent="0.25">
      <c r="A17" s="72"/>
      <c r="B17" s="73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7"/>
      <c r="AK17" s="77"/>
      <c r="AL17" s="77"/>
      <c r="AM17" s="77"/>
      <c r="AN17" s="77"/>
      <c r="AO17" s="74"/>
      <c r="AP17" s="74"/>
      <c r="AQ17" s="74"/>
      <c r="AR17" s="74"/>
      <c r="AS17" s="74"/>
      <c r="AT17" s="76"/>
      <c r="AU17" s="76"/>
      <c r="AV17" s="76"/>
      <c r="AW17" s="76"/>
      <c r="AX17" s="76"/>
      <c r="AY17" s="78"/>
      <c r="AZ17" s="78"/>
      <c r="BA17" s="78"/>
      <c r="BB17" s="78"/>
      <c r="BC17" s="78"/>
      <c r="BD17" s="78"/>
      <c r="BE17" s="78"/>
    </row>
    <row r="18" spans="1:57" x14ac:dyDescent="0.25">
      <c r="A18" s="72"/>
      <c r="B18" s="73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7"/>
      <c r="AK18" s="77"/>
      <c r="AL18" s="77"/>
      <c r="AM18" s="77"/>
      <c r="AN18" s="77"/>
      <c r="AO18" s="74"/>
      <c r="AP18" s="74"/>
      <c r="AQ18" s="74"/>
      <c r="AR18" s="74"/>
      <c r="AS18" s="74"/>
      <c r="AT18" s="76"/>
      <c r="AU18" s="76"/>
      <c r="AV18" s="76"/>
      <c r="AW18" s="76"/>
      <c r="AX18" s="76"/>
      <c r="AY18" s="78"/>
      <c r="AZ18" s="78"/>
      <c r="BA18" s="78"/>
      <c r="BB18" s="78"/>
      <c r="BC18" s="78"/>
      <c r="BD18" s="78"/>
      <c r="BE18" s="78"/>
    </row>
    <row r="19" spans="1:57" x14ac:dyDescent="0.25">
      <c r="A19" s="72"/>
      <c r="B19" s="73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6"/>
      <c r="AK19" s="76"/>
      <c r="AL19" s="76"/>
      <c r="AM19" s="76"/>
      <c r="AN19" s="76"/>
      <c r="AO19" s="74"/>
      <c r="AP19" s="74"/>
      <c r="AQ19" s="74"/>
      <c r="AR19" s="74"/>
      <c r="AS19" s="74"/>
      <c r="AT19" s="76"/>
      <c r="AU19" s="76"/>
      <c r="AV19" s="76"/>
      <c r="AW19" s="76"/>
      <c r="AX19" s="76"/>
      <c r="AY19" s="78"/>
      <c r="AZ19" s="78"/>
      <c r="BA19" s="78"/>
      <c r="BB19" s="78"/>
      <c r="BC19" s="78"/>
      <c r="BD19" s="78"/>
      <c r="BE19" s="78"/>
    </row>
    <row r="20" spans="1:57" x14ac:dyDescent="0.25">
      <c r="A20" s="72"/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6"/>
      <c r="AK20" s="76"/>
      <c r="AL20" s="76"/>
      <c r="AM20" s="76"/>
      <c r="AN20" s="76"/>
      <c r="AO20" s="75"/>
      <c r="AP20" s="75"/>
      <c r="AQ20" s="75"/>
      <c r="AR20" s="75"/>
      <c r="AS20" s="75"/>
      <c r="AT20" s="76"/>
      <c r="AU20" s="76"/>
      <c r="AV20" s="76"/>
      <c r="AW20" s="76"/>
      <c r="AX20" s="76"/>
      <c r="AY20" s="78"/>
      <c r="AZ20" s="78"/>
      <c r="BA20" s="78"/>
      <c r="BB20" s="78"/>
      <c r="BC20" s="78"/>
      <c r="BD20" s="78"/>
      <c r="BE20" s="7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/>
  </sheetViews>
  <sheetFormatPr baseColWidth="10" defaultRowHeight="15" x14ac:dyDescent="0.25"/>
  <cols>
    <col min="1" max="1" width="40.85546875" customWidth="1"/>
  </cols>
  <sheetData>
    <row r="1" spans="1:12" x14ac:dyDescent="0.25">
      <c r="A1" s="33" t="s">
        <v>52</v>
      </c>
      <c r="B1" s="118">
        <v>2030</v>
      </c>
      <c r="C1" s="118"/>
      <c r="D1" s="118"/>
      <c r="E1" s="118"/>
      <c r="F1" s="118"/>
      <c r="G1" s="118"/>
      <c r="H1" s="118">
        <v>2050</v>
      </c>
      <c r="I1" s="118"/>
      <c r="J1" s="118"/>
      <c r="K1" s="118"/>
      <c r="L1" s="118"/>
    </row>
    <row r="2" spans="1:12" ht="15.75" thickBot="1" x14ac:dyDescent="0.3">
      <c r="A2" s="22"/>
      <c r="B2" s="23" t="s">
        <v>35</v>
      </c>
      <c r="C2" s="23" t="s">
        <v>36</v>
      </c>
      <c r="D2" s="23" t="s">
        <v>37</v>
      </c>
      <c r="E2" s="23" t="s">
        <v>38</v>
      </c>
      <c r="F2" s="23" t="s">
        <v>39</v>
      </c>
      <c r="G2" s="119" t="s">
        <v>35</v>
      </c>
      <c r="H2" s="119"/>
      <c r="I2" s="23" t="s">
        <v>36</v>
      </c>
      <c r="J2" s="23" t="s">
        <v>37</v>
      </c>
      <c r="K2" s="23" t="s">
        <v>38</v>
      </c>
      <c r="L2" s="23" t="s">
        <v>39</v>
      </c>
    </row>
    <row r="3" spans="1:12" ht="15.75" thickBot="1" x14ac:dyDescent="0.3">
      <c r="A3" s="24" t="s">
        <v>40</v>
      </c>
      <c r="B3" s="25">
        <v>15</v>
      </c>
      <c r="C3" s="25">
        <v>20</v>
      </c>
      <c r="D3" s="25">
        <v>30</v>
      </c>
      <c r="E3" s="25">
        <v>30</v>
      </c>
      <c r="F3" s="26">
        <v>30</v>
      </c>
      <c r="G3" s="120" t="s">
        <v>41</v>
      </c>
      <c r="H3" s="121"/>
      <c r="I3" s="25" t="s">
        <v>42</v>
      </c>
      <c r="J3" s="25">
        <v>80</v>
      </c>
      <c r="K3" s="25">
        <v>80</v>
      </c>
      <c r="L3" s="25">
        <v>90</v>
      </c>
    </row>
    <row r="4" spans="1:12" ht="15.75" thickBot="1" x14ac:dyDescent="0.3">
      <c r="A4" s="27" t="s">
        <v>0</v>
      </c>
      <c r="B4" s="25">
        <v>8</v>
      </c>
      <c r="C4" s="25">
        <v>8</v>
      </c>
      <c r="D4" s="25">
        <v>10</v>
      </c>
      <c r="E4" s="25">
        <v>10</v>
      </c>
      <c r="F4" s="26">
        <v>10</v>
      </c>
      <c r="G4" s="116">
        <v>20</v>
      </c>
      <c r="H4" s="117"/>
      <c r="I4" s="25">
        <v>20</v>
      </c>
      <c r="J4" s="25">
        <v>40</v>
      </c>
      <c r="K4" s="25">
        <v>40</v>
      </c>
      <c r="L4" s="25">
        <v>40</v>
      </c>
    </row>
    <row r="5" spans="1:12" ht="15.75" thickBot="1" x14ac:dyDescent="0.3">
      <c r="A5" s="27" t="s">
        <v>43</v>
      </c>
      <c r="B5" s="25">
        <v>7</v>
      </c>
      <c r="C5" s="25">
        <v>2</v>
      </c>
      <c r="D5" s="25">
        <v>2</v>
      </c>
      <c r="E5" s="25">
        <v>2</v>
      </c>
      <c r="F5" s="26">
        <v>2</v>
      </c>
      <c r="G5" s="116">
        <v>35</v>
      </c>
      <c r="H5" s="117"/>
      <c r="I5" s="25">
        <v>5</v>
      </c>
      <c r="J5" s="25">
        <v>20</v>
      </c>
      <c r="K5" s="25">
        <v>20</v>
      </c>
      <c r="L5" s="25">
        <v>20</v>
      </c>
    </row>
    <row r="6" spans="1:12" ht="15.75" thickBot="1" x14ac:dyDescent="0.3">
      <c r="A6" s="27" t="s">
        <v>44</v>
      </c>
      <c r="B6" s="25">
        <v>30</v>
      </c>
      <c r="C6" s="25">
        <v>30</v>
      </c>
      <c r="D6" s="25">
        <v>35</v>
      </c>
      <c r="E6" s="25">
        <v>35</v>
      </c>
      <c r="F6" s="26">
        <v>35</v>
      </c>
      <c r="G6" s="116">
        <v>55</v>
      </c>
      <c r="H6" s="117"/>
      <c r="I6" s="25">
        <v>55</v>
      </c>
      <c r="J6" s="25">
        <v>55</v>
      </c>
      <c r="K6" s="25">
        <v>55</v>
      </c>
      <c r="L6" s="25">
        <v>60</v>
      </c>
    </row>
    <row r="7" spans="1:12" ht="15.75" thickBot="1" x14ac:dyDescent="0.3">
      <c r="A7" s="27" t="s">
        <v>45</v>
      </c>
      <c r="B7" s="25">
        <v>5</v>
      </c>
      <c r="C7" s="25">
        <v>5</v>
      </c>
      <c r="D7" s="25">
        <v>7</v>
      </c>
      <c r="E7" s="25">
        <v>7</v>
      </c>
      <c r="F7" s="26">
        <v>7</v>
      </c>
      <c r="G7" s="116">
        <v>9</v>
      </c>
      <c r="H7" s="117"/>
      <c r="I7" s="25">
        <v>20</v>
      </c>
      <c r="J7" s="25">
        <v>20</v>
      </c>
      <c r="K7" s="25">
        <v>20</v>
      </c>
      <c r="L7" s="25">
        <v>20</v>
      </c>
    </row>
    <row r="8" spans="1:12" ht="15.75" thickBot="1" x14ac:dyDescent="0.3">
      <c r="A8" s="27" t="s">
        <v>46</v>
      </c>
      <c r="B8" s="25">
        <v>1</v>
      </c>
      <c r="C8" s="25">
        <v>1</v>
      </c>
      <c r="D8" s="25">
        <v>1</v>
      </c>
      <c r="E8" s="25">
        <v>1</v>
      </c>
      <c r="F8" s="26">
        <v>1</v>
      </c>
      <c r="G8" s="116">
        <v>5</v>
      </c>
      <c r="H8" s="117"/>
      <c r="I8" s="25">
        <v>5</v>
      </c>
      <c r="J8" s="25">
        <v>5</v>
      </c>
      <c r="K8" s="25">
        <v>30</v>
      </c>
      <c r="L8" s="25">
        <v>30</v>
      </c>
    </row>
    <row r="9" spans="1:12" x14ac:dyDescent="0.25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2" x14ac:dyDescent="0.25">
      <c r="A10" s="34" t="s">
        <v>53</v>
      </c>
      <c r="D10" s="28"/>
      <c r="E10" s="28"/>
      <c r="F10" s="28"/>
      <c r="G10" s="28"/>
      <c r="H10" s="28"/>
      <c r="I10" s="28"/>
      <c r="J10" s="28"/>
      <c r="K10" s="28"/>
      <c r="L10" s="28"/>
    </row>
    <row r="11" spans="1:12" ht="15.75" thickBot="1" x14ac:dyDescent="0.3">
      <c r="A11" s="35"/>
      <c r="B11" s="36">
        <v>2030</v>
      </c>
      <c r="C11" s="36">
        <v>2050</v>
      </c>
    </row>
    <row r="12" spans="1:12" ht="15.75" thickBot="1" x14ac:dyDescent="0.3">
      <c r="A12" s="37" t="s">
        <v>54</v>
      </c>
      <c r="B12" s="38" t="s">
        <v>55</v>
      </c>
      <c r="C12" s="38">
        <v>0</v>
      </c>
    </row>
    <row r="13" spans="1:12" ht="15.75" thickBot="1" x14ac:dyDescent="0.3">
      <c r="A13" s="37" t="s">
        <v>56</v>
      </c>
      <c r="B13" s="38" t="s">
        <v>57</v>
      </c>
      <c r="C13" s="38">
        <v>0</v>
      </c>
    </row>
    <row r="14" spans="1:12" ht="15.75" thickBot="1" x14ac:dyDescent="0.3">
      <c r="A14" s="37" t="s">
        <v>58</v>
      </c>
      <c r="B14" s="38" t="s">
        <v>59</v>
      </c>
      <c r="C14" s="38" t="s">
        <v>60</v>
      </c>
    </row>
    <row r="15" spans="1:12" ht="15.75" thickBot="1" x14ac:dyDescent="0.3">
      <c r="A15" s="37" t="s">
        <v>61</v>
      </c>
      <c r="B15" s="38" t="s">
        <v>57</v>
      </c>
      <c r="C15" s="38" t="s">
        <v>62</v>
      </c>
    </row>
    <row r="16" spans="1:12" x14ac:dyDescent="0.25">
      <c r="A16" s="29"/>
    </row>
    <row r="17" spans="1:5" x14ac:dyDescent="0.25">
      <c r="A17" s="50" t="s">
        <v>85</v>
      </c>
      <c r="B17" s="122" t="s">
        <v>84</v>
      </c>
      <c r="C17" s="122"/>
      <c r="D17" s="122" t="s">
        <v>83</v>
      </c>
      <c r="E17" s="122"/>
    </row>
    <row r="18" spans="1:5" x14ac:dyDescent="0.25">
      <c r="A18" s="48" t="s">
        <v>82</v>
      </c>
      <c r="B18" s="49">
        <v>2030</v>
      </c>
      <c r="C18" s="49">
        <v>2050</v>
      </c>
      <c r="D18" s="49">
        <v>2030</v>
      </c>
      <c r="E18" s="49">
        <v>2050</v>
      </c>
    </row>
    <row r="19" spans="1:5" x14ac:dyDescent="0.25">
      <c r="A19" s="48" t="s">
        <v>81</v>
      </c>
      <c r="B19" s="49">
        <v>0</v>
      </c>
      <c r="C19" s="49">
        <v>0</v>
      </c>
      <c r="D19" s="49">
        <v>0</v>
      </c>
      <c r="E19" s="49">
        <v>0</v>
      </c>
    </row>
    <row r="20" spans="1:5" x14ac:dyDescent="0.25">
      <c r="A20" s="48" t="s">
        <v>80</v>
      </c>
      <c r="B20" s="49">
        <v>40</v>
      </c>
      <c r="C20" s="49">
        <v>40</v>
      </c>
      <c r="D20" s="49">
        <v>30</v>
      </c>
      <c r="E20" s="49">
        <v>30</v>
      </c>
    </row>
    <row r="21" spans="1:5" x14ac:dyDescent="0.25">
      <c r="A21" s="48" t="s">
        <v>25</v>
      </c>
      <c r="B21" s="122">
        <v>300</v>
      </c>
      <c r="C21" s="122">
        <v>300</v>
      </c>
      <c r="D21" s="49">
        <v>58</v>
      </c>
      <c r="E21" s="49">
        <v>24</v>
      </c>
    </row>
    <row r="22" spans="1:5" x14ac:dyDescent="0.25">
      <c r="A22" s="48" t="s">
        <v>79</v>
      </c>
      <c r="B22" s="122"/>
      <c r="C22" s="122"/>
      <c r="D22" s="49">
        <v>2</v>
      </c>
      <c r="E22" s="49">
        <v>27</v>
      </c>
    </row>
    <row r="23" spans="1:5" x14ac:dyDescent="0.25">
      <c r="A23" s="48" t="s">
        <v>78</v>
      </c>
      <c r="B23" s="49">
        <v>83</v>
      </c>
      <c r="C23" s="49">
        <v>81</v>
      </c>
      <c r="D23" s="49">
        <v>30</v>
      </c>
      <c r="E23" s="49">
        <v>30</v>
      </c>
    </row>
    <row r="24" spans="1:5" x14ac:dyDescent="0.25">
      <c r="A24" s="48" t="s">
        <v>77</v>
      </c>
      <c r="B24" s="122">
        <v>30</v>
      </c>
      <c r="C24" s="122">
        <v>75</v>
      </c>
      <c r="D24" s="49">
        <v>20</v>
      </c>
      <c r="E24" s="49">
        <v>37</v>
      </c>
    </row>
    <row r="25" spans="1:5" x14ac:dyDescent="0.25">
      <c r="A25" s="48" t="s">
        <v>76</v>
      </c>
      <c r="B25" s="122"/>
      <c r="C25" s="122"/>
      <c r="D25" s="49">
        <v>10</v>
      </c>
      <c r="E25" s="49">
        <v>17</v>
      </c>
    </row>
    <row r="26" spans="1:5" x14ac:dyDescent="0.25">
      <c r="A26" s="48" t="s">
        <v>75</v>
      </c>
      <c r="B26" s="49">
        <v>70</v>
      </c>
      <c r="C26" s="49">
        <v>135</v>
      </c>
      <c r="D26" s="49">
        <v>30</v>
      </c>
      <c r="E26" s="49">
        <v>55</v>
      </c>
    </row>
    <row r="27" spans="1:5" x14ac:dyDescent="0.25">
      <c r="A27" s="48" t="s">
        <v>8</v>
      </c>
      <c r="B27" s="122">
        <v>20</v>
      </c>
      <c r="C27" s="122">
        <v>35</v>
      </c>
      <c r="D27" s="49">
        <v>5</v>
      </c>
      <c r="E27" s="49">
        <v>8.5</v>
      </c>
    </row>
    <row r="28" spans="1:5" x14ac:dyDescent="0.25">
      <c r="A28" s="48" t="s">
        <v>74</v>
      </c>
      <c r="B28" s="122"/>
      <c r="C28" s="122"/>
      <c r="D28" s="49">
        <v>1</v>
      </c>
      <c r="E28" s="49">
        <v>2</v>
      </c>
    </row>
    <row r="29" spans="1:5" x14ac:dyDescent="0.25">
      <c r="A29" s="48" t="s">
        <v>73</v>
      </c>
      <c r="B29" s="49">
        <v>1</v>
      </c>
      <c r="C29" s="49">
        <v>0.5</v>
      </c>
      <c r="D29" s="49">
        <v>0.1</v>
      </c>
      <c r="E29" s="49">
        <v>0.1</v>
      </c>
    </row>
    <row r="30" spans="1:5" x14ac:dyDescent="0.25">
      <c r="A30" s="48" t="s">
        <v>72</v>
      </c>
      <c r="B30" s="49">
        <v>19</v>
      </c>
      <c r="C30" s="49">
        <v>21</v>
      </c>
      <c r="D30" s="49">
        <v>5</v>
      </c>
      <c r="E30" s="49">
        <v>6</v>
      </c>
    </row>
    <row r="31" spans="1:5" x14ac:dyDescent="0.25">
      <c r="A31" s="48" t="s">
        <v>71</v>
      </c>
      <c r="B31" s="47">
        <v>563</v>
      </c>
      <c r="C31" s="47">
        <v>687.5</v>
      </c>
      <c r="D31" s="47"/>
      <c r="E31" s="47"/>
    </row>
  </sheetData>
  <mergeCells count="17">
    <mergeCell ref="B17:C17"/>
    <mergeCell ref="D17:E17"/>
    <mergeCell ref="B24:B25"/>
    <mergeCell ref="C24:C25"/>
    <mergeCell ref="B27:B28"/>
    <mergeCell ref="C27:C28"/>
    <mergeCell ref="B21:B22"/>
    <mergeCell ref="C21:C22"/>
    <mergeCell ref="G6:H6"/>
    <mergeCell ref="G7:H7"/>
    <mergeCell ref="G8:H8"/>
    <mergeCell ref="B1:G1"/>
    <mergeCell ref="H1:L1"/>
    <mergeCell ref="G2:H2"/>
    <mergeCell ref="G3:H3"/>
    <mergeCell ref="G4:H4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62"/>
  <sheetViews>
    <sheetView topLeftCell="A145" workbookViewId="0">
      <selection activeCell="C152" sqref="C152"/>
    </sheetView>
  </sheetViews>
  <sheetFormatPr baseColWidth="10" defaultRowHeight="15" x14ac:dyDescent="0.25"/>
  <cols>
    <col min="10" max="11" width="0" hidden="1" customWidth="1"/>
  </cols>
  <sheetData>
    <row r="1" spans="1:11" ht="15.75" thickBot="1" x14ac:dyDescent="0.3">
      <c r="A1" s="30"/>
      <c r="B1" s="2"/>
      <c r="C1" s="3">
        <v>2020</v>
      </c>
      <c r="D1" s="3">
        <v>2025</v>
      </c>
      <c r="E1" s="3">
        <v>2030</v>
      </c>
      <c r="F1" s="3">
        <v>2035</v>
      </c>
      <c r="G1" s="3">
        <v>2040</v>
      </c>
      <c r="H1" s="3">
        <v>2045</v>
      </c>
      <c r="I1" s="3">
        <v>2050</v>
      </c>
      <c r="J1" s="3">
        <v>2055</v>
      </c>
      <c r="K1" s="4">
        <v>2060</v>
      </c>
    </row>
    <row r="2" spans="1:11" ht="15.75" thickBot="1" x14ac:dyDescent="0.3">
      <c r="A2" s="108" t="s">
        <v>0</v>
      </c>
      <c r="B2" s="6" t="s">
        <v>1</v>
      </c>
      <c r="C2" s="7">
        <v>1160</v>
      </c>
      <c r="D2" s="8">
        <v>949</v>
      </c>
      <c r="E2" s="8">
        <v>738</v>
      </c>
      <c r="F2" s="8">
        <v>702</v>
      </c>
      <c r="G2" s="8">
        <v>666</v>
      </c>
      <c r="H2" s="8">
        <v>631</v>
      </c>
      <c r="I2" s="8">
        <v>595</v>
      </c>
      <c r="J2" s="8">
        <v>595</v>
      </c>
      <c r="K2" s="9">
        <v>595</v>
      </c>
    </row>
    <row r="3" spans="1:11" ht="15.75" thickBot="1" x14ac:dyDescent="0.3">
      <c r="A3" s="109"/>
      <c r="B3" s="6" t="s">
        <v>2</v>
      </c>
      <c r="C3" s="8">
        <v>26</v>
      </c>
      <c r="D3" s="8">
        <v>20</v>
      </c>
      <c r="E3" s="8">
        <v>14</v>
      </c>
      <c r="F3" s="8">
        <v>13</v>
      </c>
      <c r="G3" s="8">
        <v>12</v>
      </c>
      <c r="H3" s="8">
        <v>11</v>
      </c>
      <c r="I3" s="8">
        <v>10</v>
      </c>
      <c r="J3" s="8">
        <v>10</v>
      </c>
      <c r="K3" s="9">
        <v>10</v>
      </c>
    </row>
    <row r="4" spans="1:11" ht="18.75" thickBot="1" x14ac:dyDescent="0.3">
      <c r="A4" s="109"/>
      <c r="B4" s="6" t="s">
        <v>3</v>
      </c>
      <c r="C4" s="8">
        <v>25</v>
      </c>
      <c r="D4" s="8">
        <v>25</v>
      </c>
      <c r="E4" s="8">
        <v>25</v>
      </c>
      <c r="F4" s="8">
        <v>25</v>
      </c>
      <c r="G4" s="8">
        <v>25</v>
      </c>
      <c r="H4" s="8">
        <v>25</v>
      </c>
      <c r="I4" s="8">
        <v>25</v>
      </c>
      <c r="J4" s="8">
        <v>25</v>
      </c>
      <c r="K4" s="9">
        <v>25</v>
      </c>
    </row>
    <row r="5" spans="1:11" ht="18.75" thickBot="1" x14ac:dyDescent="0.3">
      <c r="A5" s="31"/>
      <c r="B5" s="6" t="s">
        <v>47</v>
      </c>
      <c r="C5" s="53">
        <v>3.7831920853457239</v>
      </c>
      <c r="D5" s="53">
        <v>7.9264412783482641</v>
      </c>
      <c r="E5" s="53">
        <v>11.879125334804103</v>
      </c>
      <c r="F5" s="53">
        <v>15.268782125442215</v>
      </c>
      <c r="G5" s="53">
        <v>19.571456390217698</v>
      </c>
      <c r="H5" s="53">
        <v>23.874130654993184</v>
      </c>
      <c r="I5" s="53">
        <v>28.176804919768678</v>
      </c>
      <c r="J5" s="53">
        <f>J6*'[1]coût S1'!$I5/'[1]coût S1'!$I6</f>
        <v>0</v>
      </c>
      <c r="K5" s="53" t="e">
        <f>K6*'[1]coût S1'!$I5/'[1]coût S1'!$I6</f>
        <v>#DIV/0!</v>
      </c>
    </row>
    <row r="6" spans="1:11" ht="18.75" thickBot="1" x14ac:dyDescent="0.3">
      <c r="A6" s="31"/>
      <c r="B6" s="6" t="s">
        <v>50</v>
      </c>
      <c r="C6" s="52">
        <v>5.3111395326823425</v>
      </c>
      <c r="D6" s="53">
        <v>9.9029594865991459</v>
      </c>
      <c r="E6" s="53">
        <v>14.49477944051595</v>
      </c>
      <c r="F6" s="53">
        <v>20.181967207107277</v>
      </c>
      <c r="G6" s="53">
        <v>25.869154973698603</v>
      </c>
      <c r="H6" s="53">
        <v>31.556342740289928</v>
      </c>
      <c r="I6" s="53">
        <v>37.243530506881264</v>
      </c>
      <c r="J6" s="8">
        <f t="shared" ref="J6:K6" si="0">I6*(J$17/I$17)</f>
        <v>0</v>
      </c>
      <c r="K6" s="8" t="e">
        <f t="shared" si="0"/>
        <v>#DIV/0!</v>
      </c>
    </row>
    <row r="7" spans="1:11" ht="18.75" thickBot="1" x14ac:dyDescent="0.3">
      <c r="A7" s="31"/>
      <c r="B7" s="6" t="s">
        <v>49</v>
      </c>
      <c r="C7" s="52">
        <v>18.52012992950149</v>
      </c>
      <c r="D7" s="52">
        <v>16.008227215459094</v>
      </c>
      <c r="E7" s="52">
        <v>11.473631273228785</v>
      </c>
      <c r="F7" s="52">
        <v>9.8352239696855275</v>
      </c>
      <c r="G7" s="52">
        <v>9.0786682797097171</v>
      </c>
      <c r="H7" s="52">
        <v>8.3221125897339068</v>
      </c>
      <c r="I7" s="52">
        <v>7.5655568997580982</v>
      </c>
      <c r="J7" s="8"/>
      <c r="K7" s="9"/>
    </row>
    <row r="8" spans="1:11" ht="27.75" thickBot="1" x14ac:dyDescent="0.3">
      <c r="A8" s="32"/>
      <c r="B8" s="6" t="s">
        <v>48</v>
      </c>
      <c r="C8" s="51">
        <v>33.051308797264205</v>
      </c>
      <c r="D8" s="51">
        <v>30.383615254941365</v>
      </c>
      <c r="E8" s="51">
        <v>24.192971084693841</v>
      </c>
      <c r="F8" s="51">
        <v>21.244083774520739</v>
      </c>
      <c r="G8" s="51">
        <v>20.154643580955575</v>
      </c>
      <c r="H8" s="51">
        <v>19.09546561498944</v>
      </c>
      <c r="I8" s="51">
        <v>18.006025421424276</v>
      </c>
      <c r="J8" s="8"/>
      <c r="K8" s="9"/>
    </row>
    <row r="9" spans="1:11" ht="15.75" thickBot="1" x14ac:dyDescent="0.3">
      <c r="A9" s="125" t="s">
        <v>4</v>
      </c>
      <c r="B9" s="6" t="s">
        <v>1</v>
      </c>
      <c r="C9" s="7">
        <v>1392</v>
      </c>
      <c r="D9" s="7">
        <v>1139</v>
      </c>
      <c r="E9" s="8">
        <v>886</v>
      </c>
      <c r="F9" s="8">
        <v>842</v>
      </c>
      <c r="G9" s="8">
        <v>799</v>
      </c>
      <c r="H9" s="8">
        <v>757</v>
      </c>
      <c r="I9" s="8">
        <v>714</v>
      </c>
      <c r="J9" s="8">
        <v>714</v>
      </c>
      <c r="K9" s="9">
        <v>714</v>
      </c>
    </row>
    <row r="10" spans="1:11" ht="15.75" thickBot="1" x14ac:dyDescent="0.3">
      <c r="A10" s="126"/>
      <c r="B10" s="6" t="s">
        <v>2</v>
      </c>
      <c r="C10" s="8">
        <v>28</v>
      </c>
      <c r="D10" s="8">
        <v>23</v>
      </c>
      <c r="E10" s="8">
        <v>18</v>
      </c>
      <c r="F10" s="8">
        <v>17</v>
      </c>
      <c r="G10" s="8">
        <v>16</v>
      </c>
      <c r="H10" s="8">
        <v>15</v>
      </c>
      <c r="I10" s="8">
        <v>14</v>
      </c>
      <c r="J10" s="8">
        <v>14</v>
      </c>
      <c r="K10" s="9">
        <v>14</v>
      </c>
    </row>
    <row r="11" spans="1:11" ht="18.75" thickBot="1" x14ac:dyDescent="0.3">
      <c r="A11" s="126"/>
      <c r="B11" s="6" t="s">
        <v>3</v>
      </c>
      <c r="C11" s="8">
        <v>25</v>
      </c>
      <c r="D11" s="8">
        <v>25</v>
      </c>
      <c r="E11" s="8">
        <v>25</v>
      </c>
      <c r="F11" s="8">
        <v>25</v>
      </c>
      <c r="G11" s="8">
        <v>25</v>
      </c>
      <c r="H11" s="8">
        <v>25</v>
      </c>
      <c r="I11" s="8">
        <v>25</v>
      </c>
      <c r="J11" s="8">
        <v>25</v>
      </c>
      <c r="K11" s="9">
        <v>25</v>
      </c>
    </row>
    <row r="12" spans="1:11" ht="18.75" thickBot="1" x14ac:dyDescent="0.3">
      <c r="A12" s="31"/>
      <c r="B12" s="6" t="s">
        <v>47</v>
      </c>
      <c r="C12" s="54">
        <v>1.6792444146539169</v>
      </c>
      <c r="D12" s="53">
        <v>3.6579752287062339</v>
      </c>
      <c r="E12" s="53">
        <v>6.148334775714198</v>
      </c>
      <c r="F12" s="53">
        <v>7.4548559155534644</v>
      </c>
      <c r="G12" s="53">
        <v>8.7613770553927317</v>
      </c>
      <c r="H12" s="53">
        <v>10.067898195231999</v>
      </c>
      <c r="I12" s="53">
        <v>11.374419335071266</v>
      </c>
      <c r="J12" s="8"/>
      <c r="K12" s="9"/>
    </row>
    <row r="13" spans="1:11" ht="18.75" thickBot="1" x14ac:dyDescent="0.3">
      <c r="A13" s="31"/>
      <c r="B13" s="6" t="s">
        <v>50</v>
      </c>
      <c r="C13" s="54">
        <v>2.0172086556820736</v>
      </c>
      <c r="D13" s="53">
        <v>3.7612146075830619</v>
      </c>
      <c r="E13" s="53">
        <v>5.5052205594840498</v>
      </c>
      <c r="F13" s="53">
        <v>7.6652550151149441</v>
      </c>
      <c r="G13" s="53">
        <v>9.8252894707458385</v>
      </c>
      <c r="H13" s="53">
        <v>11.985323926376731</v>
      </c>
      <c r="I13" s="53">
        <v>14.145358382007627</v>
      </c>
      <c r="J13" s="8"/>
      <c r="K13" s="9"/>
    </row>
    <row r="14" spans="1:11" ht="18.75" thickBot="1" x14ac:dyDescent="0.3">
      <c r="A14" s="31"/>
      <c r="B14" s="6" t="s">
        <v>49</v>
      </c>
      <c r="C14" s="52">
        <v>23.308864691744699</v>
      </c>
      <c r="D14" s="52">
        <v>22.368686458523335</v>
      </c>
      <c r="E14" s="52">
        <v>20.102741528166415</v>
      </c>
      <c r="F14" s="52">
        <v>16.5333769476042</v>
      </c>
      <c r="G14" s="52">
        <v>14.267471030107215</v>
      </c>
      <c r="H14" s="52">
        <v>12.600282967415314</v>
      </c>
      <c r="I14" s="52">
        <v>11.257535255773192</v>
      </c>
      <c r="J14" s="8"/>
      <c r="K14" s="9"/>
    </row>
    <row r="15" spans="1:11" ht="27.75" thickBot="1" x14ac:dyDescent="0.3">
      <c r="A15" s="32"/>
      <c r="B15" s="6" t="s">
        <v>48</v>
      </c>
      <c r="C15" s="51">
        <v>46.351342358440888</v>
      </c>
      <c r="D15" s="51">
        <v>44.309450219579261</v>
      </c>
      <c r="E15" s="51">
        <v>39.580064431012097</v>
      </c>
      <c r="F15" s="51">
        <v>32.755537387959372</v>
      </c>
      <c r="G15" s="51">
        <v>28.499273382639167</v>
      </c>
      <c r="H15" s="51">
        <v>25.435771216889052</v>
      </c>
      <c r="I15" s="51">
        <v>22.965371921777315</v>
      </c>
      <c r="J15" s="8"/>
      <c r="K15" s="9"/>
    </row>
    <row r="16" spans="1:11" ht="30.75" thickBot="1" x14ac:dyDescent="0.3">
      <c r="A16" s="31" t="s">
        <v>86</v>
      </c>
      <c r="B16" s="6" t="s">
        <v>47</v>
      </c>
      <c r="C16" s="52">
        <v>5.4624364999996411</v>
      </c>
      <c r="D16" s="53">
        <v>11.899076293487351</v>
      </c>
      <c r="E16" s="51">
        <v>20</v>
      </c>
      <c r="F16" s="53">
        <v>24.25</v>
      </c>
      <c r="G16" s="53">
        <v>28.5</v>
      </c>
      <c r="H16" s="53">
        <v>32.75</v>
      </c>
      <c r="I16" s="51">
        <v>37</v>
      </c>
      <c r="J16" s="8"/>
      <c r="K16" s="9"/>
    </row>
    <row r="17" spans="1:11" ht="18.75" thickBot="1" x14ac:dyDescent="0.3">
      <c r="A17" s="31"/>
      <c r="B17" s="6" t="s">
        <v>50</v>
      </c>
      <c r="C17" s="51">
        <v>7.3283481883644157</v>
      </c>
      <c r="D17" s="53">
        <v>13.664174094182208</v>
      </c>
      <c r="E17" s="51">
        <v>20</v>
      </c>
      <c r="F17" s="53">
        <v>27.847222222222221</v>
      </c>
      <c r="G17" s="53">
        <v>35.694444444444443</v>
      </c>
      <c r="H17" s="53">
        <v>43.541666666666664</v>
      </c>
      <c r="I17" s="51">
        <v>51.388888888888893</v>
      </c>
      <c r="J17" s="8"/>
      <c r="K17" s="9"/>
    </row>
    <row r="18" spans="1:11" ht="15.75" thickBot="1" x14ac:dyDescent="0.3">
      <c r="A18" s="108" t="s">
        <v>5</v>
      </c>
      <c r="B18" s="6" t="s">
        <v>1</v>
      </c>
      <c r="C18" s="8">
        <v>818</v>
      </c>
      <c r="D18" s="8">
        <v>719</v>
      </c>
      <c r="E18" s="8">
        <v>620</v>
      </c>
      <c r="F18" s="8">
        <v>574</v>
      </c>
      <c r="G18" s="8">
        <v>528</v>
      </c>
      <c r="H18" s="8">
        <v>481</v>
      </c>
      <c r="I18" s="8">
        <v>435</v>
      </c>
      <c r="J18" s="8">
        <v>435</v>
      </c>
      <c r="K18" s="9">
        <v>435</v>
      </c>
    </row>
    <row r="19" spans="1:11" ht="15.75" thickBot="1" x14ac:dyDescent="0.3">
      <c r="A19" s="109"/>
      <c r="B19" s="6" t="s">
        <v>2</v>
      </c>
      <c r="C19" s="8">
        <v>24</v>
      </c>
      <c r="D19" s="8">
        <v>18</v>
      </c>
      <c r="E19" s="8">
        <v>13</v>
      </c>
      <c r="F19" s="8">
        <v>12</v>
      </c>
      <c r="G19" s="8">
        <v>11</v>
      </c>
      <c r="H19" s="8">
        <v>10</v>
      </c>
      <c r="I19" s="8">
        <v>9</v>
      </c>
      <c r="J19" s="8">
        <v>9</v>
      </c>
      <c r="K19" s="9">
        <v>9</v>
      </c>
    </row>
    <row r="20" spans="1:11" ht="18.75" thickBot="1" x14ac:dyDescent="0.3">
      <c r="A20" s="109"/>
      <c r="B20" s="6" t="s">
        <v>3</v>
      </c>
      <c r="C20" s="8">
        <v>25</v>
      </c>
      <c r="D20" s="8">
        <v>25</v>
      </c>
      <c r="E20" s="8">
        <v>25</v>
      </c>
      <c r="F20" s="8">
        <v>25</v>
      </c>
      <c r="G20" s="8">
        <v>25</v>
      </c>
      <c r="H20" s="8">
        <v>25</v>
      </c>
      <c r="I20" s="8">
        <v>25</v>
      </c>
      <c r="J20" s="8">
        <v>25</v>
      </c>
      <c r="K20" s="9">
        <v>25</v>
      </c>
    </row>
    <row r="21" spans="1:11" ht="18.75" thickBot="1" x14ac:dyDescent="0.3">
      <c r="A21" s="31"/>
      <c r="B21" s="6" t="s">
        <v>47</v>
      </c>
      <c r="C21" s="53">
        <f>4/6*C22</f>
        <v>3.9812948257280469</v>
      </c>
      <c r="D21" s="53">
        <f>4/6*D22</f>
        <v>8.2238839372118608</v>
      </c>
      <c r="E21" s="53">
        <f>10/13*E22</f>
        <v>12.307692307692308</v>
      </c>
      <c r="F21" s="53">
        <f>11.75/15*F22</f>
        <v>22.836342592592594</v>
      </c>
      <c r="G21" s="53">
        <f>13.5/17*G22</f>
        <v>33.595588235294116</v>
      </c>
      <c r="H21" s="53">
        <f>15.25/20*H22</f>
        <v>42.286979166666669</v>
      </c>
      <c r="I21" s="53">
        <f>17/22*I22</f>
        <v>45.290404040404034</v>
      </c>
      <c r="J21" s="8"/>
      <c r="K21" s="9"/>
    </row>
    <row r="22" spans="1:11" ht="18.75" thickBot="1" x14ac:dyDescent="0.3">
      <c r="A22" s="31"/>
      <c r="B22" s="6" t="s">
        <v>50</v>
      </c>
      <c r="C22" s="51">
        <f>C35-C29-C17</f>
        <v>5.9719422385920709</v>
      </c>
      <c r="D22" s="51">
        <f t="shared" ref="D22:I22" si="1">D35-D29-D17</f>
        <v>12.335825905817792</v>
      </c>
      <c r="E22" s="51">
        <f t="shared" si="1"/>
        <v>16</v>
      </c>
      <c r="F22" s="51">
        <f t="shared" si="1"/>
        <v>29.152777777777779</v>
      </c>
      <c r="G22" s="51">
        <f t="shared" si="1"/>
        <v>42.305555555555557</v>
      </c>
      <c r="H22" s="51">
        <f t="shared" si="1"/>
        <v>55.458333333333336</v>
      </c>
      <c r="I22" s="51">
        <f t="shared" si="1"/>
        <v>58.611111111111107</v>
      </c>
      <c r="J22" s="8"/>
      <c r="K22" s="9"/>
    </row>
    <row r="23" spans="1:11" ht="18.75" thickBot="1" x14ac:dyDescent="0.3">
      <c r="A23" s="31"/>
      <c r="B23" s="6" t="s">
        <v>49</v>
      </c>
      <c r="C23" s="52">
        <v>18.641426784169571</v>
      </c>
      <c r="D23" s="52">
        <v>13.981070088127177</v>
      </c>
      <c r="E23" s="52">
        <v>10.097439508091849</v>
      </c>
      <c r="F23" s="52">
        <v>9.3207133920847856</v>
      </c>
      <c r="G23" s="52">
        <v>8.5439872760777202</v>
      </c>
      <c r="H23" s="52">
        <v>7.7672611600706549</v>
      </c>
      <c r="I23" s="52">
        <v>6.9905350440635887</v>
      </c>
      <c r="J23" s="8"/>
      <c r="K23" s="9"/>
    </row>
    <row r="24" spans="1:11" ht="27.75" thickBot="1" x14ac:dyDescent="0.3">
      <c r="A24" s="32"/>
      <c r="B24" s="6" t="s">
        <v>48</v>
      </c>
      <c r="C24" s="51">
        <v>25.414478515751185</v>
      </c>
      <c r="D24" s="51">
        <v>22.338643096363199</v>
      </c>
      <c r="E24" s="51">
        <v>19.262807676975221</v>
      </c>
      <c r="F24" s="51">
        <v>17.833631623522223</v>
      </c>
      <c r="G24" s="51">
        <v>16.404455570069224</v>
      </c>
      <c r="H24" s="51">
        <v>14.944210471975939</v>
      </c>
      <c r="I24" s="51">
        <v>13.515034418522939</v>
      </c>
      <c r="J24" s="8"/>
      <c r="K24" s="9"/>
    </row>
    <row r="25" spans="1:11" ht="15.75" thickBot="1" x14ac:dyDescent="0.3">
      <c r="A25" s="125" t="s">
        <v>6</v>
      </c>
      <c r="B25" s="6" t="s">
        <v>1</v>
      </c>
      <c r="C25" s="7">
        <v>1078</v>
      </c>
      <c r="D25" s="8">
        <v>948</v>
      </c>
      <c r="E25" s="8">
        <v>818</v>
      </c>
      <c r="F25" s="8">
        <v>757</v>
      </c>
      <c r="G25" s="8">
        <v>696</v>
      </c>
      <c r="H25" s="8">
        <v>635</v>
      </c>
      <c r="I25" s="8">
        <v>574</v>
      </c>
      <c r="J25" s="8">
        <v>574</v>
      </c>
      <c r="K25" s="9">
        <v>574</v>
      </c>
    </row>
    <row r="26" spans="1:11" ht="15.75" thickBot="1" x14ac:dyDescent="0.3">
      <c r="A26" s="126"/>
      <c r="B26" s="6" t="s">
        <v>2</v>
      </c>
      <c r="C26" s="8">
        <v>29</v>
      </c>
      <c r="D26" s="8">
        <v>23</v>
      </c>
      <c r="E26" s="8">
        <v>16</v>
      </c>
      <c r="F26" s="8">
        <v>15</v>
      </c>
      <c r="G26" s="8">
        <v>14</v>
      </c>
      <c r="H26" s="8">
        <v>13</v>
      </c>
      <c r="I26" s="8">
        <v>11</v>
      </c>
      <c r="J26" s="8">
        <v>11</v>
      </c>
      <c r="K26" s="9">
        <v>11</v>
      </c>
    </row>
    <row r="27" spans="1:11" ht="18.75" thickBot="1" x14ac:dyDescent="0.3">
      <c r="A27" s="126"/>
      <c r="B27" s="6" t="s">
        <v>3</v>
      </c>
      <c r="C27" s="8">
        <v>25</v>
      </c>
      <c r="D27" s="8">
        <v>25</v>
      </c>
      <c r="E27" s="8">
        <v>25</v>
      </c>
      <c r="F27" s="8">
        <v>25</v>
      </c>
      <c r="G27" s="8">
        <v>25</v>
      </c>
      <c r="H27" s="8">
        <v>25</v>
      </c>
      <c r="I27" s="8">
        <v>25</v>
      </c>
      <c r="J27" s="8">
        <v>25</v>
      </c>
      <c r="K27" s="9">
        <v>25</v>
      </c>
    </row>
    <row r="28" spans="1:11" ht="18.75" thickBot="1" x14ac:dyDescent="0.3">
      <c r="A28" s="31"/>
      <c r="B28" s="6" t="s">
        <v>47</v>
      </c>
      <c r="C28" s="8">
        <v>0</v>
      </c>
      <c r="D28" s="8">
        <v>0</v>
      </c>
      <c r="E28" s="8">
        <v>0</v>
      </c>
      <c r="F28" s="53">
        <v>0</v>
      </c>
      <c r="G28" s="53">
        <v>0</v>
      </c>
      <c r="H28" s="53">
        <v>0</v>
      </c>
      <c r="I28" s="8">
        <v>0</v>
      </c>
      <c r="J28" s="8"/>
      <c r="K28" s="9"/>
    </row>
    <row r="29" spans="1:11" ht="18.75" thickBot="1" x14ac:dyDescent="0.3">
      <c r="A29" s="31"/>
      <c r="B29" s="6" t="s">
        <v>50</v>
      </c>
      <c r="C29" s="8">
        <v>0</v>
      </c>
      <c r="D29" s="8">
        <v>0</v>
      </c>
      <c r="E29" s="8">
        <v>0</v>
      </c>
      <c r="F29" s="53">
        <v>0</v>
      </c>
      <c r="G29" s="53">
        <v>0</v>
      </c>
      <c r="H29" s="53">
        <v>0</v>
      </c>
      <c r="I29" s="8">
        <v>0</v>
      </c>
      <c r="J29" s="8"/>
      <c r="K29" s="9"/>
    </row>
    <row r="30" spans="1:11" ht="18.75" thickBot="1" x14ac:dyDescent="0.3">
      <c r="A30" s="31"/>
      <c r="B30" s="6" t="s">
        <v>49</v>
      </c>
      <c r="C30" s="52">
        <v>5.8626983018344871</v>
      </c>
      <c r="D30" s="52">
        <v>5.8626983018344871</v>
      </c>
      <c r="E30" s="52">
        <v>5.8626983018344871</v>
      </c>
      <c r="F30" s="52">
        <v>5.8626983018344871</v>
      </c>
      <c r="G30" s="52">
        <v>5.8626983018344871</v>
      </c>
      <c r="H30" s="52">
        <v>5.8626983018344871</v>
      </c>
      <c r="I30" s="52">
        <v>5.8626983018344871</v>
      </c>
      <c r="J30" s="8"/>
      <c r="K30" s="9"/>
    </row>
    <row r="31" spans="1:11" ht="27.75" thickBot="1" x14ac:dyDescent="0.3">
      <c r="A31" s="32"/>
      <c r="B31" s="6" t="s">
        <v>48</v>
      </c>
      <c r="C31" s="52">
        <v>12.237050273647256</v>
      </c>
      <c r="D31" s="52">
        <v>12.237050273647256</v>
      </c>
      <c r="E31" s="52">
        <v>12.237050273647256</v>
      </c>
      <c r="F31" s="52">
        <v>12.237050273647256</v>
      </c>
      <c r="G31" s="52">
        <v>12.237050273647256</v>
      </c>
      <c r="H31" s="52">
        <v>12.237050273647256</v>
      </c>
      <c r="I31" s="52">
        <v>12.237050273647256</v>
      </c>
      <c r="J31" s="8"/>
      <c r="K31" s="9"/>
    </row>
    <row r="32" spans="1:11" ht="45.75" thickBot="1" x14ac:dyDescent="0.3">
      <c r="A32" s="31" t="s">
        <v>51</v>
      </c>
      <c r="B32" s="6" t="s">
        <v>47</v>
      </c>
      <c r="C32" s="81">
        <f>C21+C28</f>
        <v>3.9812948257280469</v>
      </c>
      <c r="D32" s="81">
        <f t="shared" ref="D32:I32" si="2">D21+D28</f>
        <v>8.2238839372118608</v>
      </c>
      <c r="E32" s="81">
        <f t="shared" si="2"/>
        <v>12.307692307692308</v>
      </c>
      <c r="F32" s="81">
        <f t="shared" si="2"/>
        <v>22.836342592592594</v>
      </c>
      <c r="G32" s="81">
        <f t="shared" si="2"/>
        <v>33.595588235294116</v>
      </c>
      <c r="H32" s="81">
        <f t="shared" si="2"/>
        <v>42.286979166666669</v>
      </c>
      <c r="I32" s="81">
        <f t="shared" si="2"/>
        <v>45.290404040404034</v>
      </c>
      <c r="J32" s="8"/>
      <c r="K32" s="9"/>
    </row>
    <row r="33" spans="1:11" ht="18.75" thickBot="1" x14ac:dyDescent="0.3">
      <c r="A33" s="31"/>
      <c r="B33" s="6" t="s">
        <v>50</v>
      </c>
      <c r="C33" s="81">
        <f>C22+C29</f>
        <v>5.9719422385920709</v>
      </c>
      <c r="D33" s="81">
        <f t="shared" ref="D33:I33" si="3">D22+D29</f>
        <v>12.335825905817792</v>
      </c>
      <c r="E33" s="81">
        <f t="shared" si="3"/>
        <v>16</v>
      </c>
      <c r="F33" s="81">
        <f t="shared" si="3"/>
        <v>29.152777777777779</v>
      </c>
      <c r="G33" s="81">
        <f t="shared" si="3"/>
        <v>42.305555555555557</v>
      </c>
      <c r="H33" s="81">
        <f t="shared" si="3"/>
        <v>55.458333333333336</v>
      </c>
      <c r="I33" s="81">
        <f t="shared" si="3"/>
        <v>58.611111111111107</v>
      </c>
      <c r="J33" s="8"/>
      <c r="K33" s="9"/>
    </row>
    <row r="34" spans="1:11" ht="18.75" thickBot="1" x14ac:dyDescent="0.3">
      <c r="A34" s="55" t="s">
        <v>87</v>
      </c>
      <c r="B34" s="6" t="s">
        <v>47</v>
      </c>
      <c r="C34" s="51">
        <f>C32+C16</f>
        <v>9.443731325727688</v>
      </c>
      <c r="D34" s="51">
        <f t="shared" ref="D34:I34" si="4">D32+D16</f>
        <v>20.122960230699213</v>
      </c>
      <c r="E34" s="51">
        <f t="shared" si="4"/>
        <v>32.307692307692307</v>
      </c>
      <c r="F34" s="51">
        <f t="shared" si="4"/>
        <v>47.086342592592594</v>
      </c>
      <c r="G34" s="51">
        <f t="shared" si="4"/>
        <v>62.095588235294116</v>
      </c>
      <c r="H34" s="51">
        <f t="shared" si="4"/>
        <v>75.036979166666669</v>
      </c>
      <c r="I34" s="51">
        <f t="shared" si="4"/>
        <v>82.290404040404042</v>
      </c>
      <c r="J34" s="8"/>
      <c r="K34" s="9"/>
    </row>
    <row r="35" spans="1:11" ht="18.75" thickBot="1" x14ac:dyDescent="0.3">
      <c r="A35" s="32"/>
      <c r="B35" s="6" t="s">
        <v>50</v>
      </c>
      <c r="C35" s="51">
        <v>13.300290426956487</v>
      </c>
      <c r="D35" s="51">
        <f>[2]élec!$G$6</f>
        <v>26</v>
      </c>
      <c r="E35" s="51">
        <f>[2]élec!$I$6</f>
        <v>36</v>
      </c>
      <c r="F35" s="51">
        <f>[2]élec!$J$6</f>
        <v>57</v>
      </c>
      <c r="G35" s="51">
        <f>[2]élec!$K$6</f>
        <v>78</v>
      </c>
      <c r="H35" s="51">
        <f>[2]élec!$L$6</f>
        <v>99</v>
      </c>
      <c r="I35" s="51">
        <f>[2]élec!$M$6</f>
        <v>110</v>
      </c>
      <c r="J35" s="8"/>
      <c r="K35" s="9"/>
    </row>
    <row r="36" spans="1:11" ht="15.75" thickBot="1" x14ac:dyDescent="0.3">
      <c r="A36" s="108" t="s">
        <v>7</v>
      </c>
      <c r="B36" s="6" t="s">
        <v>1</v>
      </c>
      <c r="C36" s="7">
        <v>1510</v>
      </c>
      <c r="D36" s="7">
        <v>1458</v>
      </c>
      <c r="E36" s="7">
        <v>1405</v>
      </c>
      <c r="F36" s="7">
        <v>1366</v>
      </c>
      <c r="G36" s="7">
        <v>1328</v>
      </c>
      <c r="H36" s="7">
        <v>1289</v>
      </c>
      <c r="I36" s="7">
        <v>1250</v>
      </c>
      <c r="J36" s="7">
        <v>1250</v>
      </c>
      <c r="K36" s="10">
        <v>1250</v>
      </c>
    </row>
    <row r="37" spans="1:11" ht="15.75" thickBot="1" x14ac:dyDescent="0.3">
      <c r="A37" s="109"/>
      <c r="B37" s="6" t="s">
        <v>2</v>
      </c>
      <c r="C37" s="8">
        <v>48</v>
      </c>
      <c r="D37" s="8">
        <v>43</v>
      </c>
      <c r="E37" s="8">
        <v>39</v>
      </c>
      <c r="F37" s="8">
        <v>36</v>
      </c>
      <c r="G37" s="8">
        <v>33</v>
      </c>
      <c r="H37" s="8">
        <v>30</v>
      </c>
      <c r="I37" s="8">
        <v>28</v>
      </c>
      <c r="J37" s="8">
        <v>28</v>
      </c>
      <c r="K37" s="9">
        <v>28</v>
      </c>
    </row>
    <row r="38" spans="1:11" ht="18.75" thickBot="1" x14ac:dyDescent="0.3">
      <c r="A38" s="109"/>
      <c r="B38" s="6" t="s">
        <v>3</v>
      </c>
      <c r="C38" s="8">
        <v>25</v>
      </c>
      <c r="D38" s="8">
        <v>25</v>
      </c>
      <c r="E38" s="8">
        <v>25</v>
      </c>
      <c r="F38" s="8">
        <v>25</v>
      </c>
      <c r="G38" s="8">
        <v>25</v>
      </c>
      <c r="H38" s="8">
        <v>25</v>
      </c>
      <c r="I38" s="8">
        <v>25</v>
      </c>
      <c r="J38" s="8">
        <v>25</v>
      </c>
      <c r="K38" s="9">
        <v>25</v>
      </c>
    </row>
    <row r="39" spans="1:11" ht="18.75" thickBot="1" x14ac:dyDescent="0.3">
      <c r="A39" s="31"/>
      <c r="B39" s="6" t="s">
        <v>47</v>
      </c>
      <c r="C39" s="51">
        <f>[2]élec!$C$69</f>
        <v>19.100000000000001</v>
      </c>
      <c r="D39" s="87">
        <f>D40*$C$39/$C$40</f>
        <v>25.979848866498742</v>
      </c>
      <c r="E39" s="87">
        <f t="shared" ref="E39:I39" si="5">E40*$C$39/$C$40</f>
        <v>33.196473551637283</v>
      </c>
      <c r="F39" s="87">
        <f t="shared" si="5"/>
        <v>42.938916876574311</v>
      </c>
      <c r="G39" s="87">
        <f t="shared" si="5"/>
        <v>52.681360201511339</v>
      </c>
      <c r="H39" s="87">
        <f t="shared" si="5"/>
        <v>62.423803526448367</v>
      </c>
      <c r="I39" s="87">
        <f t="shared" si="5"/>
        <v>72.166246851385381</v>
      </c>
      <c r="J39" s="8"/>
      <c r="K39" s="9"/>
    </row>
    <row r="40" spans="1:11" ht="18.75" thickBot="1" x14ac:dyDescent="0.3">
      <c r="A40" s="31"/>
      <c r="B40" s="6" t="s">
        <v>50</v>
      </c>
      <c r="C40" s="81">
        <f>[2]élec!$D$4</f>
        <v>39.700000000000003</v>
      </c>
      <c r="D40" s="81">
        <f>[2]élec!$G$4</f>
        <v>54</v>
      </c>
      <c r="E40" s="86">
        <f>[2]élec!$I$4</f>
        <v>69</v>
      </c>
      <c r="F40" s="81">
        <f>[2]élec!$J$4</f>
        <v>89.25</v>
      </c>
      <c r="G40" s="81">
        <f>[2]élec!$K$4</f>
        <v>109.5</v>
      </c>
      <c r="H40" s="81">
        <f>[2]élec!$L$4</f>
        <v>129.75</v>
      </c>
      <c r="I40" s="86">
        <f>[2]élec!$M$4</f>
        <v>150</v>
      </c>
      <c r="J40" s="8"/>
      <c r="K40" s="9"/>
    </row>
    <row r="41" spans="1:11" ht="18.75" thickBot="1" x14ac:dyDescent="0.3">
      <c r="A41" s="31"/>
      <c r="B41" s="6" t="s">
        <v>49</v>
      </c>
      <c r="C41" s="52">
        <v>23.995672611543696</v>
      </c>
      <c r="D41" s="52">
        <v>18.428571428571423</v>
      </c>
      <c r="E41" s="52">
        <v>16.714285714285715</v>
      </c>
      <c r="F41" s="52">
        <v>15.130434782608695</v>
      </c>
      <c r="G41" s="52">
        <v>13.682926829268293</v>
      </c>
      <c r="H41" s="52">
        <v>12.315789473684211</v>
      </c>
      <c r="I41" s="52">
        <v>11.407407407407407</v>
      </c>
      <c r="J41" s="8"/>
      <c r="K41" s="9"/>
    </row>
    <row r="42" spans="1:11" ht="27.75" thickBot="1" x14ac:dyDescent="0.3">
      <c r="A42" s="32"/>
      <c r="B42" s="6" t="s">
        <v>48</v>
      </c>
      <c r="C42" s="51">
        <v>30.194554702859147</v>
      </c>
      <c r="D42" s="51">
        <v>24.994285714285709</v>
      </c>
      <c r="E42" s="51">
        <v>24.085714285714285</v>
      </c>
      <c r="F42" s="51">
        <v>22.96463768115942</v>
      </c>
      <c r="G42" s="51">
        <v>22.025365853658535</v>
      </c>
      <c r="H42" s="51">
        <v>21.166736842105262</v>
      </c>
      <c r="I42" s="51">
        <v>20.37037037037037</v>
      </c>
      <c r="J42" s="8"/>
      <c r="K42" s="9"/>
    </row>
    <row r="43" spans="1:11" ht="18.75" thickBot="1" x14ac:dyDescent="0.3">
      <c r="A43" s="20" t="s">
        <v>8</v>
      </c>
      <c r="B43" s="6" t="s">
        <v>1</v>
      </c>
      <c r="C43" s="7">
        <v>3600</v>
      </c>
      <c r="D43" s="7">
        <v>3150</v>
      </c>
      <c r="E43" s="7">
        <v>2700</v>
      </c>
      <c r="F43" s="7">
        <v>2700</v>
      </c>
      <c r="G43" s="7">
        <v>2500</v>
      </c>
      <c r="H43" s="7">
        <v>2400</v>
      </c>
      <c r="I43" s="7">
        <v>2300</v>
      </c>
      <c r="J43" s="7">
        <v>2300</v>
      </c>
      <c r="K43" s="7">
        <v>2300</v>
      </c>
    </row>
    <row r="44" spans="1:11" ht="18.75" thickBot="1" x14ac:dyDescent="0.3">
      <c r="A44" s="21" t="s">
        <v>9</v>
      </c>
      <c r="B44" s="6" t="s">
        <v>2</v>
      </c>
      <c r="C44" s="8">
        <v>80</v>
      </c>
      <c r="D44" s="8">
        <v>69</v>
      </c>
      <c r="E44" s="8">
        <v>58</v>
      </c>
      <c r="F44" s="8">
        <v>52.5</v>
      </c>
      <c r="G44" s="8">
        <v>47</v>
      </c>
      <c r="H44" s="8">
        <v>41.5</v>
      </c>
      <c r="I44" s="8">
        <v>36</v>
      </c>
      <c r="J44" s="8">
        <v>36</v>
      </c>
      <c r="K44" s="9">
        <v>36</v>
      </c>
    </row>
    <row r="45" spans="1:11" ht="18.75" thickBot="1" x14ac:dyDescent="0.3">
      <c r="A45" s="31"/>
      <c r="B45" s="6" t="s">
        <v>3</v>
      </c>
      <c r="C45" s="8">
        <v>25</v>
      </c>
      <c r="D45" s="8">
        <v>25</v>
      </c>
      <c r="E45" s="8">
        <v>25</v>
      </c>
      <c r="F45" s="8">
        <v>25</v>
      </c>
      <c r="G45" s="8">
        <v>25</v>
      </c>
      <c r="H45" s="8">
        <v>25</v>
      </c>
      <c r="I45" s="8">
        <v>25</v>
      </c>
      <c r="J45" s="8">
        <v>25</v>
      </c>
      <c r="K45" s="9">
        <v>25</v>
      </c>
    </row>
    <row r="46" spans="1:11" ht="18.75" thickBot="1" x14ac:dyDescent="0.3">
      <c r="A46" s="31"/>
      <c r="B46" s="6" t="s">
        <v>47</v>
      </c>
      <c r="C46" s="8">
        <v>0</v>
      </c>
      <c r="D46" s="51">
        <f>D47*3/8</f>
        <v>3.633</v>
      </c>
      <c r="E46" s="53">
        <f t="shared" ref="E46:I46" si="6">E47*3/8</f>
        <v>5.28</v>
      </c>
      <c r="F46" s="53">
        <f t="shared" si="6"/>
        <v>5.28</v>
      </c>
      <c r="G46" s="53">
        <f t="shared" si="6"/>
        <v>5.28</v>
      </c>
      <c r="H46" s="53">
        <f t="shared" si="6"/>
        <v>5.28</v>
      </c>
      <c r="I46" s="53">
        <f t="shared" si="6"/>
        <v>5.28</v>
      </c>
      <c r="J46" s="8"/>
      <c r="K46" s="9"/>
    </row>
    <row r="47" spans="1:11" ht="18.75" thickBot="1" x14ac:dyDescent="0.3">
      <c r="A47" s="31"/>
      <c r="B47" s="6" t="s">
        <v>50</v>
      </c>
      <c r="C47" s="8">
        <v>0</v>
      </c>
      <c r="D47" s="51">
        <f>[2]élec!$G$5</f>
        <v>9.6880000000000006</v>
      </c>
      <c r="E47" s="81">
        <f>[2]élec!$I$5</f>
        <v>14.08</v>
      </c>
      <c r="F47" s="81">
        <f>[2]élec!$J$5</f>
        <v>14.08</v>
      </c>
      <c r="G47" s="81">
        <f>[2]élec!$K$5</f>
        <v>14.08</v>
      </c>
      <c r="H47" s="81">
        <f>[2]élec!$L$5</f>
        <v>14.08</v>
      </c>
      <c r="I47" s="81">
        <f>[2]élec!$M$5</f>
        <v>14.08</v>
      </c>
      <c r="J47" s="8"/>
      <c r="K47" s="9"/>
    </row>
    <row r="48" spans="1:11" ht="18.75" thickBot="1" x14ac:dyDescent="0.3">
      <c r="A48" s="31"/>
      <c r="B48" s="6" t="s">
        <v>49</v>
      </c>
      <c r="C48" s="52">
        <v>20.7</v>
      </c>
      <c r="D48" s="52">
        <v>20.7</v>
      </c>
      <c r="E48" s="52">
        <v>17.399999999999999</v>
      </c>
      <c r="F48" s="52">
        <v>15.749999999999998</v>
      </c>
      <c r="G48" s="52">
        <v>14.1</v>
      </c>
      <c r="H48" s="52">
        <v>12.450000000000001</v>
      </c>
      <c r="I48" s="52">
        <v>10.8</v>
      </c>
      <c r="J48" s="8"/>
      <c r="K48" s="9"/>
    </row>
    <row r="49" spans="1:11" ht="27.75" thickBot="1" x14ac:dyDescent="0.3">
      <c r="A49" s="32"/>
      <c r="B49" s="6" t="s">
        <v>48</v>
      </c>
      <c r="C49" s="51">
        <v>38.307398519172089</v>
      </c>
      <c r="D49" s="51">
        <v>37.799999999999997</v>
      </c>
      <c r="E49" s="51">
        <v>32.4</v>
      </c>
      <c r="F49" s="51">
        <v>32.4</v>
      </c>
      <c r="G49" s="51">
        <v>30</v>
      </c>
      <c r="H49" s="51">
        <v>28.800000000000004</v>
      </c>
      <c r="I49" s="51">
        <v>27.6</v>
      </c>
      <c r="J49" s="8"/>
      <c r="K49" s="9"/>
    </row>
    <row r="50" spans="1:11" ht="15.75" thickBot="1" x14ac:dyDescent="0.3">
      <c r="A50" s="108" t="s">
        <v>12</v>
      </c>
      <c r="B50" s="6" t="s">
        <v>1</v>
      </c>
      <c r="C50" s="7">
        <v>4100</v>
      </c>
      <c r="D50" s="8">
        <v>3650</v>
      </c>
      <c r="E50" s="7">
        <v>3200</v>
      </c>
      <c r="F50" s="7">
        <v>3125</v>
      </c>
      <c r="G50" s="7">
        <v>3050</v>
      </c>
      <c r="H50" s="7">
        <v>2975</v>
      </c>
      <c r="I50" s="7">
        <v>2900</v>
      </c>
      <c r="J50" s="7">
        <v>2900</v>
      </c>
      <c r="K50" s="10">
        <v>2900</v>
      </c>
    </row>
    <row r="51" spans="1:11" ht="15.75" thickBot="1" x14ac:dyDescent="0.3">
      <c r="A51" s="109"/>
      <c r="B51" s="6" t="s">
        <v>2</v>
      </c>
      <c r="C51" s="8">
        <v>110</v>
      </c>
      <c r="D51" s="8">
        <v>95</v>
      </c>
      <c r="E51" s="8">
        <v>80</v>
      </c>
      <c r="F51" s="8">
        <v>70</v>
      </c>
      <c r="G51" s="8">
        <v>60</v>
      </c>
      <c r="H51" s="8">
        <v>55</v>
      </c>
      <c r="I51" s="8">
        <v>50</v>
      </c>
      <c r="J51" s="8">
        <v>50</v>
      </c>
      <c r="K51" s="9">
        <v>50</v>
      </c>
    </row>
    <row r="52" spans="1:11" ht="18.75" thickBot="1" x14ac:dyDescent="0.3">
      <c r="A52" s="109"/>
      <c r="B52" s="12" t="s">
        <v>3</v>
      </c>
      <c r="C52" s="8">
        <v>25</v>
      </c>
      <c r="D52" s="8">
        <v>25</v>
      </c>
      <c r="E52" s="8">
        <v>25</v>
      </c>
      <c r="F52" s="8">
        <v>25</v>
      </c>
      <c r="G52" s="8">
        <v>25</v>
      </c>
      <c r="H52" s="8">
        <v>25</v>
      </c>
      <c r="I52" s="8">
        <v>25</v>
      </c>
      <c r="J52" s="8">
        <v>25</v>
      </c>
      <c r="K52" s="9">
        <v>25</v>
      </c>
    </row>
    <row r="53" spans="1:11" ht="18.75" thickBot="1" x14ac:dyDescent="0.3">
      <c r="A53" s="31"/>
      <c r="B53" s="6" t="s">
        <v>47</v>
      </c>
      <c r="C53" s="88">
        <v>0</v>
      </c>
      <c r="D53" s="88">
        <v>0</v>
      </c>
      <c r="E53" s="88">
        <v>0</v>
      </c>
      <c r="F53" s="88">
        <v>0</v>
      </c>
      <c r="G53" s="88">
        <v>0</v>
      </c>
      <c r="H53" s="88">
        <v>0</v>
      </c>
      <c r="I53" s="88">
        <v>0</v>
      </c>
      <c r="J53" s="8">
        <v>0</v>
      </c>
      <c r="K53" s="8">
        <v>0</v>
      </c>
    </row>
    <row r="54" spans="1:11" ht="18.75" thickBot="1" x14ac:dyDescent="0.3">
      <c r="A54" s="31"/>
      <c r="B54" s="6" t="s">
        <v>50</v>
      </c>
      <c r="C54" s="88">
        <v>0</v>
      </c>
      <c r="D54" s="88">
        <v>0</v>
      </c>
      <c r="E54" s="88">
        <v>0</v>
      </c>
      <c r="F54" s="88">
        <v>0</v>
      </c>
      <c r="G54" s="88">
        <v>0</v>
      </c>
      <c r="H54" s="88">
        <v>0</v>
      </c>
      <c r="I54" s="88">
        <v>0</v>
      </c>
      <c r="J54" s="8">
        <v>0</v>
      </c>
      <c r="K54" s="8">
        <v>0</v>
      </c>
    </row>
    <row r="55" spans="1:11" ht="18.75" thickBot="1" x14ac:dyDescent="0.3">
      <c r="A55" s="31"/>
      <c r="B55" s="6" t="s">
        <v>49</v>
      </c>
      <c r="C55" s="52">
        <v>26.156728675262425</v>
      </c>
      <c r="D55" s="52">
        <v>26.156728675262425</v>
      </c>
      <c r="E55" s="52">
        <v>22.026718884431514</v>
      </c>
      <c r="F55" s="52">
        <v>19.928797692935138</v>
      </c>
      <c r="G55" s="52">
        <v>17.478071038808213</v>
      </c>
      <c r="H55" s="52">
        <v>16.291501837326898</v>
      </c>
      <c r="I55" s="52">
        <v>15.000000000000002</v>
      </c>
      <c r="J55" s="8"/>
      <c r="K55" s="9"/>
    </row>
    <row r="56" spans="1:11" ht="27.75" thickBot="1" x14ac:dyDescent="0.3">
      <c r="A56" s="32"/>
      <c r="B56" s="6" t="s">
        <v>48</v>
      </c>
      <c r="C56" s="51">
        <v>40.198761964087517</v>
      </c>
      <c r="D56" s="51">
        <v>40.198761964087517</v>
      </c>
      <c r="E56" s="51">
        <v>35.242750215090425</v>
      </c>
      <c r="F56" s="51">
        <v>35.58713873738418</v>
      </c>
      <c r="G56" s="51">
        <v>35.538744445576704</v>
      </c>
      <c r="H56" s="51">
        <v>35.248885793489102</v>
      </c>
      <c r="I56" s="51">
        <v>34.800000000000004</v>
      </c>
      <c r="J56" s="8"/>
      <c r="K56" s="9"/>
    </row>
    <row r="57" spans="1:11" ht="15.75" thickBot="1" x14ac:dyDescent="0.3">
      <c r="A57" s="108" t="s">
        <v>23</v>
      </c>
      <c r="B57" s="6" t="s">
        <v>16</v>
      </c>
      <c r="C57" s="7">
        <v>5175</v>
      </c>
      <c r="D57" s="7">
        <v>5175</v>
      </c>
      <c r="E57" s="7">
        <v>5175</v>
      </c>
      <c r="F57" s="7">
        <v>5175</v>
      </c>
      <c r="G57" s="7">
        <v>5175</v>
      </c>
      <c r="H57" s="7">
        <v>5175</v>
      </c>
      <c r="I57" s="7">
        <v>5175</v>
      </c>
      <c r="J57" s="7">
        <f t="shared" ref="J57:K57" si="7">I57</f>
        <v>5175</v>
      </c>
      <c r="K57" s="7">
        <f t="shared" si="7"/>
        <v>5175</v>
      </c>
    </row>
    <row r="58" spans="1:11" ht="18.75" thickBot="1" x14ac:dyDescent="0.3">
      <c r="A58" s="109" t="s">
        <v>15</v>
      </c>
      <c r="B58" s="6" t="s">
        <v>17</v>
      </c>
      <c r="C58" s="8">
        <v>115</v>
      </c>
      <c r="D58" s="7">
        <v>115</v>
      </c>
      <c r="E58" s="7">
        <v>115</v>
      </c>
      <c r="F58" s="7">
        <v>115</v>
      </c>
      <c r="G58" s="7">
        <v>115</v>
      </c>
      <c r="H58" s="7">
        <v>115</v>
      </c>
      <c r="I58" s="7">
        <v>115</v>
      </c>
      <c r="J58" s="7">
        <f t="shared" ref="J58:K62" si="8">I58</f>
        <v>115</v>
      </c>
      <c r="K58" s="7">
        <f t="shared" si="8"/>
        <v>115</v>
      </c>
    </row>
    <row r="59" spans="1:11" ht="18.75" thickBot="1" x14ac:dyDescent="0.3">
      <c r="A59" s="109"/>
      <c r="B59" s="12" t="s">
        <v>18</v>
      </c>
      <c r="C59" s="8">
        <v>10</v>
      </c>
      <c r="D59" s="7">
        <v>10</v>
      </c>
      <c r="E59" s="7">
        <v>10</v>
      </c>
      <c r="F59" s="7">
        <v>10</v>
      </c>
      <c r="G59" s="7">
        <v>10</v>
      </c>
      <c r="H59" s="7">
        <v>10</v>
      </c>
      <c r="I59" s="7">
        <v>10</v>
      </c>
      <c r="J59" s="7">
        <f t="shared" si="8"/>
        <v>10</v>
      </c>
      <c r="K59" s="7">
        <f t="shared" si="8"/>
        <v>10</v>
      </c>
    </row>
    <row r="60" spans="1:11" ht="15.75" thickBot="1" x14ac:dyDescent="0.3">
      <c r="A60" s="109"/>
      <c r="B60" s="6" t="s">
        <v>19</v>
      </c>
      <c r="C60" s="7" t="s">
        <v>20</v>
      </c>
      <c r="D60" s="7" t="s">
        <v>20</v>
      </c>
      <c r="E60" s="7" t="s">
        <v>20</v>
      </c>
      <c r="F60" s="7" t="s">
        <v>20</v>
      </c>
      <c r="G60" s="7" t="s">
        <v>20</v>
      </c>
      <c r="H60" s="7" t="s">
        <v>20</v>
      </c>
      <c r="I60" s="7" t="s">
        <v>20</v>
      </c>
      <c r="J60" s="7" t="str">
        <f t="shared" si="8"/>
        <v>76,5%</v>
      </c>
      <c r="K60" s="7" t="str">
        <f t="shared" si="8"/>
        <v>76,5%</v>
      </c>
    </row>
    <row r="61" spans="1:11" ht="15.75" thickBot="1" x14ac:dyDescent="0.3">
      <c r="A61" s="109"/>
      <c r="B61" s="6" t="s">
        <v>21</v>
      </c>
      <c r="C61" s="8">
        <v>60</v>
      </c>
      <c r="D61" s="7">
        <v>60</v>
      </c>
      <c r="E61" s="7">
        <v>60</v>
      </c>
      <c r="F61" s="7">
        <v>60</v>
      </c>
      <c r="G61" s="7">
        <v>60</v>
      </c>
      <c r="H61" s="7">
        <v>60</v>
      </c>
      <c r="I61" s="7">
        <v>60</v>
      </c>
      <c r="J61" s="7">
        <f t="shared" si="8"/>
        <v>60</v>
      </c>
      <c r="K61" s="7">
        <f t="shared" si="8"/>
        <v>60</v>
      </c>
    </row>
    <row r="62" spans="1:11" ht="18.75" thickBot="1" x14ac:dyDescent="0.3">
      <c r="A62" s="31"/>
      <c r="B62" s="6" t="s">
        <v>47</v>
      </c>
      <c r="C62" s="8">
        <v>0</v>
      </c>
      <c r="D62" s="51">
        <v>1.6</v>
      </c>
      <c r="E62" s="51">
        <f>D62</f>
        <v>1.6</v>
      </c>
      <c r="F62" s="51">
        <f t="shared" ref="F62:I62" si="9">E62</f>
        <v>1.6</v>
      </c>
      <c r="G62" s="51">
        <f t="shared" si="9"/>
        <v>1.6</v>
      </c>
      <c r="H62" s="51">
        <f t="shared" si="9"/>
        <v>1.6</v>
      </c>
      <c r="I62" s="51">
        <f t="shared" si="9"/>
        <v>1.6</v>
      </c>
      <c r="J62" s="51">
        <f t="shared" si="8"/>
        <v>1.6</v>
      </c>
      <c r="K62" s="51">
        <f t="shared" si="8"/>
        <v>1.6</v>
      </c>
    </row>
    <row r="63" spans="1:11" ht="18.75" thickBot="1" x14ac:dyDescent="0.3">
      <c r="A63" s="31"/>
      <c r="B63" s="6" t="s">
        <v>50</v>
      </c>
      <c r="C63" s="8">
        <v>0</v>
      </c>
      <c r="D63" s="51">
        <v>7.4592842958712495</v>
      </c>
      <c r="E63" s="51">
        <f>D63</f>
        <v>7.4592842958712495</v>
      </c>
      <c r="F63" s="51">
        <f t="shared" ref="F63:I63" si="10">E63</f>
        <v>7.4592842958712495</v>
      </c>
      <c r="G63" s="51">
        <f t="shared" si="10"/>
        <v>7.4592842958712495</v>
      </c>
      <c r="H63" s="51">
        <f t="shared" si="10"/>
        <v>7.4592842958712495</v>
      </c>
      <c r="I63" s="51">
        <f t="shared" si="10"/>
        <v>7.4592842958712495</v>
      </c>
      <c r="J63" s="8"/>
      <c r="K63" s="9"/>
    </row>
    <row r="64" spans="1:11" ht="18.75" thickBot="1" x14ac:dyDescent="0.3">
      <c r="A64" s="31"/>
      <c r="B64" s="6" t="s">
        <v>49</v>
      </c>
      <c r="C64" s="52">
        <v>34.667245904790747</v>
      </c>
      <c r="D64" s="52">
        <v>34.667245904790747</v>
      </c>
      <c r="E64" s="52">
        <v>33</v>
      </c>
      <c r="F64" s="52">
        <v>30.098130841121495</v>
      </c>
      <c r="G64" s="52">
        <v>29.754355400696863</v>
      </c>
      <c r="H64" s="52">
        <v>29.620918984280536</v>
      </c>
      <c r="I64" s="52">
        <v>29.55</v>
      </c>
      <c r="J64" s="8"/>
      <c r="K64" s="9"/>
    </row>
    <row r="65" spans="1:11" ht="27.75" thickBot="1" x14ac:dyDescent="0.3">
      <c r="A65" s="32"/>
      <c r="B65" s="6" t="s">
        <v>48</v>
      </c>
      <c r="C65" s="51">
        <v>18.50043442859306</v>
      </c>
      <c r="D65" s="51">
        <v>18.50043442859306</v>
      </c>
      <c r="E65" s="51">
        <v>17.25</v>
      </c>
      <c r="F65" s="51">
        <v>15.073598130841122</v>
      </c>
      <c r="G65" s="51">
        <v>14.815766550522648</v>
      </c>
      <c r="H65" s="51">
        <v>14.7156892382104</v>
      </c>
      <c r="I65" s="51">
        <v>14.6625</v>
      </c>
      <c r="J65" s="8"/>
      <c r="K65" s="9"/>
    </row>
    <row r="66" spans="1:11" ht="15.75" thickBot="1" x14ac:dyDescent="0.3">
      <c r="A66" s="108" t="s">
        <v>25</v>
      </c>
      <c r="B66" s="6" t="s">
        <v>16</v>
      </c>
      <c r="C66" s="7">
        <v>541</v>
      </c>
      <c r="D66" s="7">
        <v>541</v>
      </c>
      <c r="E66" s="7">
        <v>541</v>
      </c>
      <c r="F66" s="7">
        <v>541</v>
      </c>
      <c r="G66" s="7">
        <v>541</v>
      </c>
      <c r="H66" s="7">
        <v>541</v>
      </c>
      <c r="I66" s="7">
        <v>541</v>
      </c>
      <c r="J66" s="7">
        <f t="shared" ref="J66:K66" si="11">I66</f>
        <v>541</v>
      </c>
      <c r="K66" s="7">
        <f t="shared" si="11"/>
        <v>541</v>
      </c>
    </row>
    <row r="67" spans="1:11" ht="18.75" thickBot="1" x14ac:dyDescent="0.3">
      <c r="A67" s="109" t="s">
        <v>15</v>
      </c>
      <c r="B67" s="6" t="s">
        <v>17</v>
      </c>
      <c r="C67" s="8">
        <v>160</v>
      </c>
      <c r="D67" s="7">
        <v>160</v>
      </c>
      <c r="E67" s="7">
        <v>160</v>
      </c>
      <c r="F67" s="7">
        <v>160</v>
      </c>
      <c r="G67" s="7">
        <v>160</v>
      </c>
      <c r="H67" s="7">
        <v>160</v>
      </c>
      <c r="I67" s="7">
        <v>160</v>
      </c>
      <c r="J67" s="7">
        <f t="shared" ref="J67:K70" si="12">I67</f>
        <v>160</v>
      </c>
      <c r="K67" s="7">
        <f t="shared" si="12"/>
        <v>160</v>
      </c>
    </row>
    <row r="68" spans="1:11" ht="18.75" thickBot="1" x14ac:dyDescent="0.3">
      <c r="A68" s="109"/>
      <c r="B68" s="12" t="s">
        <v>18</v>
      </c>
      <c r="C68" s="8">
        <v>5.8</v>
      </c>
      <c r="D68" s="7">
        <v>5.8</v>
      </c>
      <c r="E68" s="7">
        <v>5.8</v>
      </c>
      <c r="F68" s="7">
        <v>5.8</v>
      </c>
      <c r="G68" s="7">
        <v>5.8</v>
      </c>
      <c r="H68" s="7">
        <v>5.8</v>
      </c>
      <c r="I68" s="7">
        <v>5.8</v>
      </c>
      <c r="J68" s="7">
        <f t="shared" si="12"/>
        <v>5.8</v>
      </c>
      <c r="K68" s="7">
        <f t="shared" si="12"/>
        <v>5.8</v>
      </c>
    </row>
    <row r="69" spans="1:11" ht="15.75" thickBot="1" x14ac:dyDescent="0.3">
      <c r="A69" s="109"/>
      <c r="B69" s="6" t="s">
        <v>19</v>
      </c>
      <c r="C69" s="7" t="s">
        <v>27</v>
      </c>
      <c r="D69" s="7" t="s">
        <v>27</v>
      </c>
      <c r="E69" s="7" t="s">
        <v>27</v>
      </c>
      <c r="F69" s="7" t="s">
        <v>27</v>
      </c>
      <c r="G69" s="7" t="s">
        <v>27</v>
      </c>
      <c r="H69" s="7" t="s">
        <v>27</v>
      </c>
      <c r="I69" s="7" t="s">
        <v>27</v>
      </c>
      <c r="J69" s="7" t="str">
        <f t="shared" si="12"/>
        <v>73,5%</v>
      </c>
      <c r="K69" s="7" t="str">
        <f t="shared" si="12"/>
        <v>73,5%</v>
      </c>
    </row>
    <row r="70" spans="1:11" ht="15.75" thickBot="1" x14ac:dyDescent="0.3">
      <c r="A70" s="109"/>
      <c r="B70" s="6" t="s">
        <v>21</v>
      </c>
      <c r="C70" s="8">
        <v>10</v>
      </c>
      <c r="D70" s="7">
        <v>10</v>
      </c>
      <c r="E70" s="7">
        <v>10</v>
      </c>
      <c r="F70" s="7">
        <v>10</v>
      </c>
      <c r="G70" s="7">
        <v>10</v>
      </c>
      <c r="H70" s="7">
        <v>10</v>
      </c>
      <c r="I70" s="7">
        <v>10</v>
      </c>
      <c r="J70" s="7">
        <f t="shared" si="12"/>
        <v>10</v>
      </c>
      <c r="K70" s="7">
        <f t="shared" si="12"/>
        <v>10</v>
      </c>
    </row>
    <row r="71" spans="1:11" ht="18.75" thickBot="1" x14ac:dyDescent="0.3">
      <c r="A71" s="31"/>
      <c r="B71" s="6" t="s">
        <v>47</v>
      </c>
      <c r="C71" s="51">
        <v>61.370000000000005</v>
      </c>
      <c r="D71" s="53">
        <f>[2]élec!$F$74-D63</f>
        <v>55.54071570412875</v>
      </c>
      <c r="E71" s="51">
        <f>D71/D72*E72</f>
        <v>55.54071570412875</v>
      </c>
      <c r="F71" s="51">
        <f t="shared" ref="F71:I71" si="13">E71/E72*F72</f>
        <v>50.030448463474315</v>
      </c>
      <c r="G71" s="51">
        <f t="shared" si="13"/>
        <v>44.520181222819886</v>
      </c>
      <c r="H71" s="51">
        <f t="shared" si="13"/>
        <v>39.00991398216545</v>
      </c>
      <c r="I71" s="51">
        <f t="shared" si="13"/>
        <v>33.499646741511022</v>
      </c>
      <c r="J71" s="8"/>
      <c r="K71" s="9"/>
    </row>
    <row r="72" spans="1:11" ht="18.75" thickBot="1" x14ac:dyDescent="0.3">
      <c r="A72" s="31"/>
      <c r="B72" s="6" t="s">
        <v>50</v>
      </c>
      <c r="C72" s="81">
        <f>[2]élec!$D$9</f>
        <v>335.4</v>
      </c>
      <c r="D72" s="81">
        <f>[2]élec!$G$9-D63</f>
        <v>385.54071570412873</v>
      </c>
      <c r="E72" s="81">
        <f>[2]élec!$H$9-E63</f>
        <v>385.54071570412873</v>
      </c>
      <c r="F72" s="81">
        <f>[2]élec!$J$9-F63</f>
        <v>347.29071570412873</v>
      </c>
      <c r="G72" s="81">
        <f>[2]élec!$K$9-G63</f>
        <v>309.04071570412873</v>
      </c>
      <c r="H72" s="81">
        <f>[2]élec!$L$9-H63</f>
        <v>270.79071570412873</v>
      </c>
      <c r="I72" s="81">
        <f>[2]élec!$M$9-I63</f>
        <v>232.54071570412876</v>
      </c>
      <c r="J72" s="8"/>
      <c r="K72" s="9"/>
    </row>
    <row r="73" spans="1:11" ht="18.75" thickBot="1" x14ac:dyDescent="0.3">
      <c r="A73" s="31"/>
      <c r="B73" s="6" t="s">
        <v>49</v>
      </c>
      <c r="C73" s="52">
        <v>29.814181590011795</v>
      </c>
      <c r="D73" s="52">
        <v>37.799999999999997</v>
      </c>
      <c r="E73" s="52">
        <v>37.799999999999997</v>
      </c>
      <c r="F73" s="52">
        <v>37.129842931937169</v>
      </c>
      <c r="G73" s="52">
        <v>36.228376534788538</v>
      </c>
      <c r="H73" s="52">
        <v>34.950865622423734</v>
      </c>
      <c r="I73" s="52">
        <v>33</v>
      </c>
      <c r="J73" s="8"/>
      <c r="K73" s="9"/>
    </row>
    <row r="74" spans="1:11" ht="27.75" thickBot="1" x14ac:dyDescent="0.3">
      <c r="A74" s="32"/>
      <c r="B74" s="6" t="s">
        <v>48</v>
      </c>
      <c r="C74" s="51">
        <v>8.119795150122739</v>
      </c>
      <c r="D74" s="51">
        <v>10.820000000000002</v>
      </c>
      <c r="E74" s="51">
        <v>10.82</v>
      </c>
      <c r="F74" s="51">
        <v>10.593403141361255</v>
      </c>
      <c r="G74" s="51">
        <v>10.288594815825373</v>
      </c>
      <c r="H74" s="51">
        <v>9.8566364385820258</v>
      </c>
      <c r="I74" s="51">
        <v>9.197000000000001</v>
      </c>
      <c r="J74" s="8"/>
      <c r="K74" s="9"/>
    </row>
    <row r="75" spans="1:11" ht="15.75" thickBot="1" x14ac:dyDescent="0.3">
      <c r="A75" s="123" t="s">
        <v>29</v>
      </c>
      <c r="B75" s="6" t="s">
        <v>16</v>
      </c>
      <c r="C75" s="7">
        <v>820</v>
      </c>
      <c r="D75" s="8">
        <v>795</v>
      </c>
      <c r="E75" s="7">
        <v>770</v>
      </c>
      <c r="F75" s="7">
        <v>760</v>
      </c>
      <c r="G75" s="7">
        <v>750</v>
      </c>
      <c r="H75" s="7">
        <v>750</v>
      </c>
      <c r="I75" s="7">
        <v>750</v>
      </c>
      <c r="J75" s="7">
        <v>750</v>
      </c>
      <c r="K75" s="10">
        <v>750</v>
      </c>
    </row>
    <row r="76" spans="1:11" ht="18.75" thickBot="1" x14ac:dyDescent="0.3">
      <c r="A76" s="124"/>
      <c r="B76" s="6" t="s">
        <v>30</v>
      </c>
      <c r="C76" s="8">
        <v>15</v>
      </c>
      <c r="D76" s="8">
        <v>15</v>
      </c>
      <c r="E76" s="8">
        <v>15</v>
      </c>
      <c r="F76" s="8">
        <v>15</v>
      </c>
      <c r="G76" s="8">
        <v>15</v>
      </c>
      <c r="H76" s="8">
        <v>15</v>
      </c>
      <c r="I76" s="8">
        <v>15</v>
      </c>
      <c r="J76" s="8">
        <v>15</v>
      </c>
      <c r="K76" s="9">
        <v>15</v>
      </c>
    </row>
    <row r="77" spans="1:11" ht="15.75" thickBot="1" x14ac:dyDescent="0.3">
      <c r="A77" s="124"/>
      <c r="B77" s="12" t="s">
        <v>31</v>
      </c>
      <c r="C77" s="8">
        <v>0.6</v>
      </c>
      <c r="D77" s="8">
        <v>0.6</v>
      </c>
      <c r="E77" s="8">
        <v>0.6</v>
      </c>
      <c r="F77" s="8">
        <v>0.6</v>
      </c>
      <c r="G77" s="8">
        <v>0.6</v>
      </c>
      <c r="H77" s="8">
        <v>0.6</v>
      </c>
      <c r="I77" s="8">
        <v>0.6</v>
      </c>
      <c r="J77" s="8">
        <v>0.6</v>
      </c>
      <c r="K77" s="9">
        <v>0.6</v>
      </c>
    </row>
    <row r="78" spans="1:11" ht="18.75" thickBot="1" x14ac:dyDescent="0.3">
      <c r="A78" s="124"/>
      <c r="B78" s="6" t="s">
        <v>3</v>
      </c>
      <c r="C78" s="7">
        <v>30</v>
      </c>
      <c r="D78" s="8">
        <v>30</v>
      </c>
      <c r="E78" s="7">
        <v>30</v>
      </c>
      <c r="F78" s="7">
        <v>30</v>
      </c>
      <c r="G78" s="7">
        <v>30</v>
      </c>
      <c r="H78" s="7">
        <v>30</v>
      </c>
      <c r="I78" s="7">
        <v>30</v>
      </c>
      <c r="J78" s="7">
        <v>30</v>
      </c>
      <c r="K78" s="10">
        <v>30</v>
      </c>
    </row>
    <row r="79" spans="1:11" ht="18.75" thickBot="1" x14ac:dyDescent="0.3">
      <c r="A79" s="31"/>
      <c r="B79" s="6" t="s">
        <v>47</v>
      </c>
      <c r="C79" s="51">
        <v>6.1640014823452782</v>
      </c>
      <c r="D79" s="51">
        <v>6.1640014823452782</v>
      </c>
      <c r="E79" s="51">
        <v>6.1640014823452782</v>
      </c>
      <c r="F79" s="51">
        <v>6.1640014823452782</v>
      </c>
      <c r="G79" s="51">
        <v>6.1640014823452782</v>
      </c>
      <c r="H79" s="51">
        <v>6.1640014823452782</v>
      </c>
      <c r="I79" s="51">
        <v>6.1640014823452782</v>
      </c>
      <c r="J79" s="8"/>
      <c r="K79" s="9"/>
    </row>
    <row r="80" spans="1:11" ht="18.75" thickBot="1" x14ac:dyDescent="0.3">
      <c r="A80" s="31"/>
      <c r="B80" s="6" t="s">
        <v>50</v>
      </c>
      <c r="C80" s="81">
        <f>'[3]Cibles ThreeME v2 '!$I$7</f>
        <v>24.904679182551273</v>
      </c>
      <c r="D80" s="81">
        <f>'[3]Cibles ThreeME v2 '!$N$7</f>
        <v>7.6163243247728092</v>
      </c>
      <c r="E80" s="84">
        <f>'[3]Cibles ThreeME v2 '!$S$7</f>
        <v>7.5523881054869557</v>
      </c>
      <c r="F80" s="81">
        <f>'[3]Cibles ThreeME v2 '!$X$7</f>
        <v>7.9623342705743987</v>
      </c>
      <c r="G80" s="81">
        <f>'[3]Cibles ThreeME v2 '!$AC$7</f>
        <v>8.315170606453826</v>
      </c>
      <c r="H80" s="81">
        <f>'[3]Cibles ThreeME v2 '!$AH$7</f>
        <v>8.579895509379492</v>
      </c>
      <c r="I80" s="81">
        <f>'[3]Cibles ThreeME v2 '!$AM$7</f>
        <v>24.603178920457438</v>
      </c>
      <c r="J80" s="8"/>
      <c r="K80" s="9"/>
    </row>
    <row r="81" spans="1:11" ht="18.75" thickBot="1" x14ac:dyDescent="0.3">
      <c r="A81" s="31"/>
      <c r="B81" s="6" t="s">
        <v>49</v>
      </c>
      <c r="C81" s="52">
        <v>121.56552503821848</v>
      </c>
      <c r="D81" s="52">
        <v>11.250000000000002</v>
      </c>
      <c r="E81" s="52">
        <v>11.25</v>
      </c>
      <c r="F81" s="52">
        <v>11.25</v>
      </c>
      <c r="G81" s="52">
        <v>11.25</v>
      </c>
      <c r="H81" s="52">
        <v>11.25</v>
      </c>
      <c r="I81" s="52">
        <v>11.25</v>
      </c>
      <c r="J81" s="8"/>
      <c r="K81" s="9"/>
    </row>
    <row r="82" spans="1:11" ht="27.75" thickBot="1" x14ac:dyDescent="0.3">
      <c r="A82" s="32"/>
      <c r="B82" s="6" t="s">
        <v>48</v>
      </c>
      <c r="C82" s="51">
        <v>221.51940118075376</v>
      </c>
      <c r="D82" s="51">
        <v>19.875000000000004</v>
      </c>
      <c r="E82" s="51">
        <v>19.25</v>
      </c>
      <c r="F82" s="51">
        <v>19</v>
      </c>
      <c r="G82" s="51">
        <v>18.75</v>
      </c>
      <c r="H82" s="51">
        <v>18.75</v>
      </c>
      <c r="I82" s="51">
        <v>18.75</v>
      </c>
      <c r="J82" s="8"/>
      <c r="K82" s="9"/>
    </row>
    <row r="83" spans="1:11" ht="15.75" thickBot="1" x14ac:dyDescent="0.3">
      <c r="A83" s="123" t="s">
        <v>32</v>
      </c>
      <c r="B83" s="6" t="s">
        <v>16</v>
      </c>
      <c r="C83" s="51">
        <v>221.51940118075376</v>
      </c>
      <c r="D83" s="8">
        <v>750</v>
      </c>
      <c r="E83" s="8">
        <v>700</v>
      </c>
      <c r="F83" s="8">
        <v>675</v>
      </c>
      <c r="G83" s="8">
        <v>650</v>
      </c>
      <c r="H83" s="8">
        <v>625</v>
      </c>
      <c r="I83" s="8">
        <v>600</v>
      </c>
      <c r="J83" s="8">
        <v>600</v>
      </c>
      <c r="K83" s="9">
        <v>600</v>
      </c>
    </row>
    <row r="84" spans="1:11" ht="18.75" thickBot="1" x14ac:dyDescent="0.3">
      <c r="A84" s="124"/>
      <c r="B84" s="6" t="s">
        <v>30</v>
      </c>
      <c r="C84" s="51">
        <v>221.51940118075376</v>
      </c>
      <c r="D84" s="8">
        <v>15</v>
      </c>
      <c r="E84" s="8">
        <v>15</v>
      </c>
      <c r="F84" s="8">
        <v>15</v>
      </c>
      <c r="G84" s="8">
        <v>15</v>
      </c>
      <c r="H84" s="8">
        <v>15</v>
      </c>
      <c r="I84" s="8">
        <v>15</v>
      </c>
      <c r="J84" s="8">
        <v>15</v>
      </c>
      <c r="K84" s="9">
        <v>15</v>
      </c>
    </row>
    <row r="85" spans="1:11" ht="15.75" thickBot="1" x14ac:dyDescent="0.3">
      <c r="A85" s="124"/>
      <c r="B85" s="6" t="s">
        <v>33</v>
      </c>
      <c r="C85" s="51">
        <v>221.51940118075376</v>
      </c>
      <c r="D85" s="8">
        <v>0.42</v>
      </c>
      <c r="E85" s="7">
        <v>0.42</v>
      </c>
      <c r="F85" s="7">
        <v>0.42</v>
      </c>
      <c r="G85" s="7">
        <v>0.42</v>
      </c>
      <c r="H85" s="7">
        <v>0.42</v>
      </c>
      <c r="I85" s="7">
        <v>0.42</v>
      </c>
      <c r="J85" s="7">
        <v>0.42</v>
      </c>
      <c r="K85" s="10">
        <v>0.42</v>
      </c>
    </row>
    <row r="86" spans="1:11" ht="18.75" thickBot="1" x14ac:dyDescent="0.3">
      <c r="A86" s="124"/>
      <c r="B86" s="6" t="s">
        <v>3</v>
      </c>
      <c r="C86" s="51">
        <v>221.51940118075376</v>
      </c>
      <c r="D86" s="8">
        <v>25</v>
      </c>
      <c r="E86" s="8">
        <v>25</v>
      </c>
      <c r="F86" s="8">
        <v>25</v>
      </c>
      <c r="G86" s="8">
        <v>25</v>
      </c>
      <c r="H86" s="8">
        <v>25</v>
      </c>
      <c r="I86" s="8">
        <v>25</v>
      </c>
      <c r="J86" s="8">
        <v>25</v>
      </c>
      <c r="K86" s="9">
        <v>25</v>
      </c>
    </row>
    <row r="87" spans="1:11" ht="18.75" thickBot="1" x14ac:dyDescent="0.3">
      <c r="A87" s="31"/>
      <c r="B87" s="6" t="s">
        <v>47</v>
      </c>
      <c r="C87" s="51">
        <v>221.51940118075376</v>
      </c>
      <c r="D87" s="8"/>
      <c r="E87" s="8"/>
      <c r="F87" s="8"/>
      <c r="G87" s="8"/>
      <c r="H87" s="8"/>
      <c r="I87" s="8"/>
      <c r="J87" s="8"/>
      <c r="K87" s="9"/>
    </row>
    <row r="88" spans="1:11" ht="18.75" thickBot="1" x14ac:dyDescent="0.3">
      <c r="A88" s="31"/>
      <c r="B88" s="6" t="s">
        <v>50</v>
      </c>
      <c r="C88" s="51">
        <v>221.51940118075376</v>
      </c>
      <c r="D88" s="8"/>
      <c r="E88" s="8"/>
      <c r="F88" s="8"/>
      <c r="G88" s="8"/>
      <c r="H88" s="8"/>
      <c r="I88" s="8"/>
      <c r="J88" s="8"/>
      <c r="K88" s="9"/>
    </row>
    <row r="89" spans="1:11" ht="18.75" thickBot="1" x14ac:dyDescent="0.3">
      <c r="A89" s="31"/>
      <c r="B89" s="6" t="s">
        <v>49</v>
      </c>
      <c r="C89" s="51">
        <v>221.51940118075376</v>
      </c>
      <c r="D89" s="8"/>
      <c r="E89" s="8"/>
      <c r="F89" s="8"/>
      <c r="G89" s="8"/>
      <c r="H89" s="8"/>
      <c r="I89" s="8"/>
      <c r="J89" s="8"/>
      <c r="K89" s="9"/>
    </row>
    <row r="90" spans="1:11" ht="27.75" thickBot="1" x14ac:dyDescent="0.3">
      <c r="A90" s="32"/>
      <c r="B90" s="6" t="s">
        <v>48</v>
      </c>
      <c r="C90" s="51">
        <v>221.51940118075376</v>
      </c>
      <c r="D90" s="8"/>
      <c r="E90" s="8"/>
      <c r="F90" s="8"/>
      <c r="G90" s="8"/>
      <c r="H90" s="8"/>
      <c r="I90" s="8"/>
      <c r="J90" s="8"/>
      <c r="K90" s="9"/>
    </row>
    <row r="91" spans="1:11" ht="15.75" thickBot="1" x14ac:dyDescent="0.3">
      <c r="A91" s="123" t="s">
        <v>67</v>
      </c>
      <c r="B91" s="6" t="s">
        <v>16</v>
      </c>
      <c r="C91" s="7"/>
      <c r="D91" s="8"/>
      <c r="E91" s="7"/>
      <c r="F91" s="7"/>
      <c r="G91" s="7"/>
      <c r="H91" s="7"/>
      <c r="I91" s="7"/>
      <c r="J91" s="7"/>
      <c r="K91" s="10"/>
    </row>
    <row r="92" spans="1:11" ht="18.75" thickBot="1" x14ac:dyDescent="0.3">
      <c r="A92" s="124"/>
      <c r="B92" s="6" t="s">
        <v>30</v>
      </c>
      <c r="C92" s="8"/>
      <c r="D92" s="8"/>
      <c r="E92" s="8"/>
      <c r="F92" s="8"/>
      <c r="G92" s="8"/>
      <c r="H92" s="8"/>
      <c r="I92" s="8"/>
      <c r="J92" s="8"/>
      <c r="K92" s="9"/>
    </row>
    <row r="93" spans="1:11" ht="15.75" thickBot="1" x14ac:dyDescent="0.3">
      <c r="A93" s="124"/>
      <c r="B93" s="12" t="s">
        <v>31</v>
      </c>
      <c r="C93" s="8"/>
      <c r="D93" s="8"/>
      <c r="E93" s="8"/>
      <c r="F93" s="8"/>
      <c r="G93" s="8"/>
      <c r="H93" s="8"/>
      <c r="I93" s="8"/>
      <c r="J93" s="8"/>
      <c r="K93" s="9"/>
    </row>
    <row r="94" spans="1:11" ht="18.75" thickBot="1" x14ac:dyDescent="0.3">
      <c r="A94" s="124"/>
      <c r="B94" s="6" t="s">
        <v>3</v>
      </c>
      <c r="C94" s="7"/>
      <c r="D94" s="8"/>
      <c r="E94" s="7"/>
      <c r="F94" s="7"/>
      <c r="G94" s="7"/>
      <c r="H94" s="7"/>
      <c r="I94" s="7"/>
      <c r="J94" s="7"/>
      <c r="K94" s="10"/>
    </row>
    <row r="95" spans="1:11" ht="18.75" thickBot="1" x14ac:dyDescent="0.3">
      <c r="A95" s="31"/>
      <c r="B95" s="6" t="s">
        <v>47</v>
      </c>
      <c r="C95" s="52">
        <v>0.48361560000000559</v>
      </c>
      <c r="D95" s="8"/>
      <c r="E95" s="8"/>
      <c r="F95" s="8"/>
      <c r="G95" s="8"/>
      <c r="H95" s="8"/>
      <c r="I95" s="8"/>
      <c r="J95" s="8"/>
      <c r="K95" s="9"/>
    </row>
    <row r="96" spans="1:11" ht="18.75" thickBot="1" x14ac:dyDescent="0.3">
      <c r="A96" s="31"/>
      <c r="B96" s="6" t="s">
        <v>50</v>
      </c>
      <c r="C96" s="52">
        <v>2.3799584888399989</v>
      </c>
      <c r="D96" s="8"/>
      <c r="E96" s="8"/>
      <c r="F96" s="8"/>
      <c r="G96" s="8"/>
      <c r="H96" s="8"/>
      <c r="I96" s="8"/>
      <c r="J96" s="8"/>
      <c r="K96" s="9"/>
    </row>
    <row r="97" spans="1:11" ht="18.75" thickBot="1" x14ac:dyDescent="0.3">
      <c r="A97" s="31"/>
      <c r="B97" s="6" t="s">
        <v>49</v>
      </c>
      <c r="C97" s="8"/>
      <c r="D97" s="8"/>
      <c r="E97" s="8"/>
      <c r="F97" s="8"/>
      <c r="G97" s="8"/>
      <c r="H97" s="8"/>
      <c r="I97" s="8"/>
      <c r="J97" s="8"/>
      <c r="K97" s="9"/>
    </row>
    <row r="98" spans="1:11" ht="27.75" thickBot="1" x14ac:dyDescent="0.3">
      <c r="A98" s="32"/>
      <c r="B98" s="6" t="s">
        <v>48</v>
      </c>
      <c r="C98" s="8"/>
      <c r="D98" s="8"/>
      <c r="E98" s="8"/>
      <c r="F98" s="8"/>
      <c r="G98" s="8"/>
      <c r="H98" s="8"/>
      <c r="I98" s="8"/>
      <c r="J98" s="8"/>
      <c r="K98" s="9"/>
    </row>
    <row r="99" spans="1:11" ht="15.75" thickBot="1" x14ac:dyDescent="0.3">
      <c r="A99" s="123" t="s">
        <v>68</v>
      </c>
      <c r="B99" s="6" t="s">
        <v>16</v>
      </c>
      <c r="C99" s="8"/>
      <c r="D99" s="8"/>
      <c r="E99" s="8"/>
      <c r="F99" s="8"/>
      <c r="G99" s="8"/>
      <c r="H99" s="8"/>
      <c r="I99" s="8"/>
      <c r="J99" s="8"/>
      <c r="K99" s="9"/>
    </row>
    <row r="100" spans="1:11" ht="18.75" thickBot="1" x14ac:dyDescent="0.3">
      <c r="A100" s="124"/>
      <c r="B100" s="6" t="s">
        <v>30</v>
      </c>
      <c r="C100" s="8"/>
      <c r="D100" s="8"/>
      <c r="E100" s="8"/>
      <c r="F100" s="8"/>
      <c r="G100" s="8"/>
      <c r="H100" s="8"/>
      <c r="I100" s="8"/>
      <c r="J100" s="8"/>
      <c r="K100" s="9"/>
    </row>
    <row r="101" spans="1:11" ht="15.75" thickBot="1" x14ac:dyDescent="0.3">
      <c r="A101" s="124"/>
      <c r="B101" s="6" t="s">
        <v>33</v>
      </c>
      <c r="C101" s="7"/>
      <c r="D101" s="8"/>
      <c r="E101" s="7"/>
      <c r="F101" s="7"/>
      <c r="G101" s="7"/>
      <c r="H101" s="7"/>
      <c r="I101" s="7"/>
      <c r="J101" s="7"/>
      <c r="K101" s="10"/>
    </row>
    <row r="102" spans="1:11" ht="18.75" thickBot="1" x14ac:dyDescent="0.3">
      <c r="A102" s="124"/>
      <c r="B102" s="6" t="s">
        <v>3</v>
      </c>
      <c r="C102" s="8"/>
      <c r="D102" s="8"/>
      <c r="E102" s="8"/>
      <c r="F102" s="8"/>
      <c r="G102" s="8"/>
      <c r="H102" s="8"/>
      <c r="I102" s="8"/>
      <c r="J102" s="8"/>
      <c r="K102" s="9"/>
    </row>
    <row r="103" spans="1:11" ht="18.75" thickBot="1" x14ac:dyDescent="0.3">
      <c r="A103" s="31"/>
      <c r="B103" s="6" t="s">
        <v>47</v>
      </c>
      <c r="C103" s="52">
        <v>0.65390400000002646</v>
      </c>
      <c r="D103" s="8"/>
      <c r="E103" s="8"/>
      <c r="F103" s="8"/>
      <c r="G103" s="8"/>
      <c r="H103" s="8"/>
      <c r="I103" s="8"/>
      <c r="J103" s="8"/>
      <c r="K103" s="9"/>
    </row>
    <row r="104" spans="1:11" ht="18.75" thickBot="1" x14ac:dyDescent="0.3">
      <c r="A104" s="31"/>
      <c r="B104" s="6" t="s">
        <v>50</v>
      </c>
      <c r="C104" s="52">
        <v>1.6037893462559989</v>
      </c>
      <c r="D104" s="8"/>
      <c r="E104" s="8"/>
      <c r="F104" s="8"/>
      <c r="G104" s="8"/>
      <c r="H104" s="8"/>
      <c r="I104" s="8"/>
      <c r="J104" s="8"/>
      <c r="K104" s="9"/>
    </row>
    <row r="105" spans="1:11" ht="18.75" thickBot="1" x14ac:dyDescent="0.3">
      <c r="A105" s="31"/>
      <c r="B105" s="6" t="s">
        <v>49</v>
      </c>
      <c r="C105" s="8"/>
      <c r="D105" s="8"/>
      <c r="E105" s="8"/>
      <c r="F105" s="8"/>
      <c r="G105" s="8"/>
      <c r="H105" s="8"/>
      <c r="I105" s="8"/>
      <c r="J105" s="8"/>
      <c r="K105" s="9"/>
    </row>
    <row r="106" spans="1:11" ht="27.75" thickBot="1" x14ac:dyDescent="0.3">
      <c r="A106" s="32"/>
      <c r="B106" s="6" t="s">
        <v>48</v>
      </c>
      <c r="C106" s="8"/>
      <c r="D106" s="8"/>
      <c r="E106" s="8"/>
      <c r="F106" s="8"/>
      <c r="G106" s="8"/>
      <c r="H106" s="8"/>
      <c r="I106" s="8"/>
      <c r="J106" s="8"/>
      <c r="K106" s="9"/>
    </row>
    <row r="107" spans="1:11" ht="15.75" thickBot="1" x14ac:dyDescent="0.3">
      <c r="A107" s="123"/>
      <c r="B107" s="6" t="s">
        <v>16</v>
      </c>
      <c r="C107" s="8"/>
      <c r="D107" s="8"/>
      <c r="E107" s="8"/>
      <c r="F107" s="8"/>
      <c r="G107" s="8"/>
      <c r="H107" s="8"/>
      <c r="I107" s="8"/>
      <c r="J107" s="8"/>
      <c r="K107" s="9"/>
    </row>
    <row r="108" spans="1:11" ht="18.75" thickBot="1" x14ac:dyDescent="0.3">
      <c r="A108" s="124"/>
      <c r="B108" s="6" t="s">
        <v>30</v>
      </c>
      <c r="C108" s="8"/>
      <c r="D108" s="8"/>
      <c r="E108" s="8"/>
      <c r="F108" s="8"/>
      <c r="G108" s="8"/>
      <c r="H108" s="8"/>
      <c r="I108" s="8"/>
      <c r="J108" s="8"/>
      <c r="K108" s="9"/>
    </row>
    <row r="109" spans="1:11" ht="15.75" thickBot="1" x14ac:dyDescent="0.3">
      <c r="A109" s="124"/>
      <c r="B109" s="6" t="s">
        <v>33</v>
      </c>
      <c r="C109" s="7"/>
      <c r="D109" s="8"/>
      <c r="E109" s="7"/>
      <c r="F109" s="7"/>
      <c r="G109" s="7"/>
      <c r="H109" s="7"/>
      <c r="I109" s="7"/>
      <c r="J109" s="7"/>
      <c r="K109" s="10"/>
    </row>
    <row r="110" spans="1:11" ht="18.75" thickBot="1" x14ac:dyDescent="0.3">
      <c r="A110" s="124"/>
      <c r="B110" s="6" t="s">
        <v>3</v>
      </c>
      <c r="C110" s="8"/>
      <c r="D110" s="8"/>
      <c r="E110" s="8"/>
      <c r="F110" s="8"/>
      <c r="G110" s="8"/>
      <c r="H110" s="8"/>
      <c r="I110" s="8"/>
      <c r="J110" s="8"/>
      <c r="K110" s="9"/>
    </row>
    <row r="111" spans="1:11" ht="60.75" thickBot="1" x14ac:dyDescent="0.3">
      <c r="A111" s="31" t="s">
        <v>70</v>
      </c>
      <c r="B111" s="6" t="s">
        <v>47</v>
      </c>
      <c r="C111" s="8"/>
      <c r="D111" s="8"/>
      <c r="E111" s="8"/>
      <c r="F111" s="8"/>
      <c r="G111" s="8"/>
      <c r="H111" s="8"/>
      <c r="I111" s="8"/>
      <c r="J111" s="8"/>
      <c r="K111" s="9"/>
    </row>
    <row r="112" spans="1:11" ht="18.75" thickBot="1" x14ac:dyDescent="0.3">
      <c r="A112" s="31"/>
      <c r="B112" s="6" t="s">
        <v>50</v>
      </c>
      <c r="C112" s="8"/>
      <c r="D112" s="8"/>
      <c r="E112" s="8"/>
      <c r="F112" s="8"/>
      <c r="G112" s="8"/>
      <c r="H112" s="8"/>
      <c r="I112" s="8"/>
      <c r="J112" s="8"/>
      <c r="K112" s="9"/>
    </row>
    <row r="113" spans="1:11" ht="18.75" thickBot="1" x14ac:dyDescent="0.3">
      <c r="A113" s="31"/>
      <c r="B113" s="6" t="s">
        <v>49</v>
      </c>
      <c r="C113" s="8"/>
      <c r="D113" s="8"/>
      <c r="E113" s="8"/>
      <c r="F113" s="8"/>
      <c r="G113" s="8"/>
      <c r="H113" s="8"/>
      <c r="I113" s="8"/>
      <c r="J113" s="8"/>
      <c r="K113" s="9"/>
    </row>
    <row r="114" spans="1:11" ht="27.75" thickBot="1" x14ac:dyDescent="0.3">
      <c r="A114" s="32"/>
      <c r="B114" s="6" t="s">
        <v>48</v>
      </c>
      <c r="C114" s="8"/>
      <c r="D114" s="8"/>
      <c r="E114" s="8"/>
      <c r="F114" s="8"/>
      <c r="G114" s="8"/>
      <c r="H114" s="8"/>
      <c r="I114" s="8"/>
      <c r="J114" s="8"/>
      <c r="K114" s="9"/>
    </row>
    <row r="115" spans="1:11" ht="15.75" thickBot="1" x14ac:dyDescent="0.3">
      <c r="A115" s="123"/>
      <c r="B115" s="6" t="s">
        <v>16</v>
      </c>
      <c r="C115" s="8"/>
      <c r="D115" s="8"/>
      <c r="E115" s="8"/>
      <c r="F115" s="8"/>
      <c r="G115" s="8"/>
      <c r="H115" s="8"/>
      <c r="I115" s="8"/>
      <c r="J115" s="8"/>
      <c r="K115" s="9"/>
    </row>
    <row r="116" spans="1:11" ht="18.75" thickBot="1" x14ac:dyDescent="0.3">
      <c r="A116" s="124"/>
      <c r="B116" s="6" t="s">
        <v>30</v>
      </c>
      <c r="C116" s="8"/>
      <c r="D116" s="8"/>
      <c r="E116" s="8"/>
      <c r="F116" s="8"/>
      <c r="G116" s="8"/>
      <c r="H116" s="8"/>
      <c r="I116" s="8"/>
      <c r="J116" s="8"/>
      <c r="K116" s="9"/>
    </row>
    <row r="117" spans="1:11" ht="15.75" thickBot="1" x14ac:dyDescent="0.3">
      <c r="A117" s="124"/>
      <c r="B117" s="6" t="s">
        <v>33</v>
      </c>
      <c r="C117" s="7"/>
      <c r="D117" s="8"/>
      <c r="E117" s="7"/>
      <c r="F117" s="7"/>
      <c r="G117" s="7"/>
      <c r="H117" s="7"/>
      <c r="I117" s="7"/>
      <c r="J117" s="7"/>
      <c r="K117" s="10"/>
    </row>
    <row r="118" spans="1:11" ht="18.75" thickBot="1" x14ac:dyDescent="0.3">
      <c r="A118" s="124"/>
      <c r="B118" s="6" t="s">
        <v>3</v>
      </c>
      <c r="C118" s="8"/>
      <c r="D118" s="8"/>
      <c r="E118" s="8"/>
      <c r="F118" s="8"/>
      <c r="G118" s="8"/>
      <c r="H118" s="8"/>
      <c r="I118" s="8"/>
      <c r="J118" s="8"/>
      <c r="K118" s="9"/>
    </row>
    <row r="119" spans="1:11" ht="18.75" thickBot="1" x14ac:dyDescent="0.3">
      <c r="A119" s="31" t="s">
        <v>69</v>
      </c>
      <c r="B119" s="6" t="s">
        <v>47</v>
      </c>
      <c r="C119" s="8">
        <v>1.8500000000002501E-3</v>
      </c>
      <c r="D119" s="8"/>
      <c r="E119" s="8">
        <v>0.1</v>
      </c>
      <c r="F119" s="53">
        <v>0.1</v>
      </c>
      <c r="G119" s="53">
        <v>0.1</v>
      </c>
      <c r="H119" s="53">
        <v>0.1</v>
      </c>
      <c r="I119" s="8">
        <v>0.1</v>
      </c>
      <c r="J119" s="8"/>
      <c r="K119" s="9"/>
    </row>
    <row r="120" spans="1:11" ht="18.75" thickBot="1" x14ac:dyDescent="0.3">
      <c r="A120" s="31"/>
      <c r="B120" s="6" t="s">
        <v>50</v>
      </c>
      <c r="C120" s="8">
        <v>4.69974E-3</v>
      </c>
      <c r="D120" s="8"/>
      <c r="E120" s="8">
        <v>1</v>
      </c>
      <c r="F120" s="53">
        <v>0.875</v>
      </c>
      <c r="G120" s="53">
        <v>0.75</v>
      </c>
      <c r="H120" s="53">
        <v>0.625</v>
      </c>
      <c r="I120" s="8">
        <v>0.5</v>
      </c>
      <c r="J120" s="8"/>
      <c r="K120" s="9"/>
    </row>
    <row r="121" spans="1:11" ht="18.75" thickBot="1" x14ac:dyDescent="0.3">
      <c r="A121" s="31"/>
      <c r="B121" s="6" t="s">
        <v>49</v>
      </c>
      <c r="C121" s="8"/>
      <c r="D121" s="8"/>
      <c r="E121" s="8"/>
      <c r="F121" s="8"/>
      <c r="G121" s="8"/>
      <c r="H121" s="8"/>
      <c r="I121" s="8"/>
      <c r="J121" s="8"/>
      <c r="K121" s="9"/>
    </row>
    <row r="122" spans="1:11" ht="27.75" thickBot="1" x14ac:dyDescent="0.3">
      <c r="A122" s="32"/>
      <c r="B122" s="6" t="s">
        <v>48</v>
      </c>
      <c r="C122" s="8"/>
      <c r="D122" s="8"/>
      <c r="E122" s="8"/>
      <c r="F122" s="8"/>
      <c r="G122" s="8"/>
      <c r="H122" s="8"/>
      <c r="I122" s="8"/>
      <c r="J122" s="8"/>
      <c r="K122" s="9"/>
    </row>
    <row r="123" spans="1:11" ht="15.75" thickBot="1" x14ac:dyDescent="0.3">
      <c r="A123" s="123"/>
      <c r="B123" s="6" t="s">
        <v>16</v>
      </c>
      <c r="C123" s="8"/>
      <c r="D123" s="8"/>
      <c r="E123" s="8"/>
      <c r="F123" s="8"/>
      <c r="G123" s="8"/>
      <c r="H123" s="8"/>
      <c r="I123" s="8"/>
      <c r="J123" s="8"/>
      <c r="K123" s="9"/>
    </row>
    <row r="124" spans="1:11" ht="18.75" thickBot="1" x14ac:dyDescent="0.3">
      <c r="A124" s="124"/>
      <c r="B124" s="6" t="s">
        <v>30</v>
      </c>
      <c r="C124" s="8"/>
      <c r="D124" s="8"/>
      <c r="E124" s="8"/>
      <c r="F124" s="8"/>
      <c r="G124" s="8"/>
      <c r="H124" s="8"/>
      <c r="I124" s="8"/>
      <c r="J124" s="8"/>
      <c r="K124" s="9"/>
    </row>
    <row r="125" spans="1:11" ht="15.75" thickBot="1" x14ac:dyDescent="0.3">
      <c r="A125" s="124"/>
      <c r="B125" s="6" t="s">
        <v>33</v>
      </c>
      <c r="C125" s="7"/>
      <c r="D125" s="8"/>
      <c r="E125" s="7"/>
      <c r="F125" s="7"/>
      <c r="G125" s="7"/>
      <c r="H125" s="7"/>
      <c r="I125" s="7"/>
      <c r="J125" s="7"/>
      <c r="K125" s="10"/>
    </row>
    <row r="126" spans="1:11" ht="18.75" thickBot="1" x14ac:dyDescent="0.3">
      <c r="A126" s="124"/>
      <c r="B126" s="6" t="s">
        <v>3</v>
      </c>
      <c r="C126" s="8"/>
      <c r="D126" s="8"/>
      <c r="E126" s="8"/>
      <c r="F126" s="8"/>
      <c r="G126" s="8"/>
      <c r="H126" s="8"/>
      <c r="I126" s="8"/>
      <c r="J126" s="8"/>
      <c r="K126" s="9"/>
    </row>
    <row r="127" spans="1:11" ht="30.75" thickBot="1" x14ac:dyDescent="0.3">
      <c r="A127" s="31" t="s">
        <v>63</v>
      </c>
      <c r="B127" s="6" t="s">
        <v>47</v>
      </c>
      <c r="C127" s="8">
        <v>30.473000000000003</v>
      </c>
      <c r="D127" s="8"/>
      <c r="E127" s="8"/>
      <c r="F127" s="8"/>
      <c r="G127" s="8"/>
      <c r="H127" s="8"/>
      <c r="I127" s="8"/>
      <c r="J127" s="8"/>
      <c r="K127" s="9"/>
    </row>
    <row r="128" spans="1:11" ht="18.75" thickBot="1" x14ac:dyDescent="0.3">
      <c r="A128" s="31"/>
      <c r="B128" s="6" t="s">
        <v>50</v>
      </c>
      <c r="C128" s="51">
        <v>66.590545412829414</v>
      </c>
      <c r="D128" s="52">
        <v>67.181915215914472</v>
      </c>
      <c r="E128" s="52">
        <v>68.419442744658824</v>
      </c>
      <c r="F128" s="53">
        <v>67.476990368179472</v>
      </c>
      <c r="G128" s="53">
        <v>66.53453799170012</v>
      </c>
      <c r="H128" s="53">
        <v>65.592085615220768</v>
      </c>
      <c r="I128" s="52">
        <v>64.649633238741401</v>
      </c>
      <c r="J128" s="8"/>
      <c r="K128" s="9"/>
    </row>
    <row r="129" spans="1:11" ht="18.75" thickBot="1" x14ac:dyDescent="0.3">
      <c r="A129" s="31"/>
      <c r="B129" s="6" t="s">
        <v>49</v>
      </c>
      <c r="C129" s="8"/>
      <c r="D129" s="8"/>
      <c r="E129" s="8"/>
      <c r="F129" s="8"/>
      <c r="G129" s="8"/>
      <c r="H129" s="8"/>
      <c r="I129" s="8"/>
      <c r="J129" s="8"/>
      <c r="K129" s="9"/>
    </row>
    <row r="130" spans="1:11" ht="27.75" thickBot="1" x14ac:dyDescent="0.3">
      <c r="A130" s="32"/>
      <c r="B130" s="6" t="s">
        <v>48</v>
      </c>
      <c r="C130" s="8"/>
      <c r="D130" s="8"/>
      <c r="E130" s="8"/>
      <c r="F130" s="8"/>
      <c r="G130" s="8"/>
      <c r="H130" s="8"/>
      <c r="I130" s="8"/>
      <c r="J130" s="8"/>
      <c r="K130" s="9"/>
    </row>
    <row r="131" spans="1:11" ht="15.75" thickBot="1" x14ac:dyDescent="0.3">
      <c r="A131" s="123"/>
      <c r="B131" s="6" t="s">
        <v>16</v>
      </c>
      <c r="C131" s="8"/>
      <c r="D131" s="8"/>
      <c r="E131" s="8"/>
      <c r="F131" s="8"/>
      <c r="G131" s="8"/>
      <c r="H131" s="8"/>
      <c r="I131" s="8"/>
      <c r="J131" s="8"/>
      <c r="K131" s="9"/>
    </row>
    <row r="132" spans="1:11" ht="18.75" thickBot="1" x14ac:dyDescent="0.3">
      <c r="A132" s="124"/>
      <c r="B132" s="6" t="s">
        <v>30</v>
      </c>
      <c r="C132" s="8"/>
      <c r="D132" s="8"/>
      <c r="E132" s="8"/>
      <c r="F132" s="8"/>
      <c r="G132" s="8"/>
      <c r="H132" s="8"/>
      <c r="I132" s="8"/>
      <c r="J132" s="8"/>
      <c r="K132" s="9"/>
    </row>
    <row r="133" spans="1:11" ht="15.75" thickBot="1" x14ac:dyDescent="0.3">
      <c r="A133" s="124"/>
      <c r="B133" s="6" t="s">
        <v>33</v>
      </c>
      <c r="C133" s="7"/>
      <c r="D133" s="8"/>
      <c r="E133" s="7"/>
      <c r="F133" s="7"/>
      <c r="G133" s="7"/>
      <c r="H133" s="7"/>
      <c r="I133" s="7"/>
      <c r="J133" s="7"/>
      <c r="K133" s="10"/>
    </row>
    <row r="134" spans="1:11" ht="18.75" thickBot="1" x14ac:dyDescent="0.3">
      <c r="A134" s="124"/>
      <c r="B134" s="6" t="s">
        <v>3</v>
      </c>
      <c r="C134" s="8"/>
      <c r="D134" s="8"/>
      <c r="E134" s="8"/>
      <c r="F134" s="8"/>
      <c r="G134" s="8"/>
      <c r="H134" s="8"/>
      <c r="I134" s="8"/>
      <c r="J134" s="8"/>
      <c r="K134" s="9"/>
    </row>
    <row r="135" spans="1:11" ht="18.75" thickBot="1" x14ac:dyDescent="0.3">
      <c r="A135" s="31" t="s">
        <v>64</v>
      </c>
      <c r="B135" s="6" t="s">
        <v>47</v>
      </c>
      <c r="C135" s="8"/>
      <c r="D135" s="8"/>
      <c r="E135" s="8"/>
      <c r="F135" s="8"/>
      <c r="G135" s="8"/>
      <c r="H135" s="8"/>
      <c r="I135" s="8"/>
      <c r="J135" s="8"/>
      <c r="K135" s="9"/>
    </row>
    <row r="136" spans="1:11" ht="18.75" thickBot="1" x14ac:dyDescent="0.3">
      <c r="A136" s="31"/>
      <c r="B136" s="6" t="s">
        <v>50</v>
      </c>
      <c r="C136" s="51">
        <v>9.1073427976883381E-6</v>
      </c>
      <c r="D136" s="51"/>
      <c r="E136" s="51"/>
      <c r="F136" s="51"/>
      <c r="G136" s="51"/>
      <c r="H136" s="51"/>
      <c r="I136" s="51"/>
      <c r="J136" s="8"/>
      <c r="K136" s="9"/>
    </row>
    <row r="137" spans="1:11" ht="18.75" thickBot="1" x14ac:dyDescent="0.3">
      <c r="A137" s="31"/>
      <c r="B137" s="6" t="s">
        <v>49</v>
      </c>
      <c r="C137" s="8"/>
      <c r="D137" s="8"/>
      <c r="E137" s="8"/>
      <c r="F137" s="8"/>
      <c r="G137" s="8"/>
      <c r="H137" s="8"/>
      <c r="I137" s="8"/>
      <c r="J137" s="8"/>
      <c r="K137" s="9"/>
    </row>
    <row r="138" spans="1:11" ht="27.75" thickBot="1" x14ac:dyDescent="0.3">
      <c r="A138" s="32"/>
      <c r="B138" s="6" t="s">
        <v>48</v>
      </c>
      <c r="C138" s="8"/>
      <c r="D138" s="8"/>
      <c r="E138" s="8"/>
      <c r="F138" s="8"/>
      <c r="G138" s="8"/>
      <c r="H138" s="8"/>
      <c r="I138" s="8"/>
      <c r="J138" s="8"/>
      <c r="K138" s="9"/>
    </row>
    <row r="139" spans="1:11" ht="15.75" thickBot="1" x14ac:dyDescent="0.3">
      <c r="A139" s="123"/>
      <c r="B139" s="6" t="s">
        <v>16</v>
      </c>
      <c r="C139" s="8"/>
      <c r="D139" s="8"/>
      <c r="E139" s="8"/>
      <c r="F139" s="8"/>
      <c r="G139" s="8"/>
      <c r="H139" s="8"/>
      <c r="I139" s="8"/>
      <c r="J139" s="8"/>
      <c r="K139" s="9"/>
    </row>
    <row r="140" spans="1:11" ht="18.75" thickBot="1" x14ac:dyDescent="0.3">
      <c r="A140" s="124"/>
      <c r="B140" s="6" t="s">
        <v>30</v>
      </c>
      <c r="C140" s="8"/>
      <c r="D140" s="8"/>
      <c r="E140" s="8"/>
      <c r="F140" s="8"/>
      <c r="G140" s="8"/>
      <c r="H140" s="8"/>
      <c r="I140" s="8"/>
      <c r="J140" s="8"/>
      <c r="K140" s="9"/>
    </row>
    <row r="141" spans="1:11" ht="15.75" thickBot="1" x14ac:dyDescent="0.3">
      <c r="A141" s="124"/>
      <c r="B141" s="6" t="s">
        <v>33</v>
      </c>
      <c r="C141" s="7"/>
      <c r="D141" s="8"/>
      <c r="E141" s="7"/>
      <c r="F141" s="7"/>
      <c r="G141" s="7"/>
      <c r="H141" s="7"/>
      <c r="I141" s="7"/>
      <c r="J141" s="7"/>
      <c r="K141" s="10"/>
    </row>
    <row r="142" spans="1:11" ht="18.75" thickBot="1" x14ac:dyDescent="0.3">
      <c r="A142" s="124"/>
      <c r="B142" s="6" t="s">
        <v>3</v>
      </c>
      <c r="C142" s="8"/>
      <c r="D142" s="8"/>
      <c r="E142" s="8"/>
      <c r="F142" s="8"/>
      <c r="G142" s="8"/>
      <c r="H142" s="8"/>
      <c r="I142" s="8"/>
      <c r="J142" s="8"/>
      <c r="K142" s="9"/>
    </row>
    <row r="143" spans="1:11" ht="30.75" thickBot="1" x14ac:dyDescent="0.3">
      <c r="A143" s="31" t="s">
        <v>65</v>
      </c>
      <c r="B143" s="6" t="s">
        <v>47</v>
      </c>
      <c r="C143" s="8"/>
      <c r="D143" s="8"/>
      <c r="E143" s="8"/>
      <c r="F143" s="8"/>
      <c r="G143" s="8"/>
      <c r="H143" s="8"/>
      <c r="I143" s="8"/>
      <c r="J143" s="8"/>
      <c r="K143" s="9"/>
    </row>
    <row r="144" spans="1:11" ht="18.75" thickBot="1" x14ac:dyDescent="0.3">
      <c r="A144" s="31"/>
      <c r="B144" s="6" t="s">
        <v>50</v>
      </c>
      <c r="C144" s="51"/>
      <c r="D144" s="51"/>
      <c r="E144" s="51"/>
      <c r="F144" s="51"/>
      <c r="G144" s="51"/>
      <c r="H144" s="51"/>
      <c r="I144" s="51"/>
      <c r="J144" s="8"/>
      <c r="K144" s="9"/>
    </row>
    <row r="145" spans="1:34" ht="18.75" thickBot="1" x14ac:dyDescent="0.3">
      <c r="A145" s="31"/>
      <c r="B145" s="6" t="s">
        <v>49</v>
      </c>
      <c r="C145" s="8"/>
      <c r="D145" s="8"/>
      <c r="E145" s="8"/>
      <c r="F145" s="8"/>
      <c r="G145" s="8"/>
      <c r="H145" s="8"/>
      <c r="I145" s="8"/>
      <c r="J145" s="8"/>
      <c r="K145" s="9"/>
    </row>
    <row r="146" spans="1:34" ht="27.75" thickBot="1" x14ac:dyDescent="0.3">
      <c r="A146" s="32"/>
      <c r="B146" s="6" t="s">
        <v>48</v>
      </c>
      <c r="C146" s="8"/>
      <c r="D146" s="8"/>
      <c r="E146" s="8"/>
      <c r="F146" s="8"/>
      <c r="G146" s="8"/>
      <c r="H146" s="8"/>
      <c r="I146" s="8"/>
      <c r="J146" s="8"/>
      <c r="K146" s="9"/>
    </row>
    <row r="147" spans="1:34" ht="15.75" thickBot="1" x14ac:dyDescent="0.3">
      <c r="A147" s="123"/>
      <c r="B147" s="6" t="s">
        <v>16</v>
      </c>
      <c r="C147" s="8"/>
      <c r="D147" s="8"/>
      <c r="E147" s="8"/>
      <c r="F147" s="8"/>
      <c r="G147" s="8"/>
      <c r="H147" s="8"/>
      <c r="I147" s="8"/>
      <c r="J147" s="8"/>
      <c r="K147" s="9"/>
    </row>
    <row r="148" spans="1:34" ht="18.75" thickBot="1" x14ac:dyDescent="0.3">
      <c r="A148" s="124"/>
      <c r="B148" s="6" t="s">
        <v>30</v>
      </c>
      <c r="C148" s="8"/>
      <c r="D148" s="8"/>
      <c r="E148" s="8"/>
      <c r="F148" s="8"/>
      <c r="G148" s="8"/>
      <c r="H148" s="8"/>
      <c r="I148" s="8"/>
      <c r="J148" s="8"/>
      <c r="K148" s="9"/>
    </row>
    <row r="149" spans="1:34" ht="15.75" thickBot="1" x14ac:dyDescent="0.3">
      <c r="A149" s="124"/>
      <c r="B149" s="6" t="s">
        <v>33</v>
      </c>
      <c r="C149" s="7"/>
      <c r="D149" s="8"/>
      <c r="E149" s="7"/>
      <c r="F149" s="7"/>
      <c r="G149" s="7"/>
      <c r="H149" s="7"/>
      <c r="I149" s="7"/>
      <c r="J149" s="7"/>
      <c r="K149" s="10"/>
    </row>
    <row r="150" spans="1:34" ht="18.75" thickBot="1" x14ac:dyDescent="0.3">
      <c r="A150" s="124"/>
      <c r="B150" s="6" t="s">
        <v>3</v>
      </c>
      <c r="C150" s="8"/>
      <c r="D150" s="8"/>
      <c r="E150" s="8"/>
      <c r="F150" s="8"/>
      <c r="G150" s="8"/>
      <c r="H150" s="8"/>
      <c r="I150" s="8"/>
      <c r="J150" s="8"/>
      <c r="K150" s="9"/>
    </row>
    <row r="151" spans="1:34" ht="30.75" thickBot="1" x14ac:dyDescent="0.3">
      <c r="A151" s="31" t="s">
        <v>66</v>
      </c>
      <c r="B151" s="6" t="s">
        <v>47</v>
      </c>
      <c r="C151" s="8">
        <v>0.87828299999994663</v>
      </c>
      <c r="D151" s="8"/>
      <c r="E151" s="8"/>
      <c r="F151" s="8"/>
      <c r="G151" s="8"/>
      <c r="H151" s="8"/>
      <c r="I151" s="8"/>
      <c r="J151" s="8"/>
      <c r="K151" s="9"/>
    </row>
    <row r="152" spans="1:34" ht="18.75" thickBot="1" x14ac:dyDescent="0.3">
      <c r="A152" s="31"/>
      <c r="B152" s="6" t="s">
        <v>50</v>
      </c>
      <c r="C152" s="8">
        <v>3.144046932672</v>
      </c>
      <c r="D152" s="8"/>
      <c r="E152" s="8"/>
      <c r="F152" s="8"/>
      <c r="G152" s="8"/>
      <c r="H152" s="8"/>
      <c r="I152" s="8"/>
      <c r="J152" s="8"/>
      <c r="K152" s="9"/>
    </row>
    <row r="153" spans="1:34" ht="18.75" thickBot="1" x14ac:dyDescent="0.3">
      <c r="A153" s="31"/>
      <c r="B153" s="6" t="s">
        <v>49</v>
      </c>
      <c r="C153" s="8"/>
      <c r="D153" s="8"/>
      <c r="E153" s="8"/>
      <c r="F153" s="8"/>
      <c r="G153" s="8"/>
      <c r="H153" s="8"/>
      <c r="I153" s="8"/>
      <c r="J153" s="8"/>
      <c r="K153" s="9"/>
    </row>
    <row r="154" spans="1:34" ht="27" x14ac:dyDescent="0.25">
      <c r="A154" s="43"/>
      <c r="B154" s="44" t="s">
        <v>48</v>
      </c>
      <c r="C154" s="45"/>
      <c r="D154" s="45"/>
      <c r="E154" s="45"/>
      <c r="F154" s="45"/>
      <c r="G154" s="45"/>
      <c r="H154" s="45"/>
      <c r="I154" s="45"/>
      <c r="J154" s="45"/>
      <c r="K154" s="46"/>
    </row>
    <row r="155" spans="1:34" x14ac:dyDescent="0.25">
      <c r="B155" s="41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</row>
    <row r="156" spans="1:34" x14ac:dyDescent="0.25">
      <c r="B156" s="41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</row>
    <row r="157" spans="1:34" ht="76.5" x14ac:dyDescent="0.25">
      <c r="A157" s="19" t="s">
        <v>34</v>
      </c>
    </row>
    <row r="158" spans="1:34" x14ac:dyDescent="0.25">
      <c r="A158" s="18"/>
      <c r="B158" s="15"/>
      <c r="C158" s="16"/>
      <c r="D158" s="16"/>
      <c r="E158" s="16"/>
      <c r="F158" s="16"/>
      <c r="G158" s="16"/>
      <c r="H158" s="16"/>
      <c r="I158" s="16"/>
      <c r="J158" s="16"/>
      <c r="K158" s="16"/>
    </row>
    <row r="161" spans="1:1" ht="210" x14ac:dyDescent="0.25">
      <c r="A161" s="14" t="s">
        <v>13</v>
      </c>
    </row>
    <row r="162" spans="1:1" ht="409.5" x14ac:dyDescent="0.25">
      <c r="A162" s="13" t="s">
        <v>14</v>
      </c>
    </row>
  </sheetData>
  <mergeCells count="20">
    <mergeCell ref="A139:A142"/>
    <mergeCell ref="A147:A150"/>
    <mergeCell ref="A91:A94"/>
    <mergeCell ref="A99:A102"/>
    <mergeCell ref="A107:A110"/>
    <mergeCell ref="A115:A118"/>
    <mergeCell ref="A123:A126"/>
    <mergeCell ref="A131:A134"/>
    <mergeCell ref="A83:A86"/>
    <mergeCell ref="A2:A4"/>
    <mergeCell ref="A9:A11"/>
    <mergeCell ref="A18:A20"/>
    <mergeCell ref="A25:A27"/>
    <mergeCell ref="A36:A38"/>
    <mergeCell ref="A50:A52"/>
    <mergeCell ref="A57:A59"/>
    <mergeCell ref="A60:A61"/>
    <mergeCell ref="A66:A68"/>
    <mergeCell ref="A69:A70"/>
    <mergeCell ref="A75:A78"/>
  </mergeCells>
  <hyperlinks>
    <hyperlink ref="A9" location="_ftn1" display="_ftn1" xr:uid="{00000000-0004-0000-0200-000000000000}"/>
    <hyperlink ref="A25" location="_ftn2" display="_ftn2" xr:uid="{00000000-0004-0000-0200-000001000000}"/>
    <hyperlink ref="A161" location="_ftnref1" display="_ftnref1" xr:uid="{00000000-0004-0000-0200-000002000000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62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G50" sqref="G50"/>
    </sheetView>
  </sheetViews>
  <sheetFormatPr baseColWidth="10" defaultRowHeight="15" x14ac:dyDescent="0.25"/>
  <cols>
    <col min="3" max="3" width="12.85546875" bestFit="1" customWidth="1"/>
    <col min="4" max="9" width="10.85546875" customWidth="1"/>
    <col min="10" max="11" width="10.85546875" hidden="1" customWidth="1"/>
  </cols>
  <sheetData>
    <row r="1" spans="1:12" ht="15.75" thickBot="1" x14ac:dyDescent="0.3">
      <c r="A1" s="30"/>
      <c r="B1" s="2"/>
      <c r="C1" s="3">
        <v>2020</v>
      </c>
      <c r="D1" s="3">
        <v>2025</v>
      </c>
      <c r="E1" s="3">
        <v>2030</v>
      </c>
      <c r="F1" s="3">
        <v>2035</v>
      </c>
      <c r="G1" s="3">
        <v>2040</v>
      </c>
      <c r="H1" s="3">
        <v>2045</v>
      </c>
      <c r="I1" s="3">
        <v>2050</v>
      </c>
      <c r="J1" s="3">
        <v>2055</v>
      </c>
      <c r="K1" s="4">
        <v>2060</v>
      </c>
    </row>
    <row r="2" spans="1:12" ht="15.75" thickBot="1" x14ac:dyDescent="0.3">
      <c r="A2" s="108" t="s">
        <v>0</v>
      </c>
      <c r="B2" s="6" t="s">
        <v>1</v>
      </c>
      <c r="C2" s="7">
        <f>'coût TEND'!C2</f>
        <v>1160</v>
      </c>
      <c r="D2" s="8">
        <v>949</v>
      </c>
      <c r="E2" s="8">
        <v>738</v>
      </c>
      <c r="F2" s="8">
        <v>702</v>
      </c>
      <c r="G2" s="8">
        <v>666</v>
      </c>
      <c r="H2" s="8">
        <v>631</v>
      </c>
      <c r="I2" s="8">
        <v>595</v>
      </c>
      <c r="J2" s="8">
        <v>595</v>
      </c>
      <c r="K2" s="9">
        <v>595</v>
      </c>
      <c r="L2" s="82">
        <f>C2-'coût TEND'!C2</f>
        <v>0</v>
      </c>
    </row>
    <row r="3" spans="1:12" ht="15.75" thickBot="1" x14ac:dyDescent="0.3">
      <c r="A3" s="109"/>
      <c r="B3" s="6" t="s">
        <v>2</v>
      </c>
      <c r="C3" s="7">
        <f>'coût TEND'!C3</f>
        <v>26</v>
      </c>
      <c r="D3" s="8">
        <v>20</v>
      </c>
      <c r="E3" s="8">
        <v>14</v>
      </c>
      <c r="F3" s="8">
        <v>13</v>
      </c>
      <c r="G3" s="8">
        <v>12</v>
      </c>
      <c r="H3" s="8">
        <v>11</v>
      </c>
      <c r="I3" s="8">
        <v>10</v>
      </c>
      <c r="J3" s="8">
        <v>10</v>
      </c>
      <c r="K3" s="9">
        <v>10</v>
      </c>
      <c r="L3" s="82">
        <f>C3-'coût TEND'!C3</f>
        <v>0</v>
      </c>
    </row>
    <row r="4" spans="1:12" ht="18.75" thickBot="1" x14ac:dyDescent="0.3">
      <c r="A4" s="109"/>
      <c r="B4" s="6" t="s">
        <v>3</v>
      </c>
      <c r="C4" s="7">
        <f>'coût TEND'!C4</f>
        <v>25</v>
      </c>
      <c r="D4" s="8">
        <v>25</v>
      </c>
      <c r="E4" s="8">
        <v>25</v>
      </c>
      <c r="F4" s="8">
        <v>25</v>
      </c>
      <c r="G4" s="8">
        <v>25</v>
      </c>
      <c r="H4" s="8">
        <v>25</v>
      </c>
      <c r="I4" s="8">
        <v>25</v>
      </c>
      <c r="J4" s="8">
        <v>25</v>
      </c>
      <c r="K4" s="9">
        <v>25</v>
      </c>
      <c r="L4" s="82">
        <f>C4-'coût TEND'!C4</f>
        <v>0</v>
      </c>
    </row>
    <row r="5" spans="1:12" ht="18.75" thickBot="1" x14ac:dyDescent="0.3">
      <c r="A5" s="31"/>
      <c r="B5" s="6" t="s">
        <v>47</v>
      </c>
      <c r="C5" s="7">
        <f>'coût TEND'!C5</f>
        <v>3.7831920853457239</v>
      </c>
      <c r="D5" s="53">
        <f>(E5-C5)/2+C5</f>
        <v>5.8915960426728624</v>
      </c>
      <c r="E5" s="51">
        <f>capacités!C4</f>
        <v>8</v>
      </c>
      <c r="F5" s="53">
        <f>E5+($I5-$E5)/20*5</f>
        <v>11</v>
      </c>
      <c r="G5" s="53">
        <f t="shared" ref="G5:H5" si="0">F5+($I5-$E5)/20*5</f>
        <v>14</v>
      </c>
      <c r="H5" s="53">
        <f t="shared" si="0"/>
        <v>17</v>
      </c>
      <c r="I5" s="51">
        <f>capacités!I4</f>
        <v>20</v>
      </c>
      <c r="J5" s="8"/>
      <c r="K5" s="9"/>
      <c r="L5" s="82">
        <f>C5-'coût TEND'!C5</f>
        <v>0</v>
      </c>
    </row>
    <row r="6" spans="1:12" ht="18.75" thickBot="1" x14ac:dyDescent="0.3">
      <c r="A6" s="31"/>
      <c r="B6" s="6" t="s">
        <v>50</v>
      </c>
      <c r="C6" s="7">
        <f>'coût TEND'!C6</f>
        <v>5.3111395326823425</v>
      </c>
      <c r="D6" s="51">
        <f>[4]Production!D$36</f>
        <v>7.7070464641111505</v>
      </c>
      <c r="E6" s="51">
        <f>[4]Production!E$36</f>
        <v>10.588971068279136</v>
      </c>
      <c r="F6" s="51">
        <f>[4]Production!F$36</f>
        <v>14.458420531052537</v>
      </c>
      <c r="G6" s="51">
        <f>[4]Production!G$36</f>
        <v>18.169659056823228</v>
      </c>
      <c r="H6" s="51">
        <f>[4]Production!H$36</f>
        <v>21.574373255325391</v>
      </c>
      <c r="I6" s="51">
        <f>[4]Production!I$36</f>
        <v>27.498580147533193</v>
      </c>
      <c r="J6" s="8"/>
      <c r="K6" s="9"/>
      <c r="L6" s="82">
        <f>C6-'coût TEND'!C6</f>
        <v>0</v>
      </c>
    </row>
    <row r="7" spans="1:12" ht="18.75" thickBot="1" x14ac:dyDescent="0.3">
      <c r="A7" s="31"/>
      <c r="B7" s="6" t="s">
        <v>49</v>
      </c>
      <c r="C7" s="7">
        <f>'coût TEND'!C7</f>
        <v>18.52012992950149</v>
      </c>
      <c r="D7" s="52">
        <f t="shared" ref="D7:I7" si="1">(D3*D5*1000000)*1000/(D6*1000000000)</f>
        <v>15.288855646862476</v>
      </c>
      <c r="E7" s="52">
        <f t="shared" si="1"/>
        <v>10.577042781381557</v>
      </c>
      <c r="F7" s="52">
        <f t="shared" si="1"/>
        <v>9.8904302646943378</v>
      </c>
      <c r="G7" s="52">
        <f t="shared" si="1"/>
        <v>9.2461834024844389</v>
      </c>
      <c r="H7" s="52">
        <f t="shared" si="1"/>
        <v>8.667690958477376</v>
      </c>
      <c r="I7" s="52">
        <f t="shared" si="1"/>
        <v>7.27310279028866</v>
      </c>
      <c r="J7" s="8"/>
      <c r="K7" s="9"/>
      <c r="L7" s="82">
        <f>C7-'coût TEND'!C7</f>
        <v>0</v>
      </c>
    </row>
    <row r="8" spans="1:12" ht="27.75" thickBot="1" x14ac:dyDescent="0.3">
      <c r="A8" s="32"/>
      <c r="B8" s="6" t="s">
        <v>48</v>
      </c>
      <c r="C8" s="7">
        <f>'coût TEND'!C8</f>
        <v>33.051308797264205</v>
      </c>
      <c r="D8" s="51">
        <f t="shared" ref="D8:I8" si="2">((D2*D5*1000000)*1000/D4)/(D6*1000000000)</f>
        <v>29.018248017744984</v>
      </c>
      <c r="E8" s="51">
        <f t="shared" si="2"/>
        <v>22.302450207598827</v>
      </c>
      <c r="F8" s="51">
        <f t="shared" si="2"/>
        <v>21.36332937173977</v>
      </c>
      <c r="G8" s="51">
        <f t="shared" si="2"/>
        <v>20.526527153515456</v>
      </c>
      <c r="H8" s="51">
        <f t="shared" si="2"/>
        <v>19.888410890178999</v>
      </c>
      <c r="I8" s="51">
        <f t="shared" si="2"/>
        <v>17.309984640887009</v>
      </c>
      <c r="J8" s="8"/>
      <c r="K8" s="9"/>
      <c r="L8" s="82">
        <f>C8-'coût TEND'!C8</f>
        <v>0</v>
      </c>
    </row>
    <row r="9" spans="1:12" ht="15.75" thickBot="1" x14ac:dyDescent="0.3">
      <c r="A9" s="125" t="s">
        <v>4</v>
      </c>
      <c r="B9" s="6" t="s">
        <v>1</v>
      </c>
      <c r="C9" s="7">
        <f>'coût TEND'!C9</f>
        <v>1392</v>
      </c>
      <c r="D9" s="7">
        <v>1139</v>
      </c>
      <c r="E9" s="8">
        <v>886</v>
      </c>
      <c r="F9" s="8">
        <v>842</v>
      </c>
      <c r="G9" s="8">
        <v>799</v>
      </c>
      <c r="H9" s="8">
        <v>757</v>
      </c>
      <c r="I9" s="8">
        <v>714</v>
      </c>
      <c r="J9" s="8">
        <v>714</v>
      </c>
      <c r="K9" s="9">
        <v>714</v>
      </c>
      <c r="L9" s="82">
        <f>C9-'coût TEND'!C9</f>
        <v>0</v>
      </c>
    </row>
    <row r="10" spans="1:12" ht="15.75" thickBot="1" x14ac:dyDescent="0.3">
      <c r="A10" s="126"/>
      <c r="B10" s="6" t="s">
        <v>2</v>
      </c>
      <c r="C10" s="7">
        <f>'coût TEND'!C10</f>
        <v>28</v>
      </c>
      <c r="D10" s="8">
        <v>23</v>
      </c>
      <c r="E10" s="8">
        <v>18</v>
      </c>
      <c r="F10" s="8">
        <v>17</v>
      </c>
      <c r="G10" s="8">
        <v>16</v>
      </c>
      <c r="H10" s="8">
        <v>15</v>
      </c>
      <c r="I10" s="8">
        <v>14</v>
      </c>
      <c r="J10" s="8">
        <v>14</v>
      </c>
      <c r="K10" s="9">
        <v>14</v>
      </c>
      <c r="L10" s="82">
        <f>C10-'coût TEND'!C10</f>
        <v>0</v>
      </c>
    </row>
    <row r="11" spans="1:12" ht="18.75" thickBot="1" x14ac:dyDescent="0.3">
      <c r="A11" s="126"/>
      <c r="B11" s="6" t="s">
        <v>3</v>
      </c>
      <c r="C11" s="7">
        <f>'coût TEND'!C11</f>
        <v>25</v>
      </c>
      <c r="D11" s="8">
        <v>25</v>
      </c>
      <c r="E11" s="8">
        <v>25</v>
      </c>
      <c r="F11" s="8">
        <v>25</v>
      </c>
      <c r="G11" s="8">
        <v>25</v>
      </c>
      <c r="H11" s="8">
        <v>25</v>
      </c>
      <c r="I11" s="8">
        <v>25</v>
      </c>
      <c r="J11" s="8">
        <v>25</v>
      </c>
      <c r="K11" s="9">
        <v>25</v>
      </c>
      <c r="L11" s="82">
        <f>C11-'coût TEND'!C11</f>
        <v>0</v>
      </c>
    </row>
    <row r="12" spans="1:12" ht="18.75" thickBot="1" x14ac:dyDescent="0.3">
      <c r="A12" s="31"/>
      <c r="B12" s="6" t="s">
        <v>47</v>
      </c>
      <c r="C12" s="7">
        <f>'coût TEND'!C12</f>
        <v>1.6792444146539169</v>
      </c>
      <c r="D12" s="53">
        <f>(E12-C12)/2+C12</f>
        <v>1.8396222073269586</v>
      </c>
      <c r="E12" s="8">
        <f>capacités!C5</f>
        <v>2</v>
      </c>
      <c r="F12" s="53">
        <f>E12+($I12-$E12)/20*5</f>
        <v>2.75</v>
      </c>
      <c r="G12" s="53">
        <f t="shared" ref="G12:H12" si="3">F12+($I12-$E12)/20*5</f>
        <v>3.5</v>
      </c>
      <c r="H12" s="53">
        <f t="shared" si="3"/>
        <v>4.25</v>
      </c>
      <c r="I12" s="8">
        <f>capacités!I5</f>
        <v>5</v>
      </c>
      <c r="J12" s="8"/>
      <c r="K12" s="9"/>
      <c r="L12" s="82">
        <f>C12-'coût TEND'!C12</f>
        <v>0</v>
      </c>
    </row>
    <row r="13" spans="1:12" ht="18.75" thickBot="1" x14ac:dyDescent="0.3">
      <c r="A13" s="31"/>
      <c r="B13" s="6" t="s">
        <v>50</v>
      </c>
      <c r="C13" s="7">
        <f>'coût TEND'!C13</f>
        <v>2.0172086556820736</v>
      </c>
      <c r="D13" s="52">
        <f>[4]Production!D$37</f>
        <v>2.2723765579551198</v>
      </c>
      <c r="E13" s="52">
        <f>[4]Production!E$37</f>
        <v>2.4429006060973779</v>
      </c>
      <c r="F13" s="52">
        <f>[4]Production!F$37</f>
        <v>3.5140427848919749</v>
      </c>
      <c r="G13" s="52">
        <f>[4]Production!G$37</f>
        <v>4.5019986055673176</v>
      </c>
      <c r="H13" s="52">
        <f>[4]Production!H$37</f>
        <v>5.4899543003083568</v>
      </c>
      <c r="I13" s="52">
        <f>[4]Production!I$37</f>
        <v>6.4779101562551027</v>
      </c>
      <c r="J13" s="8"/>
      <c r="K13" s="9"/>
      <c r="L13" s="82">
        <f>C13-'coût TEND'!C13</f>
        <v>0</v>
      </c>
    </row>
    <row r="14" spans="1:12" ht="18.75" thickBot="1" x14ac:dyDescent="0.3">
      <c r="A14" s="31"/>
      <c r="B14" s="6" t="s">
        <v>49</v>
      </c>
      <c r="C14" s="7">
        <f>'coût TEND'!C14</f>
        <v>23.308864691744699</v>
      </c>
      <c r="D14" s="52">
        <f t="shared" ref="D14" si="4">(D10*D12*1000000)*1000/(D13*1000000000)</f>
        <v>18.61985005099481</v>
      </c>
      <c r="E14" s="52">
        <f t="shared" ref="E14" si="5">(E10*E12*1000000)*1000/(E13*1000000000)</f>
        <v>14.736579912480067</v>
      </c>
      <c r="F14" s="52">
        <f t="shared" ref="F14" si="6">(F10*F12*1000000)*1000/(F13*1000000000)</f>
        <v>13.303765167855559</v>
      </c>
      <c r="G14" s="52">
        <f t="shared" ref="G14" si="7">(G10*G12*1000000)*1000/(G13*1000000000)</f>
        <v>12.438919890101383</v>
      </c>
      <c r="H14" s="52">
        <f t="shared" ref="H14" si="8">(H10*H12*1000000)*1000/(H13*1000000000)</f>
        <v>11.612118519168606</v>
      </c>
      <c r="I14" s="52">
        <f t="shared" ref="I14" si="9">(I10*I12*1000000)*1000/(I13*1000000000)</f>
        <v>10.805954128957413</v>
      </c>
      <c r="J14" s="8"/>
      <c r="K14" s="9"/>
      <c r="L14" s="82">
        <f>C14-'coût TEND'!C14</f>
        <v>0</v>
      </c>
    </row>
    <row r="15" spans="1:12" ht="27.75" thickBot="1" x14ac:dyDescent="0.3">
      <c r="A15" s="32"/>
      <c r="B15" s="6" t="s">
        <v>48</v>
      </c>
      <c r="C15" s="7">
        <f>'coût TEND'!C15</f>
        <v>46.351342358440888</v>
      </c>
      <c r="D15" s="51">
        <f t="shared" ref="D15:I15" si="10">((D9*D12*1000000)*1000/D11)/(D13*1000000000)</f>
        <v>36.883494274927116</v>
      </c>
      <c r="E15" s="51">
        <f t="shared" si="10"/>
        <v>29.014688449905201</v>
      </c>
      <c r="F15" s="51">
        <f t="shared" si="10"/>
        <v>26.357106520786779</v>
      </c>
      <c r="G15" s="51">
        <f t="shared" si="10"/>
        <v>24.846742480477513</v>
      </c>
      <c r="H15" s="51">
        <f t="shared" si="10"/>
        <v>23.440996584028358</v>
      </c>
      <c r="I15" s="51">
        <f t="shared" si="10"/>
        <v>22.044146423073126</v>
      </c>
      <c r="J15" s="8"/>
      <c r="K15" s="9"/>
      <c r="L15" s="82">
        <f>C15-'coût TEND'!C15</f>
        <v>0</v>
      </c>
    </row>
    <row r="16" spans="1:12" ht="30.75" thickBot="1" x14ac:dyDescent="0.3">
      <c r="A16" s="31" t="s">
        <v>86</v>
      </c>
      <c r="B16" s="6" t="s">
        <v>47</v>
      </c>
      <c r="C16" s="7">
        <f>'coût TEND'!C16</f>
        <v>5.4624364999996411</v>
      </c>
      <c r="D16" s="53">
        <f>F16*D17/F17</f>
        <v>7.6623773698651183</v>
      </c>
      <c r="E16" s="51">
        <f>E5+E12</f>
        <v>10</v>
      </c>
      <c r="F16" s="53">
        <f>E16+($I16-$E16)/20*5</f>
        <v>13.75</v>
      </c>
      <c r="G16" s="53">
        <f t="shared" ref="G16:H17" si="11">F16+($I16-$E16)/20*5</f>
        <v>17.5</v>
      </c>
      <c r="H16" s="53">
        <f t="shared" si="11"/>
        <v>21.25</v>
      </c>
      <c r="I16" s="51">
        <f>I5+I12</f>
        <v>25</v>
      </c>
      <c r="J16" s="8"/>
      <c r="K16" s="9"/>
      <c r="L16" s="82">
        <f>C16-'coût TEND'!C16</f>
        <v>0</v>
      </c>
    </row>
    <row r="17" spans="1:12" ht="18.75" thickBot="1" x14ac:dyDescent="0.3">
      <c r="A17" s="31"/>
      <c r="B17" s="6" t="s">
        <v>50</v>
      </c>
      <c r="C17" s="7">
        <f>'coût TEND'!C17</f>
        <v>7.3283481883644157</v>
      </c>
      <c r="D17" s="53">
        <f>C17+(E17-C17)/2</f>
        <v>10.180109931370465</v>
      </c>
      <c r="E17" s="51">
        <f>E13+E6</f>
        <v>13.031871674376514</v>
      </c>
      <c r="F17" s="53">
        <f>E17+($I17-$E17)/20*5</f>
        <v>18.268026331729459</v>
      </c>
      <c r="G17" s="53">
        <f t="shared" si="11"/>
        <v>23.504180989082403</v>
      </c>
      <c r="H17" s="53">
        <f t="shared" si="11"/>
        <v>28.740335646435348</v>
      </c>
      <c r="I17" s="51">
        <f>I13+I6</f>
        <v>33.976490303788296</v>
      </c>
      <c r="J17" s="8"/>
      <c r="K17" s="9"/>
      <c r="L17" s="82">
        <f>C17-'coût TEND'!C17</f>
        <v>0</v>
      </c>
    </row>
    <row r="18" spans="1:12" ht="15.75" thickBot="1" x14ac:dyDescent="0.3">
      <c r="A18" s="108" t="s">
        <v>5</v>
      </c>
      <c r="B18" s="6" t="s">
        <v>1</v>
      </c>
      <c r="C18" s="7">
        <f>'coût TEND'!C18</f>
        <v>818</v>
      </c>
      <c r="D18" s="8">
        <v>719</v>
      </c>
      <c r="E18" s="8">
        <v>620</v>
      </c>
      <c r="F18" s="8">
        <v>574</v>
      </c>
      <c r="G18" s="8">
        <v>528</v>
      </c>
      <c r="H18" s="8">
        <v>481</v>
      </c>
      <c r="I18" s="8">
        <v>435</v>
      </c>
      <c r="J18" s="8">
        <v>435</v>
      </c>
      <c r="K18" s="9">
        <v>435</v>
      </c>
      <c r="L18" s="82">
        <f>C18-'coût TEND'!C18</f>
        <v>0</v>
      </c>
    </row>
    <row r="19" spans="1:12" ht="15.75" thickBot="1" x14ac:dyDescent="0.3">
      <c r="A19" s="109"/>
      <c r="B19" s="6" t="s">
        <v>2</v>
      </c>
      <c r="C19" s="7">
        <f>'coût TEND'!C19</f>
        <v>24</v>
      </c>
      <c r="D19" s="8">
        <v>18</v>
      </c>
      <c r="E19" s="8">
        <v>13</v>
      </c>
      <c r="F19" s="8">
        <v>12</v>
      </c>
      <c r="G19" s="8">
        <v>11</v>
      </c>
      <c r="H19" s="8">
        <v>10</v>
      </c>
      <c r="I19" s="8">
        <v>9</v>
      </c>
      <c r="J19" s="8">
        <v>9</v>
      </c>
      <c r="K19" s="9">
        <v>9</v>
      </c>
      <c r="L19" s="82">
        <f>C19-'coût TEND'!C19</f>
        <v>0</v>
      </c>
    </row>
    <row r="20" spans="1:12" ht="18.75" thickBot="1" x14ac:dyDescent="0.3">
      <c r="A20" s="109"/>
      <c r="B20" s="6" t="s">
        <v>3</v>
      </c>
      <c r="C20" s="7">
        <f>'coût TEND'!C20</f>
        <v>25</v>
      </c>
      <c r="D20" s="8">
        <v>25</v>
      </c>
      <c r="E20" s="8">
        <v>25</v>
      </c>
      <c r="F20" s="8">
        <v>25</v>
      </c>
      <c r="G20" s="8">
        <v>25</v>
      </c>
      <c r="H20" s="8">
        <v>25</v>
      </c>
      <c r="I20" s="8">
        <v>25</v>
      </c>
      <c r="J20" s="8">
        <v>25</v>
      </c>
      <c r="K20" s="9">
        <v>25</v>
      </c>
      <c r="L20" s="82">
        <f>C20-'coût TEND'!C20</f>
        <v>0</v>
      </c>
    </row>
    <row r="21" spans="1:12" ht="18.75" thickBot="1" x14ac:dyDescent="0.3">
      <c r="A21" s="31"/>
      <c r="B21" s="6" t="s">
        <v>47</v>
      </c>
      <c r="C21" s="7">
        <f>'coût TEND'!C21</f>
        <v>3.9812948257280469</v>
      </c>
      <c r="D21" s="84">
        <f>D34-D16</f>
        <v>17.783622630134879</v>
      </c>
      <c r="E21" s="84">
        <f t="shared" ref="E21:I21" si="12">E34-E16</f>
        <v>37.945999999999998</v>
      </c>
      <c r="F21" s="84">
        <f t="shared" si="12"/>
        <v>56.695999999999998</v>
      </c>
      <c r="G21" s="84">
        <f t="shared" si="12"/>
        <v>75.445999999999998</v>
      </c>
      <c r="H21" s="84">
        <f t="shared" si="12"/>
        <v>94.195999999999998</v>
      </c>
      <c r="I21" s="84">
        <f t="shared" si="12"/>
        <v>112.946</v>
      </c>
      <c r="J21" s="8"/>
      <c r="K21" s="9"/>
      <c r="L21" s="82">
        <f>C21-'coût TEND'!C21</f>
        <v>0</v>
      </c>
    </row>
    <row r="22" spans="1:12" ht="18.75" thickBot="1" x14ac:dyDescent="0.3">
      <c r="A22" s="31"/>
      <c r="B22" s="6" t="s">
        <v>50</v>
      </c>
      <c r="C22" s="7">
        <f>'coût TEND'!C22</f>
        <v>5.9719422385920709</v>
      </c>
      <c r="D22" s="52">
        <f>D35-D17</f>
        <v>22.810050068629536</v>
      </c>
      <c r="E22" s="52">
        <f t="shared" ref="E22:I22" si="13">E35-E17</f>
        <v>53.684288325623484</v>
      </c>
      <c r="F22" s="52">
        <f t="shared" si="13"/>
        <v>82.174133668270571</v>
      </c>
      <c r="G22" s="52">
        <f t="shared" si="13"/>
        <v>110.6639790109176</v>
      </c>
      <c r="H22" s="52">
        <f t="shared" si="13"/>
        <v>139.15382435356466</v>
      </c>
      <c r="I22" s="52">
        <f t="shared" si="13"/>
        <v>167.64366969621173</v>
      </c>
      <c r="J22" s="8"/>
      <c r="K22" s="9"/>
      <c r="L22" s="82">
        <f>C22-'coût TEND'!C22</f>
        <v>0</v>
      </c>
    </row>
    <row r="23" spans="1:12" ht="18.75" thickBot="1" x14ac:dyDescent="0.3">
      <c r="A23" s="31"/>
      <c r="B23" s="6" t="s">
        <v>49</v>
      </c>
      <c r="C23" s="7">
        <f>'coût TEND'!C23</f>
        <v>18.641426784169571</v>
      </c>
      <c r="D23" s="52">
        <f t="shared" ref="D23:I23" si="14">(D19*D21*1000000)*1000/(D22*1000000000)</f>
        <v>14.0335162079572</v>
      </c>
      <c r="E23" s="52">
        <f t="shared" si="14"/>
        <v>9.1888709971880012</v>
      </c>
      <c r="F23" s="52">
        <f t="shared" si="14"/>
        <v>8.2793936440695379</v>
      </c>
      <c r="G23" s="52">
        <f t="shared" si="14"/>
        <v>7.4993327315487655</v>
      </c>
      <c r="H23" s="52">
        <f t="shared" si="14"/>
        <v>6.7691995126677238</v>
      </c>
      <c r="I23" s="52">
        <f t="shared" si="14"/>
        <v>6.0635394216914493</v>
      </c>
      <c r="J23" s="8"/>
      <c r="K23" s="9"/>
      <c r="L23" s="82">
        <f>C23-'coût TEND'!C23</f>
        <v>0</v>
      </c>
    </row>
    <row r="24" spans="1:12" ht="27.75" thickBot="1" x14ac:dyDescent="0.3">
      <c r="A24" s="32"/>
      <c r="B24" s="6" t="s">
        <v>48</v>
      </c>
      <c r="C24" s="7">
        <f>'coût TEND'!C24</f>
        <v>25.414478515751185</v>
      </c>
      <c r="D24" s="51">
        <f t="shared" ref="D24:I24" si="15">((D18*D21*1000000)*1000/D20)/(D22*1000000000)</f>
        <v>22.422440341158282</v>
      </c>
      <c r="E24" s="51">
        <f t="shared" si="15"/>
        <v>17.529538517712496</v>
      </c>
      <c r="F24" s="51">
        <f t="shared" si="15"/>
        <v>15.841239838986381</v>
      </c>
      <c r="G24" s="51">
        <f t="shared" si="15"/>
        <v>14.398718844573631</v>
      </c>
      <c r="H24" s="51">
        <f t="shared" si="15"/>
        <v>13.023939862372702</v>
      </c>
      <c r="I24" s="51">
        <f t="shared" si="15"/>
        <v>11.722842881936801</v>
      </c>
      <c r="J24" s="8"/>
      <c r="K24" s="9"/>
      <c r="L24" s="82">
        <f>C24-'coût TEND'!C24</f>
        <v>0</v>
      </c>
    </row>
    <row r="25" spans="1:12" ht="15.75" thickBot="1" x14ac:dyDescent="0.3">
      <c r="A25" s="125" t="s">
        <v>6</v>
      </c>
      <c r="B25" s="6" t="s">
        <v>1</v>
      </c>
      <c r="C25" s="7">
        <f>'coût TEND'!C25</f>
        <v>1078</v>
      </c>
      <c r="D25" s="8">
        <v>948</v>
      </c>
      <c r="E25" s="8">
        <v>818</v>
      </c>
      <c r="F25" s="8">
        <v>757</v>
      </c>
      <c r="G25" s="8">
        <v>696</v>
      </c>
      <c r="H25" s="8">
        <v>635</v>
      </c>
      <c r="I25" s="8">
        <v>574</v>
      </c>
      <c r="J25" s="8">
        <v>574</v>
      </c>
      <c r="K25" s="9">
        <v>574</v>
      </c>
      <c r="L25" s="82">
        <f>C25-'coût TEND'!C25</f>
        <v>0</v>
      </c>
    </row>
    <row r="26" spans="1:12" ht="15.75" thickBot="1" x14ac:dyDescent="0.3">
      <c r="A26" s="126"/>
      <c r="B26" s="6" t="s">
        <v>2</v>
      </c>
      <c r="C26" s="7">
        <f>'coût TEND'!C26</f>
        <v>29</v>
      </c>
      <c r="D26" s="8">
        <v>23</v>
      </c>
      <c r="E26" s="8">
        <v>16</v>
      </c>
      <c r="F26" s="8">
        <v>15</v>
      </c>
      <c r="G26" s="8">
        <v>14</v>
      </c>
      <c r="H26" s="8">
        <v>13</v>
      </c>
      <c r="I26" s="8">
        <v>11</v>
      </c>
      <c r="J26" s="8">
        <v>11</v>
      </c>
      <c r="K26" s="9">
        <v>11</v>
      </c>
      <c r="L26" s="82">
        <f>C26-'coût TEND'!C26</f>
        <v>0</v>
      </c>
    </row>
    <row r="27" spans="1:12" ht="18.75" thickBot="1" x14ac:dyDescent="0.3">
      <c r="A27" s="126"/>
      <c r="B27" s="6" t="s">
        <v>3</v>
      </c>
      <c r="C27" s="7">
        <f>'coût TEND'!C27</f>
        <v>25</v>
      </c>
      <c r="D27" s="8">
        <v>25</v>
      </c>
      <c r="E27" s="8">
        <v>25</v>
      </c>
      <c r="F27" s="8">
        <v>25</v>
      </c>
      <c r="G27" s="8">
        <v>25</v>
      </c>
      <c r="H27" s="8">
        <v>25</v>
      </c>
      <c r="I27" s="8">
        <v>25</v>
      </c>
      <c r="J27" s="8">
        <v>25</v>
      </c>
      <c r="K27" s="9">
        <v>25</v>
      </c>
      <c r="L27" s="82">
        <f>C27-'coût TEND'!C27</f>
        <v>0</v>
      </c>
    </row>
    <row r="28" spans="1:12" ht="18.75" thickBot="1" x14ac:dyDescent="0.3">
      <c r="A28" s="31"/>
      <c r="B28" s="6" t="s">
        <v>47</v>
      </c>
      <c r="C28" s="7">
        <f>'coût TEND'!C28</f>
        <v>0</v>
      </c>
      <c r="D28" s="8">
        <v>0</v>
      </c>
      <c r="E28" s="52">
        <f>E32-E21</f>
        <v>-17.945999999981073</v>
      </c>
      <c r="F28" s="8">
        <v>0</v>
      </c>
      <c r="G28" s="8">
        <v>0</v>
      </c>
      <c r="H28" s="8">
        <v>0</v>
      </c>
      <c r="I28" s="52">
        <f>I32-I21</f>
        <v>-46.945999999981353</v>
      </c>
      <c r="J28" s="8"/>
      <c r="K28" s="9"/>
      <c r="L28" s="82">
        <f>C28-'coût TEND'!C28</f>
        <v>0</v>
      </c>
    </row>
    <row r="29" spans="1:12" ht="18.75" thickBot="1" x14ac:dyDescent="0.3">
      <c r="A29" s="31"/>
      <c r="B29" s="6" t="s">
        <v>50</v>
      </c>
      <c r="C29" s="7">
        <f>'coût TEND'!C29</f>
        <v>0</v>
      </c>
      <c r="D29" s="52">
        <f>[4]Production!D$34</f>
        <v>2.6990746055000001E-11</v>
      </c>
      <c r="E29" s="52">
        <f>[4]Production!E$34</f>
        <v>3.6527991733000001E-10</v>
      </c>
      <c r="F29" s="52">
        <f>[4]Production!F$34</f>
        <v>9.0446673339799984E-10</v>
      </c>
      <c r="G29" s="52">
        <f>[4]Production!G$34</f>
        <v>1.3689268202970003E-9</v>
      </c>
      <c r="H29" s="52">
        <f>[4]Production!H$34</f>
        <v>1.1570629432770425</v>
      </c>
      <c r="I29" s="52">
        <f>[4]Production!I$34</f>
        <v>44.834316178932511</v>
      </c>
      <c r="J29" s="8"/>
      <c r="K29" s="9"/>
      <c r="L29" s="82">
        <f>C29-'coût TEND'!C29</f>
        <v>0</v>
      </c>
    </row>
    <row r="30" spans="1:12" ht="18.75" thickBot="1" x14ac:dyDescent="0.3">
      <c r="A30" s="31"/>
      <c r="B30" s="6" t="s">
        <v>49</v>
      </c>
      <c r="C30" s="7">
        <f>'coût TEND'!C30</f>
        <v>5.8626983018344871</v>
      </c>
      <c r="D30" s="52">
        <f t="shared" ref="D30:H30" si="16">$I$30</f>
        <v>-11.518096940273001</v>
      </c>
      <c r="E30" s="52">
        <f t="shared" si="16"/>
        <v>-11.518096940273001</v>
      </c>
      <c r="F30" s="52">
        <f t="shared" si="16"/>
        <v>-11.518096940273001</v>
      </c>
      <c r="G30" s="52">
        <f t="shared" si="16"/>
        <v>-11.518096940273001</v>
      </c>
      <c r="H30" s="52">
        <f t="shared" si="16"/>
        <v>-11.518096940273001</v>
      </c>
      <c r="I30" s="52">
        <f t="shared" ref="I30" si="17">(I26*I28*1000000)*1000/(I29*1000000000)</f>
        <v>-11.518096940273001</v>
      </c>
      <c r="J30" s="8"/>
      <c r="K30" s="9"/>
      <c r="L30" s="82"/>
    </row>
    <row r="31" spans="1:12" ht="27.75" thickBot="1" x14ac:dyDescent="0.3">
      <c r="A31" s="32"/>
      <c r="B31" s="6" t="s">
        <v>48</v>
      </c>
      <c r="C31" s="7">
        <f>'coût TEND'!C31</f>
        <v>12.237050273647256</v>
      </c>
      <c r="D31" s="52">
        <f t="shared" ref="D31:H31" si="18">$I$31</f>
        <v>-24.041409613515288</v>
      </c>
      <c r="E31" s="52">
        <f t="shared" si="18"/>
        <v>-24.041409613515288</v>
      </c>
      <c r="F31" s="52">
        <f t="shared" si="18"/>
        <v>-24.041409613515288</v>
      </c>
      <c r="G31" s="52">
        <f t="shared" si="18"/>
        <v>-24.041409613515288</v>
      </c>
      <c r="H31" s="52">
        <f t="shared" si="18"/>
        <v>-24.041409613515288</v>
      </c>
      <c r="I31" s="51">
        <f t="shared" ref="I31" si="19">((I25*I28*1000000)*1000/I27)/(I29*1000000000)</f>
        <v>-24.041409613515288</v>
      </c>
      <c r="J31" s="8"/>
      <c r="K31" s="9"/>
      <c r="L31" s="82"/>
    </row>
    <row r="32" spans="1:12" ht="45.75" thickBot="1" x14ac:dyDescent="0.3">
      <c r="A32" s="31" t="s">
        <v>51</v>
      </c>
      <c r="B32" s="6" t="s">
        <v>47</v>
      </c>
      <c r="C32" s="7">
        <f>'coût TEND'!C32</f>
        <v>3.9812948257280469</v>
      </c>
      <c r="D32" s="51">
        <f>[4]Investissements!D$9</f>
        <v>15.600000000003027</v>
      </c>
      <c r="E32" s="51">
        <f>[4]Investissements!E$9</f>
        <v>20.000000000018925</v>
      </c>
      <c r="F32" s="51">
        <f>[4]Investissements!F$9</f>
        <v>28.750000000480206</v>
      </c>
      <c r="G32" s="51">
        <f>[4]Investissements!G$9</f>
        <v>37.500000002109303</v>
      </c>
      <c r="H32" s="51">
        <f>[4]Investissements!H$9</f>
        <v>46.250000001496062</v>
      </c>
      <c r="I32" s="51">
        <f>[4]Investissements!I$9</f>
        <v>66.000000000018645</v>
      </c>
      <c r="J32" s="8"/>
      <c r="K32" s="9"/>
      <c r="L32" s="82">
        <f>C32-'coût TEND'!C32</f>
        <v>0</v>
      </c>
    </row>
    <row r="33" spans="1:12" ht="18.75" thickBot="1" x14ac:dyDescent="0.3">
      <c r="A33" s="31"/>
      <c r="B33" s="6" t="s">
        <v>50</v>
      </c>
      <c r="C33" s="7">
        <f>'coût TEND'!C33</f>
        <v>5.9719422385920709</v>
      </c>
      <c r="D33" s="81">
        <f t="shared" ref="D33:I33" si="20">D29+D22</f>
        <v>22.810050068656526</v>
      </c>
      <c r="E33" s="81">
        <f t="shared" si="20"/>
        <v>53.684288325988767</v>
      </c>
      <c r="F33" s="81">
        <f t="shared" si="20"/>
        <v>82.174133669175035</v>
      </c>
      <c r="G33" s="81">
        <f t="shared" si="20"/>
        <v>110.66397901228653</v>
      </c>
      <c r="H33" s="81">
        <f t="shared" si="20"/>
        <v>140.31088729684171</v>
      </c>
      <c r="I33" s="81">
        <f t="shared" si="20"/>
        <v>212.47798587514424</v>
      </c>
      <c r="J33" s="8"/>
      <c r="K33" s="9"/>
      <c r="L33" s="82">
        <f>C33-'coût TEND'!C33</f>
        <v>0</v>
      </c>
    </row>
    <row r="34" spans="1:12" ht="18.75" thickBot="1" x14ac:dyDescent="0.3">
      <c r="A34" s="55" t="s">
        <v>87</v>
      </c>
      <c r="B34" s="6" t="s">
        <v>47</v>
      </c>
      <c r="C34" s="7">
        <f>'coût TEND'!C34</f>
        <v>9.443731325727688</v>
      </c>
      <c r="D34" s="51">
        <f>[2]élec!F$70</f>
        <v>25.445999999999998</v>
      </c>
      <c r="E34" s="51">
        <f>[2]élec!G$70</f>
        <v>47.945999999999998</v>
      </c>
      <c r="F34" s="51">
        <f>[2]élec!H$70</f>
        <v>70.445999999999998</v>
      </c>
      <c r="G34" s="51">
        <f>[2]élec!I$70</f>
        <v>92.945999999999998</v>
      </c>
      <c r="H34" s="51">
        <f>[2]élec!J$70</f>
        <v>115.446</v>
      </c>
      <c r="I34" s="51">
        <f>[2]élec!K$70</f>
        <v>137.946</v>
      </c>
      <c r="J34" s="8"/>
      <c r="K34" s="9"/>
      <c r="L34" s="82">
        <f>C34-'coût TEND'!C34</f>
        <v>0</v>
      </c>
    </row>
    <row r="35" spans="1:12" ht="18.75" thickBot="1" x14ac:dyDescent="0.3">
      <c r="A35" s="32"/>
      <c r="B35" s="6" t="s">
        <v>50</v>
      </c>
      <c r="C35" s="7">
        <f>'coût TEND'!C35</f>
        <v>13.300290426956487</v>
      </c>
      <c r="D35" s="51">
        <f>[2]élec!F$52</f>
        <v>32.990160000000003</v>
      </c>
      <c r="E35" s="51">
        <f>[2]élec!G$52</f>
        <v>66.716160000000002</v>
      </c>
      <c r="F35" s="51">
        <f>[2]élec!H$52</f>
        <v>100.44216000000003</v>
      </c>
      <c r="G35" s="51">
        <f>[2]élec!I$52</f>
        <v>134.16816</v>
      </c>
      <c r="H35" s="51">
        <f>[2]élec!J$52</f>
        <v>167.89416</v>
      </c>
      <c r="I35" s="51">
        <f>[2]élec!K$52</f>
        <v>201.62016000000003</v>
      </c>
      <c r="J35" s="8"/>
      <c r="K35" s="9"/>
      <c r="L35" s="82">
        <f>C35-'coût TEND'!C35</f>
        <v>0</v>
      </c>
    </row>
    <row r="36" spans="1:12" ht="15.75" thickBot="1" x14ac:dyDescent="0.3">
      <c r="A36" s="108" t="s">
        <v>7</v>
      </c>
      <c r="B36" s="6" t="s">
        <v>1</v>
      </c>
      <c r="C36" s="7">
        <f>'coût TEND'!C36</f>
        <v>1510</v>
      </c>
      <c r="D36" s="7">
        <v>1458</v>
      </c>
      <c r="E36" s="7">
        <v>1405</v>
      </c>
      <c r="F36" s="7">
        <v>1366</v>
      </c>
      <c r="G36" s="7">
        <v>1328</v>
      </c>
      <c r="H36" s="7">
        <v>1289</v>
      </c>
      <c r="I36" s="7">
        <v>1250</v>
      </c>
      <c r="J36" s="7">
        <v>1250</v>
      </c>
      <c r="K36" s="10">
        <v>1250</v>
      </c>
      <c r="L36" s="82">
        <f>C36-'coût TEND'!C36</f>
        <v>0</v>
      </c>
    </row>
    <row r="37" spans="1:12" ht="15.75" thickBot="1" x14ac:dyDescent="0.3">
      <c r="A37" s="109"/>
      <c r="B37" s="6" t="s">
        <v>2</v>
      </c>
      <c r="C37" s="7">
        <f>'coût TEND'!C37</f>
        <v>48</v>
      </c>
      <c r="D37" s="8">
        <v>43</v>
      </c>
      <c r="E37" s="8">
        <v>39</v>
      </c>
      <c r="F37" s="8">
        <v>36</v>
      </c>
      <c r="G37" s="8">
        <v>33</v>
      </c>
      <c r="H37" s="8">
        <v>30</v>
      </c>
      <c r="I37" s="8">
        <v>28</v>
      </c>
      <c r="J37" s="8">
        <v>28</v>
      </c>
      <c r="K37" s="9">
        <v>28</v>
      </c>
      <c r="L37" s="82">
        <f>C37-'coût TEND'!C37</f>
        <v>0</v>
      </c>
    </row>
    <row r="38" spans="1:12" ht="18.75" thickBot="1" x14ac:dyDescent="0.3">
      <c r="A38" s="109"/>
      <c r="B38" s="6" t="s">
        <v>3</v>
      </c>
      <c r="C38" s="7">
        <f>'coût TEND'!C38</f>
        <v>25</v>
      </c>
      <c r="D38" s="8">
        <v>25</v>
      </c>
      <c r="E38" s="8">
        <v>26</v>
      </c>
      <c r="F38" s="8">
        <v>27</v>
      </c>
      <c r="G38" s="8">
        <v>28</v>
      </c>
      <c r="H38" s="8">
        <v>29</v>
      </c>
      <c r="I38" s="8">
        <v>30</v>
      </c>
      <c r="J38" s="8">
        <v>25</v>
      </c>
      <c r="K38" s="9">
        <v>25</v>
      </c>
      <c r="L38" s="82">
        <f>C38-'coût TEND'!C38</f>
        <v>0</v>
      </c>
    </row>
    <row r="39" spans="1:12" ht="18.75" thickBot="1" x14ac:dyDescent="0.3">
      <c r="A39" s="31"/>
      <c r="B39" s="6" t="s">
        <v>47</v>
      </c>
      <c r="C39" s="7">
        <f>'coût TEND'!C39</f>
        <v>19.100000000000001</v>
      </c>
      <c r="D39" s="84">
        <f>[2]élec!F$69</f>
        <v>24.6</v>
      </c>
      <c r="E39" s="84">
        <f>[2]élec!G$69</f>
        <v>32.600000000000009</v>
      </c>
      <c r="F39" s="84">
        <f>[2]élec!H$69</f>
        <v>41.000000000000014</v>
      </c>
      <c r="G39" s="84">
        <f>[2]élec!I$69</f>
        <v>51.000000000000014</v>
      </c>
      <c r="H39" s="84">
        <f>[2]élec!J$69</f>
        <v>61.000000000000014</v>
      </c>
      <c r="I39" s="84">
        <f>[2]élec!K$69</f>
        <v>71.000000000000014</v>
      </c>
      <c r="J39" s="8"/>
      <c r="K39" s="9"/>
      <c r="L39" s="82">
        <f>C39-'coût TEND'!C39</f>
        <v>0</v>
      </c>
    </row>
    <row r="40" spans="1:12" ht="18.75" thickBot="1" x14ac:dyDescent="0.3">
      <c r="A40" s="31"/>
      <c r="B40" s="6" t="s">
        <v>50</v>
      </c>
      <c r="C40" s="7">
        <f>'coût TEND'!C40</f>
        <v>39.700000000000003</v>
      </c>
      <c r="D40" s="51">
        <f>[2]élec!F$51</f>
        <v>50.772959999999998</v>
      </c>
      <c r="E40" s="51">
        <f>[4]Production!E$39</f>
        <v>70.355046444793672</v>
      </c>
      <c r="F40" s="51">
        <f>[4]Production!F$39</f>
        <v>92.759339784844244</v>
      </c>
      <c r="G40" s="51">
        <f>[4]Production!G$39</f>
        <v>115.11804204176454</v>
      </c>
      <c r="H40" s="51">
        <f>[4]Production!H$39</f>
        <v>141.51337418169942</v>
      </c>
      <c r="I40" s="51">
        <f>[4]Production!I$39</f>
        <v>175.11117102622472</v>
      </c>
      <c r="J40" s="8"/>
      <c r="K40" s="9"/>
      <c r="L40" s="82">
        <f>C40-'coût TEND'!C40</f>
        <v>0</v>
      </c>
    </row>
    <row r="41" spans="1:12" ht="18.75" thickBot="1" x14ac:dyDescent="0.3">
      <c r="A41" s="31"/>
      <c r="B41" s="6" t="s">
        <v>49</v>
      </c>
      <c r="C41" s="7">
        <f>'coût TEND'!C41</f>
        <v>23.995672611543696</v>
      </c>
      <c r="D41" s="52">
        <f t="shared" ref="D41:I41" si="21">(D37*D39*1000000)*1000/(D40*1000000000)</f>
        <v>20.833924199022473</v>
      </c>
      <c r="E41" s="52">
        <f t="shared" si="21"/>
        <v>18.071198360982461</v>
      </c>
      <c r="F41" s="52">
        <f t="shared" si="21"/>
        <v>15.912144301841627</v>
      </c>
      <c r="G41" s="52">
        <f t="shared" si="21"/>
        <v>14.619776102423739</v>
      </c>
      <c r="H41" s="52">
        <f t="shared" si="21"/>
        <v>12.931639928607234</v>
      </c>
      <c r="I41" s="52">
        <f t="shared" si="21"/>
        <v>11.35278799376127</v>
      </c>
      <c r="J41" s="8"/>
      <c r="K41" s="9"/>
      <c r="L41" s="82">
        <f>C41-'coût TEND'!C41</f>
        <v>0</v>
      </c>
    </row>
    <row r="42" spans="1:12" ht="27.75" thickBot="1" x14ac:dyDescent="0.3">
      <c r="A42" s="32"/>
      <c r="B42" s="6" t="s">
        <v>48</v>
      </c>
      <c r="C42" s="7">
        <f>'coût TEND'!C42</f>
        <v>30.194554702859147</v>
      </c>
      <c r="D42" s="51">
        <f t="shared" ref="D42:I42" si="22">((D36*D39*1000000)*1000/D38)/(D40*1000000000)</f>
        <v>28.256615332255596</v>
      </c>
      <c r="E42" s="51">
        <f t="shared" si="22"/>
        <v>25.039480963688717</v>
      </c>
      <c r="F42" s="51">
        <f t="shared" si="22"/>
        <v>22.362128720489366</v>
      </c>
      <c r="G42" s="51">
        <f t="shared" si="22"/>
        <v>21.011972580106846</v>
      </c>
      <c r="H42" s="51">
        <f t="shared" si="22"/>
        <v>19.159636629856006</v>
      </c>
      <c r="I42" s="51">
        <f t="shared" si="22"/>
        <v>16.894029752620938</v>
      </c>
      <c r="J42" s="8"/>
      <c r="K42" s="9"/>
      <c r="L42" s="82">
        <f>C42-'coût TEND'!C42</f>
        <v>0</v>
      </c>
    </row>
    <row r="43" spans="1:12" ht="18.75" thickBot="1" x14ac:dyDescent="0.3">
      <c r="A43" s="20" t="s">
        <v>8</v>
      </c>
      <c r="B43" s="6" t="s">
        <v>1</v>
      </c>
      <c r="C43" s="7">
        <f>'coût TEND'!C43</f>
        <v>3600</v>
      </c>
      <c r="D43" s="7">
        <f>2650+500</f>
        <v>3150</v>
      </c>
      <c r="E43" s="7">
        <v>2700</v>
      </c>
      <c r="F43" s="7">
        <v>2700</v>
      </c>
      <c r="G43" s="7">
        <v>2500</v>
      </c>
      <c r="H43" s="7">
        <v>2400</v>
      </c>
      <c r="I43" s="7">
        <v>2300</v>
      </c>
      <c r="J43" s="7">
        <v>2300</v>
      </c>
      <c r="K43" s="7">
        <v>2300</v>
      </c>
      <c r="L43" s="82">
        <f>C43-'coût TEND'!C43</f>
        <v>0</v>
      </c>
    </row>
    <row r="44" spans="1:12" ht="18.75" thickBot="1" x14ac:dyDescent="0.3">
      <c r="A44" s="21" t="s">
        <v>9</v>
      </c>
      <c r="B44" s="6" t="s">
        <v>2</v>
      </c>
      <c r="C44" s="7">
        <f>'coût TEND'!C44</f>
        <v>80</v>
      </c>
      <c r="D44" s="8">
        <v>69</v>
      </c>
      <c r="E44" s="8">
        <v>58</v>
      </c>
      <c r="F44" s="8">
        <v>52.5</v>
      </c>
      <c r="G44" s="8">
        <v>47</v>
      </c>
      <c r="H44" s="8">
        <v>41.5</v>
      </c>
      <c r="I44" s="8">
        <v>36</v>
      </c>
      <c r="J44" s="8">
        <v>36</v>
      </c>
      <c r="K44" s="9">
        <v>36</v>
      </c>
      <c r="L44" s="82">
        <f>C44-'coût TEND'!C44</f>
        <v>0</v>
      </c>
    </row>
    <row r="45" spans="1:12" ht="18.75" thickBot="1" x14ac:dyDescent="0.3">
      <c r="A45" s="31"/>
      <c r="B45" s="6" t="s">
        <v>3</v>
      </c>
      <c r="C45" s="7">
        <f>'coût TEND'!C45</f>
        <v>25</v>
      </c>
      <c r="D45" s="8">
        <v>25</v>
      </c>
      <c r="E45" s="8">
        <v>25</v>
      </c>
      <c r="F45" s="8">
        <v>25</v>
      </c>
      <c r="G45" s="8">
        <v>25</v>
      </c>
      <c r="H45" s="8">
        <v>25</v>
      </c>
      <c r="I45" s="8">
        <v>25</v>
      </c>
      <c r="J45" s="8">
        <v>25</v>
      </c>
      <c r="K45" s="9">
        <v>25</v>
      </c>
      <c r="L45" s="82">
        <f>C45-'coût TEND'!C45</f>
        <v>0</v>
      </c>
    </row>
    <row r="46" spans="1:12" ht="18.75" thickBot="1" x14ac:dyDescent="0.3">
      <c r="A46" s="31"/>
      <c r="B46" s="6" t="s">
        <v>47</v>
      </c>
      <c r="C46" s="7">
        <f>'coût TEND'!C46</f>
        <v>0</v>
      </c>
      <c r="D46" s="84">
        <f>[2]élec!F$71</f>
        <v>3.0030000000000001</v>
      </c>
      <c r="E46" s="84">
        <f>[2]élec!G$71</f>
        <v>3.6030000000000002</v>
      </c>
      <c r="F46" s="84">
        <f>[2]élec!H$71</f>
        <v>11.853</v>
      </c>
      <c r="G46" s="84">
        <f>[2]élec!I$71</f>
        <v>21.853000000000002</v>
      </c>
      <c r="H46" s="84">
        <f>[2]élec!J$71</f>
        <v>31.853000000000002</v>
      </c>
      <c r="I46" s="84">
        <f>[2]élec!K$71</f>
        <v>44.853000000000002</v>
      </c>
      <c r="J46" s="8"/>
      <c r="K46" s="9"/>
      <c r="L46" s="82">
        <f>C46-'coût TEND'!C46</f>
        <v>0</v>
      </c>
    </row>
    <row r="47" spans="1:12" ht="18.75" thickBot="1" x14ac:dyDescent="0.3">
      <c r="A47" s="31"/>
      <c r="B47" s="6" t="s">
        <v>50</v>
      </c>
      <c r="C47" s="7">
        <f>'coût TEND'!C47</f>
        <v>0</v>
      </c>
      <c r="D47" s="51">
        <f>[2]élec!F$53</f>
        <v>11.837826</v>
      </c>
      <c r="E47" s="51">
        <f>[2]élec!G$53</f>
        <v>14.203025999999999</v>
      </c>
      <c r="F47" s="51">
        <f>[2]élec!H$53</f>
        <v>70.376525999999998</v>
      </c>
      <c r="G47" s="51">
        <f>[2]élec!I$53</f>
        <v>109.79652600000001</v>
      </c>
      <c r="H47" s="51">
        <f>[2]élec!J$53</f>
        <v>149.21652600000002</v>
      </c>
      <c r="I47" s="51">
        <f>[2]élec!K$53</f>
        <v>176.81052600000001</v>
      </c>
      <c r="J47" s="8"/>
      <c r="K47" s="9"/>
      <c r="L47" s="82">
        <f>C47-'coût TEND'!C47</f>
        <v>0</v>
      </c>
    </row>
    <row r="48" spans="1:12" ht="18.75" thickBot="1" x14ac:dyDescent="0.3">
      <c r="A48" s="31"/>
      <c r="B48" s="6" t="s">
        <v>49</v>
      </c>
      <c r="C48" s="7">
        <f>'coût TEND'!C48</f>
        <v>20.7</v>
      </c>
      <c r="D48" s="52">
        <f>(D44*D46*1000000)*1000/(D47*1000000000)</f>
        <v>17.503805175038053</v>
      </c>
      <c r="E48" s="52">
        <f t="shared" ref="E48:I48" si="23">(E44*E46*1000000)*1000/(E47*1000000000)</f>
        <v>14.71334348046677</v>
      </c>
      <c r="F48" s="52">
        <f>(F44*F46*1000000)*1000/(F47*1000000000)</f>
        <v>8.842188374004138</v>
      </c>
      <c r="G48" s="52">
        <f t="shared" si="23"/>
        <v>9.3544945128773929</v>
      </c>
      <c r="H48" s="52">
        <f t="shared" si="23"/>
        <v>8.8589349681013196</v>
      </c>
      <c r="I48" s="52">
        <f t="shared" si="23"/>
        <v>9.1324200913242013</v>
      </c>
      <c r="J48" s="8"/>
      <c r="K48" s="9"/>
      <c r="L48" s="82"/>
    </row>
    <row r="49" spans="1:12" ht="27.75" thickBot="1" x14ac:dyDescent="0.3">
      <c r="A49" s="32"/>
      <c r="B49" s="6" t="s">
        <v>48</v>
      </c>
      <c r="C49" s="7">
        <f>'coût TEND'!C49</f>
        <v>38.307398519172089</v>
      </c>
      <c r="D49" s="51">
        <f>((D43*D46*1000000)*1000/D45)/(D47*1000000000)</f>
        <v>31.963470319634702</v>
      </c>
      <c r="E49" s="51">
        <f t="shared" ref="E49:I49" si="24">((E43*E46*1000000)*1000/E45)/(E47*1000000000)</f>
        <v>27.397260273972602</v>
      </c>
      <c r="F49" s="51">
        <f t="shared" si="24"/>
        <v>18.189644655094227</v>
      </c>
      <c r="G49" s="51">
        <f t="shared" si="24"/>
        <v>19.90317981463275</v>
      </c>
      <c r="H49" s="51">
        <f t="shared" si="24"/>
        <v>20.492957998499438</v>
      </c>
      <c r="I49" s="51">
        <f t="shared" si="24"/>
        <v>23.338406900050739</v>
      </c>
      <c r="J49" s="8"/>
      <c r="K49" s="9"/>
      <c r="L49" s="82"/>
    </row>
    <row r="50" spans="1:12" ht="15.75" thickBot="1" x14ac:dyDescent="0.3">
      <c r="A50" s="108" t="s">
        <v>12</v>
      </c>
      <c r="B50" s="6" t="s">
        <v>1</v>
      </c>
      <c r="C50" s="7">
        <f>'coût TEND'!C50</f>
        <v>4100</v>
      </c>
      <c r="D50" s="8">
        <v>3650</v>
      </c>
      <c r="E50" s="7">
        <v>3200</v>
      </c>
      <c r="F50" s="7">
        <v>3125</v>
      </c>
      <c r="G50" s="7">
        <v>3050</v>
      </c>
      <c r="H50" s="7">
        <v>2975</v>
      </c>
      <c r="I50" s="7">
        <v>2900</v>
      </c>
      <c r="J50" s="7">
        <v>2900</v>
      </c>
      <c r="K50" s="10">
        <v>2900</v>
      </c>
      <c r="L50" s="82">
        <f>C50-'coût TEND'!C50</f>
        <v>0</v>
      </c>
    </row>
    <row r="51" spans="1:12" ht="15.75" thickBot="1" x14ac:dyDescent="0.3">
      <c r="A51" s="109"/>
      <c r="B51" s="6" t="s">
        <v>2</v>
      </c>
      <c r="C51" s="7">
        <f>'coût TEND'!C51</f>
        <v>110</v>
      </c>
      <c r="D51" s="8">
        <v>95</v>
      </c>
      <c r="E51" s="8">
        <v>80</v>
      </c>
      <c r="F51" s="8">
        <v>70</v>
      </c>
      <c r="G51" s="8">
        <v>60</v>
      </c>
      <c r="H51" s="8">
        <v>55</v>
      </c>
      <c r="I51" s="8">
        <v>50</v>
      </c>
      <c r="J51" s="8">
        <v>50</v>
      </c>
      <c r="K51" s="9">
        <v>50</v>
      </c>
      <c r="L51" s="82">
        <f>C51-'coût TEND'!C51</f>
        <v>0</v>
      </c>
    </row>
    <row r="52" spans="1:12" ht="18.75" thickBot="1" x14ac:dyDescent="0.3">
      <c r="A52" s="109"/>
      <c r="B52" s="12" t="s">
        <v>3</v>
      </c>
      <c r="C52" s="7">
        <f>'coût TEND'!C52</f>
        <v>25</v>
      </c>
      <c r="D52" s="8">
        <v>25</v>
      </c>
      <c r="E52" s="8">
        <v>25</v>
      </c>
      <c r="F52" s="8">
        <v>25</v>
      </c>
      <c r="G52" s="8">
        <v>25</v>
      </c>
      <c r="H52" s="8">
        <v>25</v>
      </c>
      <c r="I52" s="8">
        <v>25</v>
      </c>
      <c r="J52" s="8">
        <v>25</v>
      </c>
      <c r="K52" s="9">
        <v>25</v>
      </c>
      <c r="L52" s="82">
        <f>C52-'coût TEND'!C52</f>
        <v>0</v>
      </c>
    </row>
    <row r="53" spans="1:12" ht="18.75" thickBot="1" x14ac:dyDescent="0.3">
      <c r="A53" s="31"/>
      <c r="B53" s="6" t="s">
        <v>47</v>
      </c>
      <c r="C53" s="7">
        <f>'coût TEND'!C53</f>
        <v>0</v>
      </c>
      <c r="D53" s="84">
        <f>C53</f>
        <v>0</v>
      </c>
      <c r="E53" s="84">
        <f t="shared" ref="E53:I53" si="25">D53</f>
        <v>0</v>
      </c>
      <c r="F53" s="84">
        <f t="shared" si="25"/>
        <v>0</v>
      </c>
      <c r="G53" s="84">
        <f t="shared" si="25"/>
        <v>0</v>
      </c>
      <c r="H53" s="84">
        <f t="shared" si="25"/>
        <v>0</v>
      </c>
      <c r="I53" s="84">
        <f t="shared" si="25"/>
        <v>0</v>
      </c>
      <c r="J53" s="8"/>
      <c r="K53" s="9"/>
      <c r="L53" s="82">
        <f>C53-'coût TEND'!C53</f>
        <v>0</v>
      </c>
    </row>
    <row r="54" spans="1:12" ht="18.75" thickBot="1" x14ac:dyDescent="0.3">
      <c r="A54" s="31"/>
      <c r="B54" s="6" t="s">
        <v>50</v>
      </c>
      <c r="C54" s="7">
        <f>'coût TEND'!C54</f>
        <v>0</v>
      </c>
      <c r="D54" s="8">
        <f>C54</f>
        <v>0</v>
      </c>
      <c r="E54" s="8">
        <f t="shared" ref="E54:I54" si="26">D54</f>
        <v>0</v>
      </c>
      <c r="F54" s="8">
        <f t="shared" si="26"/>
        <v>0</v>
      </c>
      <c r="G54" s="8">
        <f t="shared" si="26"/>
        <v>0</v>
      </c>
      <c r="H54" s="8">
        <f t="shared" si="26"/>
        <v>0</v>
      </c>
      <c r="I54" s="8">
        <f t="shared" si="26"/>
        <v>0</v>
      </c>
      <c r="J54" s="8"/>
      <c r="K54" s="9"/>
      <c r="L54" s="82">
        <f>C54-'coût TEND'!C54</f>
        <v>0</v>
      </c>
    </row>
    <row r="55" spans="1:12" ht="18.75" thickBot="1" x14ac:dyDescent="0.3">
      <c r="A55" s="31"/>
      <c r="B55" s="6" t="s">
        <v>49</v>
      </c>
      <c r="C55" s="7">
        <f>'coût TEND'!C55</f>
        <v>26.156728675262425</v>
      </c>
      <c r="D55" s="52">
        <f>IF(D54=0,0,(D51*D53*1000000)*1000/(D54*1000000000))</f>
        <v>0</v>
      </c>
      <c r="E55" s="52">
        <f t="shared" ref="E55:I55" si="27">IF(E54=0,0,(E51*E53*1000000)*1000/(E54*1000000000))</f>
        <v>0</v>
      </c>
      <c r="F55" s="52">
        <f t="shared" si="27"/>
        <v>0</v>
      </c>
      <c r="G55" s="52">
        <f t="shared" si="27"/>
        <v>0</v>
      </c>
      <c r="H55" s="52">
        <f t="shared" si="27"/>
        <v>0</v>
      </c>
      <c r="I55" s="52">
        <f t="shared" si="27"/>
        <v>0</v>
      </c>
      <c r="J55" s="8"/>
      <c r="K55" s="9"/>
      <c r="L55" s="82"/>
    </row>
    <row r="56" spans="1:12" ht="27.75" thickBot="1" x14ac:dyDescent="0.3">
      <c r="A56" s="32"/>
      <c r="B56" s="6" t="s">
        <v>48</v>
      </c>
      <c r="C56" s="7">
        <f>'coût TEND'!C56</f>
        <v>40.198761964087517</v>
      </c>
      <c r="D56" s="51">
        <f>IF(D54=0,0,((D50*D53*1000000)*1000/D52)/(D54*1000000000))</f>
        <v>0</v>
      </c>
      <c r="E56" s="51">
        <f t="shared" ref="E56:I56" si="28">IF(E54=0,0,((E50*E53*1000000)*1000/E52)/(E54*1000000000))</f>
        <v>0</v>
      </c>
      <c r="F56" s="51">
        <f t="shared" si="28"/>
        <v>0</v>
      </c>
      <c r="G56" s="51">
        <f t="shared" si="28"/>
        <v>0</v>
      </c>
      <c r="H56" s="51">
        <f t="shared" si="28"/>
        <v>0</v>
      </c>
      <c r="I56" s="51">
        <f t="shared" si="28"/>
        <v>0</v>
      </c>
      <c r="J56" s="8"/>
      <c r="K56" s="9"/>
      <c r="L56" s="82"/>
    </row>
    <row r="57" spans="1:12" ht="15.75" thickBot="1" x14ac:dyDescent="0.3">
      <c r="A57" s="108" t="s">
        <v>23</v>
      </c>
      <c r="B57" s="6" t="s">
        <v>16</v>
      </c>
      <c r="C57" s="7">
        <f>'coût TEND'!C57</f>
        <v>5175</v>
      </c>
      <c r="D57" s="7">
        <f>C57</f>
        <v>5175</v>
      </c>
      <c r="E57" s="7">
        <f t="shared" ref="E57:K57" si="29">D57</f>
        <v>5175</v>
      </c>
      <c r="F57" s="7">
        <f t="shared" si="29"/>
        <v>5175</v>
      </c>
      <c r="G57" s="7">
        <f t="shared" si="29"/>
        <v>5175</v>
      </c>
      <c r="H57" s="7">
        <f t="shared" si="29"/>
        <v>5175</v>
      </c>
      <c r="I57" s="7">
        <f t="shared" si="29"/>
        <v>5175</v>
      </c>
      <c r="J57" s="7">
        <f t="shared" si="29"/>
        <v>5175</v>
      </c>
      <c r="K57" s="7">
        <f t="shared" si="29"/>
        <v>5175</v>
      </c>
      <c r="L57" s="82">
        <f>C57-'coût TEND'!C57</f>
        <v>0</v>
      </c>
    </row>
    <row r="58" spans="1:12" ht="18.75" thickBot="1" x14ac:dyDescent="0.3">
      <c r="A58" s="109" t="s">
        <v>15</v>
      </c>
      <c r="B58" s="6" t="s">
        <v>17</v>
      </c>
      <c r="C58" s="7">
        <f>'coût TEND'!C58</f>
        <v>115</v>
      </c>
      <c r="D58" s="7">
        <f t="shared" ref="D58:K62" si="30">C58</f>
        <v>115</v>
      </c>
      <c r="E58" s="7">
        <f t="shared" si="30"/>
        <v>115</v>
      </c>
      <c r="F58" s="7">
        <f t="shared" si="30"/>
        <v>115</v>
      </c>
      <c r="G58" s="7">
        <f t="shared" si="30"/>
        <v>115</v>
      </c>
      <c r="H58" s="7">
        <f t="shared" si="30"/>
        <v>115</v>
      </c>
      <c r="I58" s="7">
        <f t="shared" si="30"/>
        <v>115</v>
      </c>
      <c r="J58" s="7">
        <f t="shared" si="30"/>
        <v>115</v>
      </c>
      <c r="K58" s="7">
        <f t="shared" si="30"/>
        <v>115</v>
      </c>
      <c r="L58" s="82">
        <f>C58-'coût TEND'!C58</f>
        <v>0</v>
      </c>
    </row>
    <row r="59" spans="1:12" ht="18.75" thickBot="1" x14ac:dyDescent="0.3">
      <c r="A59" s="109"/>
      <c r="B59" s="12" t="s">
        <v>18</v>
      </c>
      <c r="C59" s="7">
        <f>'coût TEND'!C59</f>
        <v>10</v>
      </c>
      <c r="D59" s="7">
        <f t="shared" si="30"/>
        <v>10</v>
      </c>
      <c r="E59" s="7">
        <f t="shared" si="30"/>
        <v>10</v>
      </c>
      <c r="F59" s="7">
        <f t="shared" si="30"/>
        <v>10</v>
      </c>
      <c r="G59" s="7">
        <f t="shared" si="30"/>
        <v>10</v>
      </c>
      <c r="H59" s="7">
        <f t="shared" si="30"/>
        <v>10</v>
      </c>
      <c r="I59" s="7">
        <f t="shared" si="30"/>
        <v>10</v>
      </c>
      <c r="J59" s="7">
        <f t="shared" si="30"/>
        <v>10</v>
      </c>
      <c r="K59" s="7">
        <f t="shared" si="30"/>
        <v>10</v>
      </c>
      <c r="L59" s="82">
        <f>C59-'coût TEND'!C59</f>
        <v>0</v>
      </c>
    </row>
    <row r="60" spans="1:12" ht="15.75" thickBot="1" x14ac:dyDescent="0.3">
      <c r="A60" s="109"/>
      <c r="B60" s="6" t="s">
        <v>19</v>
      </c>
      <c r="C60" s="7" t="str">
        <f>'coût TEND'!C60</f>
        <v>76,5%</v>
      </c>
      <c r="D60" s="70" t="str">
        <f t="shared" si="30"/>
        <v>76,5%</v>
      </c>
      <c r="E60" s="70" t="str">
        <f t="shared" si="30"/>
        <v>76,5%</v>
      </c>
      <c r="F60" s="70" t="str">
        <f t="shared" si="30"/>
        <v>76,5%</v>
      </c>
      <c r="G60" s="70" t="str">
        <f t="shared" si="30"/>
        <v>76,5%</v>
      </c>
      <c r="H60" s="70" t="str">
        <f t="shared" si="30"/>
        <v>76,5%</v>
      </c>
      <c r="I60" s="70" t="str">
        <f t="shared" si="30"/>
        <v>76,5%</v>
      </c>
      <c r="J60" s="7" t="str">
        <f t="shared" si="30"/>
        <v>76,5%</v>
      </c>
      <c r="K60" s="7" t="str">
        <f t="shared" si="30"/>
        <v>76,5%</v>
      </c>
      <c r="L60" s="82"/>
    </row>
    <row r="61" spans="1:12" ht="15.75" thickBot="1" x14ac:dyDescent="0.3">
      <c r="A61" s="109"/>
      <c r="B61" s="6" t="s">
        <v>21</v>
      </c>
      <c r="C61" s="7">
        <f>'coût TEND'!C61</f>
        <v>60</v>
      </c>
      <c r="D61" s="7">
        <f t="shared" si="30"/>
        <v>60</v>
      </c>
      <c r="E61" s="7">
        <f t="shared" si="30"/>
        <v>60</v>
      </c>
      <c r="F61" s="7">
        <f t="shared" si="30"/>
        <v>60</v>
      </c>
      <c r="G61" s="7">
        <f t="shared" si="30"/>
        <v>60</v>
      </c>
      <c r="H61" s="7">
        <f t="shared" si="30"/>
        <v>60</v>
      </c>
      <c r="I61" s="7">
        <f t="shared" si="30"/>
        <v>60</v>
      </c>
      <c r="J61" s="7">
        <f t="shared" si="30"/>
        <v>60</v>
      </c>
      <c r="K61" s="7">
        <f t="shared" si="30"/>
        <v>60</v>
      </c>
      <c r="L61" s="82">
        <f>C61-'coût TEND'!C61</f>
        <v>0</v>
      </c>
    </row>
    <row r="62" spans="1:12" ht="18.75" thickBot="1" x14ac:dyDescent="0.3">
      <c r="A62" s="31"/>
      <c r="B62" s="6" t="s">
        <v>47</v>
      </c>
      <c r="C62" s="7">
        <f>'coût TEND'!C62</f>
        <v>0</v>
      </c>
      <c r="D62" s="52">
        <f>'coût TEND'!D62</f>
        <v>1.6</v>
      </c>
      <c r="E62" s="52">
        <f>'coût TEND'!E62</f>
        <v>1.6</v>
      </c>
      <c r="F62" s="52">
        <f>'coût TEND'!F62</f>
        <v>1.6</v>
      </c>
      <c r="G62" s="84">
        <f>[2]élec!I$75+$F62</f>
        <v>4.9000000000000004</v>
      </c>
      <c r="H62" s="84">
        <f>[2]élec!J$75+$F62</f>
        <v>13.1</v>
      </c>
      <c r="I62" s="84">
        <f>[2]élec!K$75+$F62</f>
        <v>21.400000000000002</v>
      </c>
      <c r="J62" s="8">
        <f t="shared" si="30"/>
        <v>21.400000000000002</v>
      </c>
      <c r="K62" s="9">
        <f t="shared" si="30"/>
        <v>21.400000000000002</v>
      </c>
      <c r="L62" s="82">
        <f>C62-'coût TEND'!C62</f>
        <v>0</v>
      </c>
    </row>
    <row r="63" spans="1:12" ht="18.75" thickBot="1" x14ac:dyDescent="0.3">
      <c r="A63" s="31"/>
      <c r="B63" s="6" t="s">
        <v>50</v>
      </c>
      <c r="C63" s="7">
        <f>'coût TEND'!C63</f>
        <v>0</v>
      </c>
      <c r="D63" s="52">
        <f>'coût TEND'!D63</f>
        <v>7.4592842958712495</v>
      </c>
      <c r="E63" s="52">
        <f>'coût TEND'!E63</f>
        <v>7.4592842958712495</v>
      </c>
      <c r="F63" s="52">
        <f>'coût TEND'!F63</f>
        <v>7.4592842958712495</v>
      </c>
      <c r="G63" s="51">
        <f>[2]élec!I$57+$F63</f>
        <v>31.742004295871247</v>
      </c>
      <c r="H63" s="51">
        <f>[2]élec!J$57+$F63</f>
        <v>92.080884295871243</v>
      </c>
      <c r="I63" s="51">
        <f>[2]élec!K$57+$F63</f>
        <v>153.15560429587126</v>
      </c>
      <c r="J63" s="8"/>
      <c r="K63" s="9"/>
      <c r="L63" s="82">
        <f>C63-'coût TEND'!C63</f>
        <v>0</v>
      </c>
    </row>
    <row r="64" spans="1:12" ht="18.75" thickBot="1" x14ac:dyDescent="0.3">
      <c r="A64" s="31"/>
      <c r="B64" s="6" t="s">
        <v>49</v>
      </c>
      <c r="C64" s="7">
        <f>'coût TEND'!C64</f>
        <v>34.667245904790747</v>
      </c>
      <c r="D64" s="52">
        <f>'coût TEND'!D64</f>
        <v>34.667245904790747</v>
      </c>
      <c r="E64" s="52">
        <f>'coût TEND'!E64</f>
        <v>33</v>
      </c>
      <c r="F64" s="52">
        <f>'coût TEND'!F64</f>
        <v>30.098130841121495</v>
      </c>
      <c r="G64" s="52">
        <f>(G58*G62*1000000)*1000/(G63*1000000000)+G59</f>
        <v>27.752502165507416</v>
      </c>
      <c r="H64" s="52">
        <f t="shared" ref="H64:I64" si="31">(H58*H62*1000000)*1000/(H63*1000000000)+H59</f>
        <v>26.36061612048994</v>
      </c>
      <c r="I64" s="52">
        <f t="shared" si="31"/>
        <v>26.068625182306462</v>
      </c>
      <c r="J64" s="8"/>
      <c r="K64" s="9"/>
      <c r="L64" s="82">
        <f>C64-'coût TEND'!C64</f>
        <v>0</v>
      </c>
    </row>
    <row r="65" spans="1:12" ht="27.75" thickBot="1" x14ac:dyDescent="0.3">
      <c r="A65" s="32"/>
      <c r="B65" s="6" t="s">
        <v>48</v>
      </c>
      <c r="C65" s="7">
        <f>'coût TEND'!C65</f>
        <v>18.50043442859306</v>
      </c>
      <c r="D65" s="52">
        <f>C65</f>
        <v>18.50043442859306</v>
      </c>
      <c r="E65" s="52">
        <f>D65</f>
        <v>18.50043442859306</v>
      </c>
      <c r="F65" s="52">
        <f>E65</f>
        <v>18.50043442859306</v>
      </c>
      <c r="G65" s="51">
        <f>((G57*G62*1000000)*1000/G61)/(G63*1000000000)</f>
        <v>13.314376624130563</v>
      </c>
      <c r="H65" s="51">
        <f t="shared" ref="H65:I65" si="32">((H57*H62*1000000)*1000/H61)/(H63*1000000000)</f>
        <v>12.270462090367454</v>
      </c>
      <c r="I65" s="51">
        <f t="shared" si="32"/>
        <v>12.051468886729845</v>
      </c>
      <c r="J65" s="8"/>
      <c r="K65" s="9"/>
      <c r="L65" s="82">
        <f>C65-'coût TEND'!C65</f>
        <v>0</v>
      </c>
    </row>
    <row r="66" spans="1:12" ht="15.75" thickBot="1" x14ac:dyDescent="0.3">
      <c r="A66" s="108" t="s">
        <v>25</v>
      </c>
      <c r="B66" s="6" t="s">
        <v>16</v>
      </c>
      <c r="C66" s="7">
        <f>'coût TEND'!C66</f>
        <v>541</v>
      </c>
      <c r="D66" s="7">
        <f>C66</f>
        <v>541</v>
      </c>
      <c r="E66" s="7">
        <f>D66</f>
        <v>541</v>
      </c>
      <c r="F66" s="7">
        <f t="shared" ref="F66:K66" si="33">E66</f>
        <v>541</v>
      </c>
      <c r="G66" s="7">
        <f t="shared" si="33"/>
        <v>541</v>
      </c>
      <c r="H66" s="7">
        <f t="shared" si="33"/>
        <v>541</v>
      </c>
      <c r="I66" s="7">
        <f t="shared" si="33"/>
        <v>541</v>
      </c>
      <c r="J66" s="7">
        <f t="shared" si="33"/>
        <v>541</v>
      </c>
      <c r="K66" s="7">
        <f t="shared" si="33"/>
        <v>541</v>
      </c>
      <c r="L66" s="82">
        <f>C66-'coût TEND'!C66</f>
        <v>0</v>
      </c>
    </row>
    <row r="67" spans="1:12" ht="18.75" thickBot="1" x14ac:dyDescent="0.3">
      <c r="A67" s="109" t="s">
        <v>15</v>
      </c>
      <c r="B67" s="6" t="s">
        <v>17</v>
      </c>
      <c r="C67" s="7">
        <f>'coût TEND'!C67</f>
        <v>160</v>
      </c>
      <c r="D67" s="7">
        <f t="shared" ref="D67:K71" si="34">C67</f>
        <v>160</v>
      </c>
      <c r="E67" s="7">
        <f t="shared" si="34"/>
        <v>160</v>
      </c>
      <c r="F67" s="7">
        <f t="shared" si="34"/>
        <v>160</v>
      </c>
      <c r="G67" s="7">
        <f t="shared" si="34"/>
        <v>160</v>
      </c>
      <c r="H67" s="7">
        <f t="shared" si="34"/>
        <v>160</v>
      </c>
      <c r="I67" s="7">
        <f t="shared" si="34"/>
        <v>160</v>
      </c>
      <c r="J67" s="7">
        <f t="shared" si="34"/>
        <v>160</v>
      </c>
      <c r="K67" s="7">
        <f t="shared" si="34"/>
        <v>160</v>
      </c>
      <c r="L67" s="82">
        <f>C67-'coût TEND'!C67</f>
        <v>0</v>
      </c>
    </row>
    <row r="68" spans="1:12" ht="18.75" thickBot="1" x14ac:dyDescent="0.3">
      <c r="A68" s="109"/>
      <c r="B68" s="12" t="s">
        <v>18</v>
      </c>
      <c r="C68" s="7">
        <f>'coût TEND'!C68</f>
        <v>5.8</v>
      </c>
      <c r="D68" s="7">
        <f t="shared" si="34"/>
        <v>5.8</v>
      </c>
      <c r="E68" s="7">
        <f t="shared" si="34"/>
        <v>5.8</v>
      </c>
      <c r="F68" s="7">
        <f t="shared" si="34"/>
        <v>5.8</v>
      </c>
      <c r="G68" s="7">
        <f t="shared" si="34"/>
        <v>5.8</v>
      </c>
      <c r="H68" s="7">
        <f t="shared" si="34"/>
        <v>5.8</v>
      </c>
      <c r="I68" s="7">
        <f t="shared" si="34"/>
        <v>5.8</v>
      </c>
      <c r="J68" s="7">
        <f t="shared" si="34"/>
        <v>5.8</v>
      </c>
      <c r="K68" s="7">
        <f t="shared" si="34"/>
        <v>5.8</v>
      </c>
      <c r="L68" s="82">
        <f>C68-'coût TEND'!C68</f>
        <v>0</v>
      </c>
    </row>
    <row r="69" spans="1:12" ht="15.75" thickBot="1" x14ac:dyDescent="0.3">
      <c r="A69" s="109"/>
      <c r="B69" s="6" t="s">
        <v>19</v>
      </c>
      <c r="C69" s="7" t="str">
        <f>'coût TEND'!C69</f>
        <v>73,5%</v>
      </c>
      <c r="D69" s="70" t="str">
        <f t="shared" si="34"/>
        <v>73,5%</v>
      </c>
      <c r="E69" s="70" t="str">
        <f t="shared" si="34"/>
        <v>73,5%</v>
      </c>
      <c r="F69" s="70" t="str">
        <f t="shared" si="34"/>
        <v>73,5%</v>
      </c>
      <c r="G69" s="70" t="str">
        <f t="shared" si="34"/>
        <v>73,5%</v>
      </c>
      <c r="H69" s="70" t="str">
        <f t="shared" si="34"/>
        <v>73,5%</v>
      </c>
      <c r="I69" s="70" t="str">
        <f t="shared" si="34"/>
        <v>73,5%</v>
      </c>
      <c r="J69" s="7" t="str">
        <f t="shared" si="34"/>
        <v>73,5%</v>
      </c>
      <c r="K69" s="7" t="str">
        <f t="shared" si="34"/>
        <v>73,5%</v>
      </c>
      <c r="L69" s="82"/>
    </row>
    <row r="70" spans="1:12" ht="15.75" thickBot="1" x14ac:dyDescent="0.3">
      <c r="A70" s="109"/>
      <c r="B70" s="6" t="s">
        <v>21</v>
      </c>
      <c r="C70" s="7">
        <f>'coût TEND'!C70</f>
        <v>10</v>
      </c>
      <c r="D70" s="7">
        <f t="shared" si="34"/>
        <v>10</v>
      </c>
      <c r="E70" s="7">
        <f t="shared" si="34"/>
        <v>10</v>
      </c>
      <c r="F70" s="7">
        <f t="shared" si="34"/>
        <v>10</v>
      </c>
      <c r="G70" s="7">
        <f t="shared" si="34"/>
        <v>10</v>
      </c>
      <c r="H70" s="7">
        <f t="shared" si="34"/>
        <v>10</v>
      </c>
      <c r="I70" s="7">
        <f t="shared" si="34"/>
        <v>10</v>
      </c>
      <c r="J70" s="7">
        <f t="shared" si="34"/>
        <v>10</v>
      </c>
      <c r="K70" s="7">
        <f t="shared" si="34"/>
        <v>10</v>
      </c>
      <c r="L70" s="82">
        <f>C70-'coût TEND'!C70</f>
        <v>0</v>
      </c>
    </row>
    <row r="71" spans="1:12" ht="18.75" thickBot="1" x14ac:dyDescent="0.3">
      <c r="A71" s="31"/>
      <c r="B71" s="6" t="s">
        <v>47</v>
      </c>
      <c r="C71" s="7">
        <f>'coût TEND'!C71</f>
        <v>61.370000000000005</v>
      </c>
      <c r="D71" s="84">
        <f>[2]élec!F$74-$D$62</f>
        <v>61.4</v>
      </c>
      <c r="E71" s="84">
        <f>[2]élec!G$74-$D$62</f>
        <v>60.484999999999999</v>
      </c>
      <c r="F71" s="84">
        <f>[2]élec!H$74-$D$62</f>
        <v>59.574999999999996</v>
      </c>
      <c r="G71" s="84">
        <f>[2]élec!I$74-$D$62</f>
        <v>57.354999999999997</v>
      </c>
      <c r="H71" s="84">
        <f>[2]élec!J$74-$D$62</f>
        <v>36.534999999999997</v>
      </c>
      <c r="I71" s="84">
        <f>[2]élec!K$74-$D$62</f>
        <v>15.209999999999999</v>
      </c>
      <c r="J71" s="8">
        <f t="shared" si="34"/>
        <v>15.209999999999999</v>
      </c>
      <c r="K71" s="9">
        <f t="shared" si="34"/>
        <v>15.209999999999999</v>
      </c>
      <c r="L71" s="82">
        <f>C71-'coût TEND'!C71</f>
        <v>0</v>
      </c>
    </row>
    <row r="72" spans="1:12" ht="18.75" thickBot="1" x14ac:dyDescent="0.3">
      <c r="A72" s="31"/>
      <c r="B72" s="6" t="s">
        <v>50</v>
      </c>
      <c r="C72" s="7">
        <f>'coût TEND'!C72</f>
        <v>335.4</v>
      </c>
      <c r="D72" s="51">
        <f>[2]élec!F$56-$D$63</f>
        <v>380.8557477041287</v>
      </c>
      <c r="E72" s="51">
        <f>[2]élec!G$56-$D$63</f>
        <v>375.24496770412873</v>
      </c>
      <c r="F72" s="51">
        <f>[2]élec!H$56-$D$63</f>
        <v>369.66484770412865</v>
      </c>
      <c r="G72" s="51">
        <f>[2]élec!I$56-$D$63</f>
        <v>356.05180770412869</v>
      </c>
      <c r="H72" s="51">
        <f>[2]élec!J$56-$D$63</f>
        <v>228.38356770412872</v>
      </c>
      <c r="I72" s="51">
        <f>[2]élec!K$56-$D$63</f>
        <v>97.61866770412874</v>
      </c>
      <c r="J72" s="51">
        <f>[4]Production!J$172</f>
        <v>0</v>
      </c>
      <c r="K72" s="51">
        <f>[4]Production!K$172</f>
        <v>0</v>
      </c>
      <c r="L72" s="83">
        <f>C72-'coût TEND'!C72</f>
        <v>0</v>
      </c>
    </row>
    <row r="73" spans="1:12" ht="18.75" thickBot="1" x14ac:dyDescent="0.3">
      <c r="A73" s="31"/>
      <c r="B73" s="6" t="s">
        <v>49</v>
      </c>
      <c r="C73" s="7">
        <f>'coût TEND'!C73</f>
        <v>29.814181590011795</v>
      </c>
      <c r="D73" s="52">
        <f>(D67*D71*1000000)*1000/(D72*1000000000)+D68</f>
        <v>31.594543102528846</v>
      </c>
      <c r="E73" s="52">
        <f t="shared" ref="E73:H73" si="35">(E67*E71*1000000)*1000/(E72*1000000000)+E68</f>
        <v>31.590086031561512</v>
      </c>
      <c r="F73" s="52">
        <f t="shared" si="35"/>
        <v>31.585519124147819</v>
      </c>
      <c r="G73" s="52">
        <f t="shared" si="35"/>
        <v>31.573777302728153</v>
      </c>
      <c r="H73" s="52">
        <f t="shared" si="35"/>
        <v>31.395536748830299</v>
      </c>
      <c r="I73" s="52">
        <f>IF(I72&gt;0,(I67*I71*1000000)*1000/(I72*1000000000)+I68,0)</f>
        <v>30.729657997136055</v>
      </c>
      <c r="J73" s="8"/>
      <c r="K73" s="9"/>
      <c r="L73" s="82">
        <f>C73-'coût TEND'!C73</f>
        <v>0</v>
      </c>
    </row>
    <row r="74" spans="1:12" ht="27.75" thickBot="1" x14ac:dyDescent="0.3">
      <c r="A74" s="32"/>
      <c r="B74" s="6" t="s">
        <v>48</v>
      </c>
      <c r="C74" s="7">
        <f>'coût TEND'!C74</f>
        <v>8.119795150122739</v>
      </c>
      <c r="D74" s="51">
        <f>IF(D71&gt;0,((D66*D71*1000000)*1000/D70)/(D72*1000000000),0)</f>
        <v>8.7217798865425653</v>
      </c>
      <c r="E74" s="51">
        <f t="shared" ref="E74:H74" si="36">IF(E71&gt;0,((E66*E71*1000000)*1000/E70)/(E72*1000000000),0)</f>
        <v>8.7202728394217353</v>
      </c>
      <c r="F74" s="51">
        <f t="shared" si="36"/>
        <v>8.7187286538524802</v>
      </c>
      <c r="G74" s="51">
        <f t="shared" si="36"/>
        <v>8.7147584504849558</v>
      </c>
      <c r="H74" s="51">
        <f t="shared" si="36"/>
        <v>8.6544908631982445</v>
      </c>
      <c r="I74" s="51">
        <f>IF(I72&gt;0,((I66*I71*1000000)*1000/I70)/(I72*1000000000),0)</f>
        <v>8.4293406102816277</v>
      </c>
      <c r="J74" s="8"/>
      <c r="K74" s="9"/>
      <c r="L74" s="82">
        <f>C74-'coût TEND'!C74</f>
        <v>0</v>
      </c>
    </row>
    <row r="75" spans="1:12" ht="15.75" thickBot="1" x14ac:dyDescent="0.3">
      <c r="A75" s="123" t="s">
        <v>29</v>
      </c>
      <c r="B75" s="6" t="s">
        <v>16</v>
      </c>
      <c r="C75" s="7">
        <f>'coût TEND'!C75</f>
        <v>820</v>
      </c>
      <c r="D75" s="8">
        <v>795</v>
      </c>
      <c r="E75" s="7">
        <v>770</v>
      </c>
      <c r="F75" s="7">
        <v>760</v>
      </c>
      <c r="G75" s="7">
        <v>750</v>
      </c>
      <c r="H75" s="7">
        <v>750</v>
      </c>
      <c r="I75" s="7">
        <v>750</v>
      </c>
      <c r="J75" s="7">
        <v>750</v>
      </c>
      <c r="K75" s="10">
        <v>750</v>
      </c>
      <c r="L75" s="82">
        <f>C75-'coût TEND'!C75</f>
        <v>0</v>
      </c>
    </row>
    <row r="76" spans="1:12" ht="18.75" thickBot="1" x14ac:dyDescent="0.3">
      <c r="A76" s="124"/>
      <c r="B76" s="6" t="s">
        <v>30</v>
      </c>
      <c r="C76" s="7">
        <f>'coût TEND'!C76</f>
        <v>15</v>
      </c>
      <c r="D76" s="8">
        <v>15</v>
      </c>
      <c r="E76" s="8">
        <v>15</v>
      </c>
      <c r="F76" s="8">
        <v>15</v>
      </c>
      <c r="G76" s="8">
        <v>15</v>
      </c>
      <c r="H76" s="8">
        <v>15</v>
      </c>
      <c r="I76" s="8">
        <v>15</v>
      </c>
      <c r="J76" s="8">
        <v>15</v>
      </c>
      <c r="K76" s="9">
        <v>15</v>
      </c>
      <c r="L76" s="82">
        <f>C76-'coût TEND'!C76</f>
        <v>0</v>
      </c>
    </row>
    <row r="77" spans="1:12" ht="15.75" thickBot="1" x14ac:dyDescent="0.3">
      <c r="A77" s="124"/>
      <c r="B77" s="12" t="s">
        <v>31</v>
      </c>
      <c r="C77" s="7">
        <f>'coût TEND'!C77</f>
        <v>0.6</v>
      </c>
      <c r="D77" s="8">
        <v>0.6</v>
      </c>
      <c r="E77" s="8">
        <v>0.6</v>
      </c>
      <c r="F77" s="8">
        <v>0.6</v>
      </c>
      <c r="G77" s="8">
        <v>0.6</v>
      </c>
      <c r="H77" s="8">
        <v>0.6</v>
      </c>
      <c r="I77" s="8">
        <v>0.6</v>
      </c>
      <c r="J77" s="8">
        <v>0.6</v>
      </c>
      <c r="K77" s="9">
        <v>0.6</v>
      </c>
      <c r="L77" s="82">
        <f>C77-'coût TEND'!C77</f>
        <v>0</v>
      </c>
    </row>
    <row r="78" spans="1:12" ht="18.75" thickBot="1" x14ac:dyDescent="0.3">
      <c r="A78" s="124"/>
      <c r="B78" s="6" t="s">
        <v>3</v>
      </c>
      <c r="C78" s="7">
        <f>'coût TEND'!C78</f>
        <v>30</v>
      </c>
      <c r="D78" s="8">
        <v>30</v>
      </c>
      <c r="E78" s="7">
        <v>30</v>
      </c>
      <c r="F78" s="7">
        <v>30</v>
      </c>
      <c r="G78" s="7">
        <v>30</v>
      </c>
      <c r="H78" s="7">
        <v>30</v>
      </c>
      <c r="I78" s="7">
        <v>30</v>
      </c>
      <c r="J78" s="7">
        <v>30</v>
      </c>
      <c r="K78" s="10">
        <v>30</v>
      </c>
      <c r="L78" s="82">
        <f>C78-'coût TEND'!C78</f>
        <v>0</v>
      </c>
    </row>
    <row r="79" spans="1:12" ht="18.75" thickBot="1" x14ac:dyDescent="0.3">
      <c r="A79" s="31"/>
      <c r="B79" s="6" t="s">
        <v>47</v>
      </c>
      <c r="C79" s="7">
        <f>'coût TEND'!C79</f>
        <v>6.1640014823452782</v>
      </c>
      <c r="D79" s="51">
        <f>[4]Investissements!D$5</f>
        <v>6.1640005659265498</v>
      </c>
      <c r="E79" s="53">
        <v>6</v>
      </c>
      <c r="F79" s="53">
        <v>5</v>
      </c>
      <c r="G79" s="53">
        <v>4</v>
      </c>
      <c r="H79" s="53">
        <v>3</v>
      </c>
      <c r="I79" s="53">
        <v>1</v>
      </c>
      <c r="J79" s="8"/>
      <c r="K79" s="9"/>
      <c r="L79" s="82">
        <f>C79-'coût TEND'!C79</f>
        <v>0</v>
      </c>
    </row>
    <row r="80" spans="1:12" ht="18.75" thickBot="1" x14ac:dyDescent="0.3">
      <c r="A80" s="31"/>
      <c r="B80" s="6" t="s">
        <v>50</v>
      </c>
      <c r="C80" s="7">
        <f>'coût TEND'!C80</f>
        <v>24.904679182551273</v>
      </c>
      <c r="D80" s="52">
        <f>'[3]Cibles ThreeME v2 AMS'!$N$7</f>
        <v>26.434633696901958</v>
      </c>
      <c r="E80" s="52">
        <f>'[3]Cibles ThreeME v2 AMS'!$S$7</f>
        <v>23.012014275261006</v>
      </c>
      <c r="F80" s="52">
        <f>'[3]Cibles ThreeME v2 AMS'!$X$7</f>
        <v>17.076239626292423</v>
      </c>
      <c r="G80" s="52">
        <f>'[3]Cibles ThreeME v2 AMS'!$AC$7</f>
        <v>1.9497760583305019</v>
      </c>
      <c r="H80" s="52">
        <f>'[3]Cibles ThreeME v2 AMS'!$AH$7</f>
        <v>2.6500221012566496</v>
      </c>
      <c r="I80" s="52">
        <f>'[3]Cibles ThreeME v2 AMS'!$AM$7</f>
        <v>3.1772529313232827</v>
      </c>
      <c r="J80" s="8"/>
      <c r="K80" s="9"/>
      <c r="L80" s="82">
        <f>C80-'coût TEND'!C80</f>
        <v>0</v>
      </c>
    </row>
    <row r="81" spans="1:12" ht="18.75" thickBot="1" x14ac:dyDescent="0.3">
      <c r="A81" s="31"/>
      <c r="B81" s="6" t="s">
        <v>49</v>
      </c>
      <c r="C81" s="7">
        <f>'coût TEND'!C81</f>
        <v>121.56552503821848</v>
      </c>
      <c r="D81" s="52">
        <f t="shared" ref="D81:I81" si="37">(D76*D79*1000000)*1000/(D80*1000000000)</f>
        <v>3.4976844978840851</v>
      </c>
      <c r="E81" s="52">
        <f t="shared" si="37"/>
        <v>3.9110005288304648</v>
      </c>
      <c r="F81" s="52">
        <f t="shared" si="37"/>
        <v>4.3920676707137503</v>
      </c>
      <c r="G81" s="52">
        <f t="shared" si="37"/>
        <v>30.772764771445122</v>
      </c>
      <c r="H81" s="52">
        <f t="shared" si="37"/>
        <v>16.980990452366736</v>
      </c>
      <c r="I81" s="52">
        <f t="shared" si="37"/>
        <v>4.7210594574076614</v>
      </c>
      <c r="J81" s="8"/>
      <c r="K81" s="9"/>
      <c r="L81" s="82">
        <f>C81-'coût TEND'!C81</f>
        <v>0</v>
      </c>
    </row>
    <row r="82" spans="1:12" ht="27.75" thickBot="1" x14ac:dyDescent="0.3">
      <c r="A82" s="32"/>
      <c r="B82" s="6" t="s">
        <v>48</v>
      </c>
      <c r="C82" s="7">
        <f>'coût TEND'!C82</f>
        <v>221.51940118075376</v>
      </c>
      <c r="D82" s="51">
        <f t="shared" ref="D82:I82" si="38">((D75*D79*1000000)*1000/D78)/(D80*1000000000)</f>
        <v>6.17924261292855</v>
      </c>
      <c r="E82" s="51">
        <f t="shared" si="38"/>
        <v>6.6921564604432398</v>
      </c>
      <c r="F82" s="51">
        <f t="shared" si="38"/>
        <v>7.4177142883165557</v>
      </c>
      <c r="G82" s="51">
        <f t="shared" si="38"/>
        <v>51.287941285741866</v>
      </c>
      <c r="H82" s="51">
        <f t="shared" si="38"/>
        <v>28.301650753944561</v>
      </c>
      <c r="I82" s="51">
        <f t="shared" si="38"/>
        <v>7.8684324290127696</v>
      </c>
      <c r="J82" s="8"/>
      <c r="K82" s="9"/>
      <c r="L82" s="82">
        <f>C82-'coût TEND'!C82</f>
        <v>0</v>
      </c>
    </row>
    <row r="83" spans="1:12" ht="15.75" thickBot="1" x14ac:dyDescent="0.3">
      <c r="A83" s="123" t="s">
        <v>32</v>
      </c>
      <c r="B83" s="6" t="s">
        <v>16</v>
      </c>
      <c r="C83" s="7">
        <f>'coût TEND'!C83</f>
        <v>221.51940118075376</v>
      </c>
      <c r="D83" s="8">
        <v>750</v>
      </c>
      <c r="E83" s="8">
        <v>700</v>
      </c>
      <c r="F83" s="8">
        <v>675</v>
      </c>
      <c r="G83" s="8">
        <v>650</v>
      </c>
      <c r="H83" s="8">
        <v>625</v>
      </c>
      <c r="I83" s="8">
        <v>600</v>
      </c>
      <c r="J83" s="8">
        <v>600</v>
      </c>
      <c r="K83" s="9">
        <v>600</v>
      </c>
      <c r="L83" s="82">
        <f>C83-'coût TEND'!C83</f>
        <v>0</v>
      </c>
    </row>
    <row r="84" spans="1:12" ht="18.75" thickBot="1" x14ac:dyDescent="0.3">
      <c r="A84" s="124"/>
      <c r="B84" s="6" t="s">
        <v>30</v>
      </c>
      <c r="C84" s="7">
        <f>'coût TEND'!C84</f>
        <v>221.51940118075376</v>
      </c>
      <c r="D84" s="8">
        <v>15</v>
      </c>
      <c r="E84" s="8">
        <v>15</v>
      </c>
      <c r="F84" s="8">
        <v>15</v>
      </c>
      <c r="G84" s="8">
        <v>15</v>
      </c>
      <c r="H84" s="8">
        <v>15</v>
      </c>
      <c r="I84" s="8">
        <v>15</v>
      </c>
      <c r="J84" s="8">
        <v>15</v>
      </c>
      <c r="K84" s="9">
        <v>15</v>
      </c>
      <c r="L84" s="82">
        <f>C84-'coût TEND'!C84</f>
        <v>0</v>
      </c>
    </row>
    <row r="85" spans="1:12" ht="15.75" thickBot="1" x14ac:dyDescent="0.3">
      <c r="A85" s="124"/>
      <c r="B85" s="6" t="s">
        <v>33</v>
      </c>
      <c r="C85" s="7">
        <f>'coût TEND'!C85</f>
        <v>221.51940118075376</v>
      </c>
      <c r="D85" s="8">
        <v>0.42</v>
      </c>
      <c r="E85" s="7">
        <v>0.42</v>
      </c>
      <c r="F85" s="7">
        <v>0.42</v>
      </c>
      <c r="G85" s="7">
        <v>0.42</v>
      </c>
      <c r="H85" s="7">
        <v>0.42</v>
      </c>
      <c r="I85" s="7">
        <v>0.42</v>
      </c>
      <c r="J85" s="7">
        <v>0.42</v>
      </c>
      <c r="K85" s="10">
        <v>0.42</v>
      </c>
      <c r="L85" s="82">
        <f>C85-'coût TEND'!C85</f>
        <v>0</v>
      </c>
    </row>
    <row r="86" spans="1:12" ht="18.75" thickBot="1" x14ac:dyDescent="0.3">
      <c r="A86" s="124"/>
      <c r="B86" s="6" t="s">
        <v>3</v>
      </c>
      <c r="C86" s="7">
        <f>'coût TEND'!C86</f>
        <v>221.51940118075376</v>
      </c>
      <c r="D86" s="8">
        <v>25</v>
      </c>
      <c r="E86" s="8">
        <v>25</v>
      </c>
      <c r="F86" s="8">
        <v>25</v>
      </c>
      <c r="G86" s="8">
        <v>25</v>
      </c>
      <c r="H86" s="8">
        <v>25</v>
      </c>
      <c r="I86" s="8">
        <v>25</v>
      </c>
      <c r="J86" s="8">
        <v>25</v>
      </c>
      <c r="K86" s="9">
        <v>25</v>
      </c>
      <c r="L86" s="82">
        <f>C86-'coût TEND'!C86</f>
        <v>0</v>
      </c>
    </row>
    <row r="87" spans="1:12" ht="18.75" thickBot="1" x14ac:dyDescent="0.3">
      <c r="A87" s="31"/>
      <c r="B87" s="6" t="s">
        <v>47</v>
      </c>
      <c r="C87" s="7">
        <f>'coût TEND'!C87</f>
        <v>221.51940118075376</v>
      </c>
      <c r="D87" s="52">
        <f>[4]Investissements!$C$6</f>
        <v>1.8500001452782728</v>
      </c>
      <c r="E87" s="52">
        <f>[4]Investissements!$C$6</f>
        <v>1.8500001452782728</v>
      </c>
      <c r="F87" s="52">
        <f>[4]Investissements!$C$6</f>
        <v>1.8500001452782728</v>
      </c>
      <c r="G87" s="52">
        <f>[4]Investissements!$C$6</f>
        <v>1.8500001452782728</v>
      </c>
      <c r="H87" s="52">
        <f>[4]Investissements!$C$6</f>
        <v>1.8500001452782728</v>
      </c>
      <c r="I87" s="52">
        <f>[4]Investissements!$C$6</f>
        <v>1.8500001452782728</v>
      </c>
      <c r="J87" s="8">
        <f>[4]Investissements!$C$6</f>
        <v>1.8500001452782728</v>
      </c>
      <c r="K87" s="8">
        <f>[4]Investissements!$C$6</f>
        <v>1.8500001452782728</v>
      </c>
      <c r="L87" s="82">
        <f>C87-'coût TEND'!C87</f>
        <v>0</v>
      </c>
    </row>
    <row r="88" spans="1:12" ht="18.75" thickBot="1" x14ac:dyDescent="0.3">
      <c r="A88" s="31"/>
      <c r="B88" s="6" t="s">
        <v>50</v>
      </c>
      <c r="C88" s="7">
        <f>'coût TEND'!C88</f>
        <v>221.51940118075376</v>
      </c>
      <c r="D88" s="52">
        <f>[4]Production!D$6</f>
        <v>4.9720475149880108E-3</v>
      </c>
      <c r="E88" s="52">
        <f>[4]Production!E$6</f>
        <v>1.2858088192232258E-2</v>
      </c>
      <c r="F88" s="52">
        <f>[4]Production!F$6</f>
        <v>1.5238144340667708E-2</v>
      </c>
      <c r="G88" s="52">
        <f>[4]Production!G$6</f>
        <v>1.2088206144485428E-2</v>
      </c>
      <c r="H88" s="52">
        <f>[4]Production!H$6</f>
        <v>3.6956358810318495E-2</v>
      </c>
      <c r="I88" s="52">
        <f>[4]Production!I$6</f>
        <v>5.1156976572074533E-2</v>
      </c>
      <c r="J88" s="8"/>
      <c r="K88" s="9"/>
      <c r="L88" s="82">
        <f>C88-'coût TEND'!C88</f>
        <v>0</v>
      </c>
    </row>
    <row r="89" spans="1:12" ht="18.75" thickBot="1" x14ac:dyDescent="0.3">
      <c r="A89" s="31"/>
      <c r="B89" s="6" t="s">
        <v>49</v>
      </c>
      <c r="C89" s="7">
        <f>'coût TEND'!C89</f>
        <v>221.51940118075376</v>
      </c>
      <c r="D89" s="52">
        <f t="shared" ref="D89:I89" si="39">(D84*D87*1000000)*1000/(D88*1000000000)</f>
        <v>5581.2021296101802</v>
      </c>
      <c r="E89" s="52">
        <f t="shared" si="39"/>
        <v>2158.1748207278774</v>
      </c>
      <c r="F89" s="52">
        <f t="shared" si="39"/>
        <v>1821.0880248137967</v>
      </c>
      <c r="G89" s="52">
        <f t="shared" si="39"/>
        <v>2295.6261539131256</v>
      </c>
      <c r="H89" s="52">
        <f t="shared" si="39"/>
        <v>750.88572230839156</v>
      </c>
      <c r="I89" s="52">
        <f t="shared" si="39"/>
        <v>542.44804987795555</v>
      </c>
      <c r="J89" s="8"/>
      <c r="K89" s="9"/>
      <c r="L89" s="82">
        <f>C89-'coût TEND'!C89</f>
        <v>0</v>
      </c>
    </row>
    <row r="90" spans="1:12" ht="27.75" thickBot="1" x14ac:dyDescent="0.3">
      <c r="A90" s="32"/>
      <c r="B90" s="6" t="s">
        <v>48</v>
      </c>
      <c r="C90" s="7">
        <f>'coût TEND'!C90</f>
        <v>221.51940118075376</v>
      </c>
      <c r="D90" s="51">
        <f t="shared" ref="D90:I90" si="40">((D83*D87*1000000)*1000/D86)/(D88*1000000000)</f>
        <v>11162.40425922036</v>
      </c>
      <c r="E90" s="51">
        <f t="shared" si="40"/>
        <v>4028.5929986920382</v>
      </c>
      <c r="F90" s="51">
        <f t="shared" si="40"/>
        <v>3277.9584446648341</v>
      </c>
      <c r="G90" s="51">
        <f t="shared" si="40"/>
        <v>3979.0853334494182</v>
      </c>
      <c r="H90" s="51">
        <f t="shared" si="40"/>
        <v>1251.4762038473195</v>
      </c>
      <c r="I90" s="51">
        <f t="shared" si="40"/>
        <v>867.91687980472921</v>
      </c>
      <c r="J90" s="8"/>
      <c r="K90" s="9"/>
      <c r="L90" s="82">
        <f>C90-'coût TEND'!C90</f>
        <v>0</v>
      </c>
    </row>
    <row r="91" spans="1:12" ht="15.75" thickBot="1" x14ac:dyDescent="0.3">
      <c r="A91" s="123" t="s">
        <v>67</v>
      </c>
      <c r="B91" s="6" t="s">
        <v>16</v>
      </c>
      <c r="C91" s="7"/>
      <c r="D91" s="8"/>
      <c r="E91" s="7"/>
      <c r="F91" s="7"/>
      <c r="G91" s="7"/>
      <c r="H91" s="7"/>
      <c r="I91" s="7"/>
      <c r="J91" s="7"/>
      <c r="K91" s="10"/>
      <c r="L91" s="82">
        <f>C91-'coût TEND'!C91</f>
        <v>0</v>
      </c>
    </row>
    <row r="92" spans="1:12" ht="18.75" thickBot="1" x14ac:dyDescent="0.3">
      <c r="A92" s="124"/>
      <c r="B92" s="6" t="s">
        <v>30</v>
      </c>
      <c r="C92" s="8"/>
      <c r="D92" s="8"/>
      <c r="E92" s="8"/>
      <c r="F92" s="8"/>
      <c r="G92" s="8"/>
      <c r="H92" s="8"/>
      <c r="I92" s="8"/>
      <c r="J92" s="8"/>
      <c r="K92" s="9"/>
      <c r="L92" s="82">
        <f>C92-'coût TEND'!C92</f>
        <v>0</v>
      </c>
    </row>
    <row r="93" spans="1:12" ht="15.75" thickBot="1" x14ac:dyDescent="0.3">
      <c r="A93" s="124"/>
      <c r="B93" s="12" t="s">
        <v>31</v>
      </c>
      <c r="C93" s="8"/>
      <c r="D93" s="8"/>
      <c r="E93" s="8"/>
      <c r="F93" s="8"/>
      <c r="G93" s="8"/>
      <c r="H93" s="8"/>
      <c r="I93" s="8"/>
      <c r="J93" s="8"/>
      <c r="K93" s="9"/>
      <c r="L93" s="82">
        <f>C93-'coût TEND'!C93</f>
        <v>0</v>
      </c>
    </row>
    <row r="94" spans="1:12" ht="18.75" thickBot="1" x14ac:dyDescent="0.3">
      <c r="A94" s="124"/>
      <c r="B94" s="6" t="s">
        <v>3</v>
      </c>
      <c r="C94" s="7"/>
      <c r="D94" s="8"/>
      <c r="E94" s="7"/>
      <c r="F94" s="7"/>
      <c r="G94" s="7"/>
      <c r="H94" s="7"/>
      <c r="I94" s="7"/>
      <c r="J94" s="7"/>
      <c r="K94" s="10"/>
      <c r="L94" s="82">
        <f>C94-'coût TEND'!C94</f>
        <v>0</v>
      </c>
    </row>
    <row r="95" spans="1:12" ht="18.75" thickBot="1" x14ac:dyDescent="0.3">
      <c r="A95" s="31"/>
      <c r="B95" s="6" t="s">
        <v>47</v>
      </c>
      <c r="C95" s="8">
        <f>[4]Investissements!C$15</f>
        <v>0.48361560000000559</v>
      </c>
      <c r="D95" s="8">
        <f>[4]Investissements!D$15</f>
        <v>0.48361560000000559</v>
      </c>
      <c r="E95" s="8">
        <f>[4]Investissements!E$15</f>
        <v>0.48361560000000559</v>
      </c>
      <c r="F95" s="8">
        <f>[4]Investissements!F$15</f>
        <v>0.48361560000000559</v>
      </c>
      <c r="G95" s="8">
        <f>[4]Investissements!G$15</f>
        <v>0.48361560000000559</v>
      </c>
      <c r="H95" s="8">
        <f>[4]Investissements!H$15</f>
        <v>0.48361560000000559</v>
      </c>
      <c r="I95" s="8">
        <f>[4]Investissements!I$15</f>
        <v>0.48361560000000559</v>
      </c>
      <c r="J95" s="8">
        <f>[4]Investissements!J$15</f>
        <v>0.48361560000000559</v>
      </c>
      <c r="K95" s="8">
        <f>[4]Investissements!K$15</f>
        <v>0.48361560000000559</v>
      </c>
      <c r="L95" s="82">
        <f>C95-'coût TEND'!C95</f>
        <v>0</v>
      </c>
    </row>
    <row r="96" spans="1:12" ht="18.75" thickBot="1" x14ac:dyDescent="0.3">
      <c r="A96" s="31"/>
      <c r="B96" s="6" t="s">
        <v>50</v>
      </c>
      <c r="C96" s="8">
        <f>[4]Production!C$15</f>
        <v>2.3799584888399989</v>
      </c>
      <c r="D96" s="8">
        <f>[4]Production!D$15</f>
        <v>2.3799584888399989</v>
      </c>
      <c r="E96" s="8">
        <f>[4]Production!E$15</f>
        <v>2.3799584888399989</v>
      </c>
      <c r="F96" s="8">
        <f>[4]Production!F$15</f>
        <v>2.3799584888399989</v>
      </c>
      <c r="G96" s="8">
        <f>[4]Production!G$15</f>
        <v>2.3799584888399989</v>
      </c>
      <c r="H96" s="8">
        <f>[4]Production!H$15</f>
        <v>2.3799584888399989</v>
      </c>
      <c r="I96" s="8">
        <f>[4]Production!I$15</f>
        <v>2.3799584888399989</v>
      </c>
      <c r="J96" s="8"/>
      <c r="K96" s="9"/>
      <c r="L96" s="82">
        <f>C96-'coût TEND'!C96</f>
        <v>0</v>
      </c>
    </row>
    <row r="97" spans="1:12" ht="18.75" thickBot="1" x14ac:dyDescent="0.3">
      <c r="A97" s="31"/>
      <c r="B97" s="6" t="s">
        <v>49</v>
      </c>
      <c r="C97" s="8"/>
      <c r="D97" s="8"/>
      <c r="E97" s="8"/>
      <c r="F97" s="8"/>
      <c r="G97" s="8"/>
      <c r="H97" s="8"/>
      <c r="I97" s="8"/>
      <c r="J97" s="8"/>
      <c r="K97" s="9"/>
      <c r="L97" s="82">
        <f>C97-'coût TEND'!C97</f>
        <v>0</v>
      </c>
    </row>
    <row r="98" spans="1:12" ht="27.75" thickBot="1" x14ac:dyDescent="0.3">
      <c r="A98" s="32"/>
      <c r="B98" s="6" t="s">
        <v>48</v>
      </c>
      <c r="C98" s="8"/>
      <c r="D98" s="8"/>
      <c r="E98" s="8"/>
      <c r="F98" s="8"/>
      <c r="G98" s="8"/>
      <c r="H98" s="8"/>
      <c r="I98" s="8"/>
      <c r="J98" s="8"/>
      <c r="K98" s="9"/>
      <c r="L98" s="82">
        <f>C98-'coût TEND'!C98</f>
        <v>0</v>
      </c>
    </row>
    <row r="99" spans="1:12" ht="15.75" thickBot="1" x14ac:dyDescent="0.3">
      <c r="A99" s="123" t="s">
        <v>68</v>
      </c>
      <c r="B99" s="6" t="s">
        <v>16</v>
      </c>
      <c r="C99" s="8"/>
      <c r="D99" s="8"/>
      <c r="E99" s="8"/>
      <c r="F99" s="8"/>
      <c r="G99" s="8"/>
      <c r="H99" s="8"/>
      <c r="I99" s="8"/>
      <c r="J99" s="8"/>
      <c r="K99" s="9"/>
      <c r="L99" s="82">
        <f>C99-'coût TEND'!C99</f>
        <v>0</v>
      </c>
    </row>
    <row r="100" spans="1:12" ht="18.75" thickBot="1" x14ac:dyDescent="0.3">
      <c r="A100" s="124"/>
      <c r="B100" s="6" t="s">
        <v>30</v>
      </c>
      <c r="C100" s="8"/>
      <c r="D100" s="8"/>
      <c r="E100" s="8"/>
      <c r="F100" s="8"/>
      <c r="G100" s="8"/>
      <c r="H100" s="8"/>
      <c r="I100" s="8"/>
      <c r="J100" s="8"/>
      <c r="K100" s="9"/>
      <c r="L100" s="82">
        <f>C100-'coût TEND'!C100</f>
        <v>0</v>
      </c>
    </row>
    <row r="101" spans="1:12" ht="15.75" thickBot="1" x14ac:dyDescent="0.3">
      <c r="A101" s="124"/>
      <c r="B101" s="6" t="s">
        <v>33</v>
      </c>
      <c r="C101" s="7"/>
      <c r="D101" s="8"/>
      <c r="E101" s="7"/>
      <c r="F101" s="7"/>
      <c r="G101" s="7"/>
      <c r="H101" s="7"/>
      <c r="I101" s="7"/>
      <c r="J101" s="7"/>
      <c r="K101" s="10"/>
      <c r="L101" s="82">
        <f>C101-'coût TEND'!C101</f>
        <v>0</v>
      </c>
    </row>
    <row r="102" spans="1:12" ht="18.75" thickBot="1" x14ac:dyDescent="0.3">
      <c r="A102" s="124"/>
      <c r="B102" s="6" t="s">
        <v>3</v>
      </c>
      <c r="C102" s="8"/>
      <c r="D102" s="8"/>
      <c r="E102" s="8"/>
      <c r="F102" s="8"/>
      <c r="G102" s="8"/>
      <c r="H102" s="8"/>
      <c r="I102" s="8"/>
      <c r="J102" s="8"/>
      <c r="K102" s="9"/>
      <c r="L102" s="82">
        <f>C102-'coût TEND'!C102</f>
        <v>0</v>
      </c>
    </row>
    <row r="103" spans="1:12" ht="18.75" thickBot="1" x14ac:dyDescent="0.3">
      <c r="A103" s="31"/>
      <c r="B103" s="6" t="s">
        <v>47</v>
      </c>
      <c r="C103" s="8">
        <f>[4]Investissements!C$16</f>
        <v>0.65390400000002646</v>
      </c>
      <c r="D103" s="8">
        <f>[4]Investissements!D$16</f>
        <v>0.80000000000005866</v>
      </c>
      <c r="E103" s="8">
        <f>[4]Investissements!E$16</f>
        <v>0.80000000000005866</v>
      </c>
      <c r="F103" s="8">
        <f>[4]Investissements!F$16</f>
        <v>0.80000000000005866</v>
      </c>
      <c r="G103" s="8">
        <f>[4]Investissements!G$16</f>
        <v>0.80000000000005866</v>
      </c>
      <c r="H103" s="8">
        <f>[4]Investissements!H$16</f>
        <v>0.80000000000005866</v>
      </c>
      <c r="I103" s="8">
        <f>[4]Investissements!I$16</f>
        <v>0.80000000000005866</v>
      </c>
      <c r="J103" s="8"/>
      <c r="K103" s="9"/>
      <c r="L103" s="82">
        <f>C103-'coût TEND'!C103</f>
        <v>0</v>
      </c>
    </row>
    <row r="104" spans="1:12" ht="18.75" thickBot="1" x14ac:dyDescent="0.3">
      <c r="A104" s="31"/>
      <c r="B104" s="6" t="s">
        <v>50</v>
      </c>
      <c r="C104" s="8">
        <f>[4]Production!C$16</f>
        <v>1.6037893462559989</v>
      </c>
      <c r="D104" s="8">
        <f>[4]Production!D$16</f>
        <v>1.9621097277623976</v>
      </c>
      <c r="E104" s="8">
        <f>[4]Production!E$16</f>
        <v>1.9621097277623976</v>
      </c>
      <c r="F104" s="8">
        <f>[4]Production!F$16</f>
        <v>1.9621097277623976</v>
      </c>
      <c r="G104" s="8">
        <f>[4]Production!G$16</f>
        <v>1.9621097277623976</v>
      </c>
      <c r="H104" s="8">
        <f>[4]Production!H$16</f>
        <v>1.9621097277623976</v>
      </c>
      <c r="I104" s="8">
        <f>[4]Production!I$16</f>
        <v>1.9621097277623976</v>
      </c>
      <c r="J104" s="8"/>
      <c r="K104" s="9"/>
      <c r="L104" s="82">
        <f>C104-'coût TEND'!C104</f>
        <v>0</v>
      </c>
    </row>
    <row r="105" spans="1:12" ht="18.75" thickBot="1" x14ac:dyDescent="0.3">
      <c r="A105" s="31"/>
      <c r="B105" s="6" t="s">
        <v>49</v>
      </c>
      <c r="C105" s="8"/>
      <c r="D105" s="8"/>
      <c r="E105" s="8"/>
      <c r="F105" s="8"/>
      <c r="G105" s="8"/>
      <c r="H105" s="8"/>
      <c r="I105" s="8"/>
      <c r="J105" s="8"/>
      <c r="K105" s="9"/>
      <c r="L105" s="82">
        <f>C105-'coût TEND'!C105</f>
        <v>0</v>
      </c>
    </row>
    <row r="106" spans="1:12" ht="27.75" thickBot="1" x14ac:dyDescent="0.3">
      <c r="A106" s="32"/>
      <c r="B106" s="6" t="s">
        <v>48</v>
      </c>
      <c r="C106" s="8"/>
      <c r="D106" s="8"/>
      <c r="E106" s="8"/>
      <c r="F106" s="8"/>
      <c r="G106" s="8"/>
      <c r="H106" s="8"/>
      <c r="I106" s="8"/>
      <c r="J106" s="8"/>
      <c r="K106" s="9"/>
      <c r="L106" s="82">
        <f>C106-'coût TEND'!C106</f>
        <v>0</v>
      </c>
    </row>
    <row r="107" spans="1:12" ht="15.75" thickBot="1" x14ac:dyDescent="0.3">
      <c r="A107" s="123"/>
      <c r="B107" s="6" t="s">
        <v>16</v>
      </c>
      <c r="C107" s="8"/>
      <c r="D107" s="8"/>
      <c r="E107" s="8"/>
      <c r="F107" s="8"/>
      <c r="G107" s="8"/>
      <c r="H107" s="8"/>
      <c r="I107" s="8"/>
      <c r="J107" s="8"/>
      <c r="K107" s="9"/>
      <c r="L107" s="82">
        <f>C107-'coût TEND'!C107</f>
        <v>0</v>
      </c>
    </row>
    <row r="108" spans="1:12" ht="18.75" thickBot="1" x14ac:dyDescent="0.3">
      <c r="A108" s="124"/>
      <c r="B108" s="6" t="s">
        <v>30</v>
      </c>
      <c r="C108" s="8"/>
      <c r="D108" s="8"/>
      <c r="E108" s="8"/>
      <c r="F108" s="8"/>
      <c r="G108" s="8"/>
      <c r="H108" s="8"/>
      <c r="I108" s="8"/>
      <c r="J108" s="8"/>
      <c r="K108" s="9"/>
      <c r="L108" s="82">
        <f>C108-'coût TEND'!C108</f>
        <v>0</v>
      </c>
    </row>
    <row r="109" spans="1:12" ht="15.75" thickBot="1" x14ac:dyDescent="0.3">
      <c r="A109" s="124"/>
      <c r="B109" s="6" t="s">
        <v>33</v>
      </c>
      <c r="C109" s="7"/>
      <c r="D109" s="8"/>
      <c r="E109" s="7"/>
      <c r="F109" s="7"/>
      <c r="G109" s="7"/>
      <c r="H109" s="7"/>
      <c r="I109" s="7"/>
      <c r="J109" s="7"/>
      <c r="K109" s="10"/>
      <c r="L109" s="82">
        <f>C109-'coût TEND'!C109</f>
        <v>0</v>
      </c>
    </row>
    <row r="110" spans="1:12" ht="18.75" thickBot="1" x14ac:dyDescent="0.3">
      <c r="A110" s="124"/>
      <c r="B110" s="6" t="s">
        <v>3</v>
      </c>
      <c r="C110" s="8"/>
      <c r="D110" s="8"/>
      <c r="E110" s="8"/>
      <c r="F110" s="8"/>
      <c r="G110" s="8"/>
      <c r="H110" s="8"/>
      <c r="I110" s="8"/>
      <c r="J110" s="8"/>
      <c r="K110" s="9"/>
      <c r="L110" s="82">
        <f>C110-'coût TEND'!C110</f>
        <v>0</v>
      </c>
    </row>
    <row r="111" spans="1:12" ht="60.75" thickBot="1" x14ac:dyDescent="0.3">
      <c r="A111" s="31" t="s">
        <v>70</v>
      </c>
      <c r="B111" s="6" t="s">
        <v>47</v>
      </c>
      <c r="C111" s="8">
        <f>[4]Investissements!C$14</f>
        <v>0.24000000000000002</v>
      </c>
      <c r="D111" s="8">
        <f>[4]Investissements!D$14</f>
        <v>0.24000000000000002</v>
      </c>
      <c r="E111" s="8">
        <f>[4]Investissements!E$14</f>
        <v>0.24000000000000002</v>
      </c>
      <c r="F111" s="8">
        <f>[4]Investissements!F$14</f>
        <v>0.24000000000000002</v>
      </c>
      <c r="G111" s="8">
        <f>[4]Investissements!G$14</f>
        <v>0.24000000000000002</v>
      </c>
      <c r="H111" s="8">
        <f>[4]Investissements!H$14</f>
        <v>0.24000000000000002</v>
      </c>
      <c r="I111" s="8">
        <f>[4]Investissements!I$14</f>
        <v>0.24000000000000002</v>
      </c>
      <c r="J111" s="8"/>
      <c r="K111" s="9"/>
      <c r="L111" s="82">
        <f>C111-'coût TEND'!C111</f>
        <v>0.24000000000000002</v>
      </c>
    </row>
    <row r="112" spans="1:12" ht="18.75" thickBot="1" x14ac:dyDescent="0.3">
      <c r="A112" s="31"/>
      <c r="B112" s="6" t="s">
        <v>50</v>
      </c>
      <c r="C112" s="8">
        <f>[4]Production!C$14</f>
        <v>0.46126655999999999</v>
      </c>
      <c r="D112" s="8">
        <f>[4]Production!D$14</f>
        <v>0.46126655999999999</v>
      </c>
      <c r="E112" s="8">
        <f>[4]Production!E$14</f>
        <v>0.46126655999999999</v>
      </c>
      <c r="F112" s="8">
        <f>[4]Production!F$14</f>
        <v>0.46126655999999999</v>
      </c>
      <c r="G112" s="8">
        <f>[4]Production!G$14</f>
        <v>0.46126655999999999</v>
      </c>
      <c r="H112" s="8">
        <f>[4]Production!H$14</f>
        <v>0.46126655999999999</v>
      </c>
      <c r="I112" s="8">
        <f>[4]Production!I$14</f>
        <v>0.46126655999999999</v>
      </c>
      <c r="J112" s="8"/>
      <c r="K112" s="9"/>
      <c r="L112" s="82">
        <f>C112-'coût TEND'!C112</f>
        <v>0.46126655999999999</v>
      </c>
    </row>
    <row r="113" spans="1:12" ht="18.75" thickBot="1" x14ac:dyDescent="0.3">
      <c r="A113" s="31"/>
      <c r="B113" s="6" t="s">
        <v>49</v>
      </c>
      <c r="C113" s="8"/>
      <c r="D113" s="8"/>
      <c r="E113" s="8"/>
      <c r="F113" s="8"/>
      <c r="G113" s="8"/>
      <c r="H113" s="8"/>
      <c r="I113" s="8"/>
      <c r="J113" s="8"/>
      <c r="K113" s="9"/>
      <c r="L113" s="82">
        <f>C113-'coût TEND'!C113</f>
        <v>0</v>
      </c>
    </row>
    <row r="114" spans="1:12" ht="27.75" thickBot="1" x14ac:dyDescent="0.3">
      <c r="A114" s="32"/>
      <c r="B114" s="6" t="s">
        <v>48</v>
      </c>
      <c r="C114" s="8"/>
      <c r="D114" s="8"/>
      <c r="E114" s="8"/>
      <c r="F114" s="8"/>
      <c r="G114" s="8"/>
      <c r="H114" s="8"/>
      <c r="I114" s="8"/>
      <c r="J114" s="8"/>
      <c r="K114" s="9"/>
      <c r="L114" s="82">
        <f>C114-'coût TEND'!C114</f>
        <v>0</v>
      </c>
    </row>
    <row r="115" spans="1:12" ht="15.75" thickBot="1" x14ac:dyDescent="0.3">
      <c r="A115" s="123"/>
      <c r="B115" s="6" t="s">
        <v>16</v>
      </c>
      <c r="C115" s="8"/>
      <c r="D115" s="8"/>
      <c r="E115" s="8"/>
      <c r="F115" s="8"/>
      <c r="G115" s="8"/>
      <c r="H115" s="8"/>
      <c r="I115" s="8"/>
      <c r="J115" s="8"/>
      <c r="K115" s="9"/>
      <c r="L115" s="82">
        <f>C115-'coût TEND'!C115</f>
        <v>0</v>
      </c>
    </row>
    <row r="116" spans="1:12" ht="18.75" thickBot="1" x14ac:dyDescent="0.3">
      <c r="A116" s="124"/>
      <c r="B116" s="6" t="s">
        <v>30</v>
      </c>
      <c r="C116" s="8"/>
      <c r="D116" s="8"/>
      <c r="E116" s="8"/>
      <c r="F116" s="8"/>
      <c r="G116" s="8"/>
      <c r="H116" s="8"/>
      <c r="I116" s="8"/>
      <c r="J116" s="8"/>
      <c r="K116" s="9"/>
      <c r="L116" s="82">
        <f>C116-'coût TEND'!C116</f>
        <v>0</v>
      </c>
    </row>
    <row r="117" spans="1:12" ht="15.75" thickBot="1" x14ac:dyDescent="0.3">
      <c r="A117" s="124"/>
      <c r="B117" s="6" t="s">
        <v>33</v>
      </c>
      <c r="C117" s="7"/>
      <c r="D117" s="8"/>
      <c r="E117" s="7"/>
      <c r="F117" s="7"/>
      <c r="G117" s="7"/>
      <c r="H117" s="7"/>
      <c r="I117" s="7"/>
      <c r="J117" s="7"/>
      <c r="K117" s="10"/>
      <c r="L117" s="82">
        <f>C117-'coût TEND'!C117</f>
        <v>0</v>
      </c>
    </row>
    <row r="118" spans="1:12" ht="18.75" thickBot="1" x14ac:dyDescent="0.3">
      <c r="A118" s="124"/>
      <c r="B118" s="6" t="s">
        <v>3</v>
      </c>
      <c r="C118" s="8"/>
      <c r="D118" s="8"/>
      <c r="E118" s="8"/>
      <c r="F118" s="8"/>
      <c r="G118" s="8"/>
      <c r="H118" s="8"/>
      <c r="I118" s="8"/>
      <c r="J118" s="8"/>
      <c r="K118" s="9"/>
      <c r="L118" s="82">
        <f>C118-'coût TEND'!C118</f>
        <v>0</v>
      </c>
    </row>
    <row r="119" spans="1:12" ht="18.75" thickBot="1" x14ac:dyDescent="0.3">
      <c r="A119" s="31" t="s">
        <v>69</v>
      </c>
      <c r="B119" s="6" t="s">
        <v>47</v>
      </c>
      <c r="C119" s="8">
        <f>[4]Investissements!$C$18</f>
        <v>1.8500000000002501E-3</v>
      </c>
      <c r="D119" s="8">
        <f>[4]Investissements!$C$18</f>
        <v>1.8500000000002501E-3</v>
      </c>
      <c r="E119" s="8">
        <f>[4]Investissements!$C$18</f>
        <v>1.8500000000002501E-3</v>
      </c>
      <c r="F119" s="8">
        <f>[4]Investissements!$C$18</f>
        <v>1.8500000000002501E-3</v>
      </c>
      <c r="G119" s="8">
        <f>[4]Investissements!$C$18</f>
        <v>1.8500000000002501E-3</v>
      </c>
      <c r="H119" s="8">
        <f>[4]Investissements!$C$18</f>
        <v>1.8500000000002501E-3</v>
      </c>
      <c r="I119" s="8">
        <f>[4]Investissements!$C$18</f>
        <v>1.8500000000002501E-3</v>
      </c>
      <c r="J119" s="8"/>
      <c r="K119" s="9"/>
      <c r="L119" s="82">
        <f>C119-'coût TEND'!C119</f>
        <v>0</v>
      </c>
    </row>
    <row r="120" spans="1:12" ht="18.75" thickBot="1" x14ac:dyDescent="0.3">
      <c r="A120" s="31"/>
      <c r="B120" s="6" t="s">
        <v>50</v>
      </c>
      <c r="C120" s="8">
        <f>[4]Production!C$18</f>
        <v>4.69974E-3</v>
      </c>
      <c r="D120" s="8">
        <f>[4]Production!D$18</f>
        <v>6.0969599999999999E-2</v>
      </c>
      <c r="E120" s="8">
        <f>[4]Production!E$18</f>
        <v>6.0969599999999999E-2</v>
      </c>
      <c r="F120" s="8">
        <f>[4]Production!F$18</f>
        <v>6.0969599999999999E-2</v>
      </c>
      <c r="G120" s="8">
        <f>[4]Production!G$18</f>
        <v>6.0969599999999999E-2</v>
      </c>
      <c r="H120" s="8">
        <f>[4]Production!H$18</f>
        <v>6.0969599999999999E-2</v>
      </c>
      <c r="I120" s="8">
        <f>[4]Production!I$18</f>
        <v>6.0969599999999999E-2</v>
      </c>
      <c r="J120" s="8"/>
      <c r="K120" s="9"/>
      <c r="L120" s="82">
        <f>C120-'coût TEND'!C120</f>
        <v>0</v>
      </c>
    </row>
    <row r="121" spans="1:12" ht="18.75" thickBot="1" x14ac:dyDescent="0.3">
      <c r="A121" s="31"/>
      <c r="B121" s="6" t="s">
        <v>49</v>
      </c>
      <c r="C121" s="8"/>
      <c r="D121" s="8"/>
      <c r="E121" s="8"/>
      <c r="F121" s="8"/>
      <c r="G121" s="8"/>
      <c r="H121" s="8"/>
      <c r="I121" s="8"/>
      <c r="J121" s="8"/>
      <c r="K121" s="9"/>
      <c r="L121" s="82">
        <f>C121-'coût TEND'!C121</f>
        <v>0</v>
      </c>
    </row>
    <row r="122" spans="1:12" ht="27.75" thickBot="1" x14ac:dyDescent="0.3">
      <c r="A122" s="32"/>
      <c r="B122" s="6" t="s">
        <v>48</v>
      </c>
      <c r="C122" s="8"/>
      <c r="D122" s="8"/>
      <c r="E122" s="8"/>
      <c r="F122" s="8"/>
      <c r="G122" s="8"/>
      <c r="H122" s="8"/>
      <c r="I122" s="8"/>
      <c r="J122" s="8"/>
      <c r="K122" s="9"/>
      <c r="L122" s="82">
        <f>C122-'coût TEND'!C122</f>
        <v>0</v>
      </c>
    </row>
    <row r="123" spans="1:12" ht="15.75" thickBot="1" x14ac:dyDescent="0.3">
      <c r="A123" s="123"/>
      <c r="B123" s="6" t="s">
        <v>16</v>
      </c>
      <c r="C123" s="8"/>
      <c r="D123" s="8"/>
      <c r="E123" s="8"/>
      <c r="F123" s="8"/>
      <c r="G123" s="8"/>
      <c r="H123" s="8"/>
      <c r="I123" s="8"/>
      <c r="J123" s="8"/>
      <c r="K123" s="9"/>
      <c r="L123" s="82">
        <f>C123-'coût TEND'!C123</f>
        <v>0</v>
      </c>
    </row>
    <row r="124" spans="1:12" ht="18.75" thickBot="1" x14ac:dyDescent="0.3">
      <c r="A124" s="124"/>
      <c r="B124" s="6" t="s">
        <v>30</v>
      </c>
      <c r="C124" s="8"/>
      <c r="D124" s="8"/>
      <c r="E124" s="8"/>
      <c r="F124" s="8"/>
      <c r="G124" s="8"/>
      <c r="H124" s="8"/>
      <c r="I124" s="8"/>
      <c r="J124" s="8"/>
      <c r="K124" s="9"/>
      <c r="L124" s="82">
        <f>C124-'coût TEND'!C124</f>
        <v>0</v>
      </c>
    </row>
    <row r="125" spans="1:12" ht="15.75" thickBot="1" x14ac:dyDescent="0.3">
      <c r="A125" s="124"/>
      <c r="B125" s="6" t="s">
        <v>33</v>
      </c>
      <c r="C125" s="7"/>
      <c r="D125" s="8"/>
      <c r="E125" s="7"/>
      <c r="F125" s="7"/>
      <c r="G125" s="7"/>
      <c r="H125" s="7"/>
      <c r="I125" s="7"/>
      <c r="J125" s="7"/>
      <c r="K125" s="10"/>
      <c r="L125" s="82">
        <f>C125-'coût TEND'!C125</f>
        <v>0</v>
      </c>
    </row>
    <row r="126" spans="1:12" ht="18.75" thickBot="1" x14ac:dyDescent="0.3">
      <c r="A126" s="124"/>
      <c r="B126" s="6" t="s">
        <v>3</v>
      </c>
      <c r="C126" s="8"/>
      <c r="D126" s="8"/>
      <c r="E126" s="8"/>
      <c r="F126" s="8"/>
      <c r="G126" s="8"/>
      <c r="H126" s="8"/>
      <c r="I126" s="8"/>
      <c r="J126" s="8"/>
      <c r="K126" s="9"/>
      <c r="L126" s="82">
        <f>C126-'coût TEND'!C126</f>
        <v>0</v>
      </c>
    </row>
    <row r="127" spans="1:12" ht="30.75" thickBot="1" x14ac:dyDescent="0.3">
      <c r="A127" s="31" t="s">
        <v>63</v>
      </c>
      <c r="B127" s="6" t="s">
        <v>47</v>
      </c>
      <c r="C127" s="8">
        <f>[4]Investissements!$C$19+[4]Investissements!C$21</f>
        <v>30.473000000000003</v>
      </c>
      <c r="D127" s="8">
        <f>[4]Investissements!$C$19+[4]Investissements!D$21</f>
        <v>30.473000000000003</v>
      </c>
      <c r="E127" s="8">
        <f>[4]Investissements!$C$19+[4]Investissements!E$21</f>
        <v>30.473000000000003</v>
      </c>
      <c r="F127" s="8">
        <f>[4]Investissements!$C$19+[4]Investissements!F$21</f>
        <v>30.473000000000003</v>
      </c>
      <c r="G127" s="8">
        <f>[4]Investissements!$C$19+[4]Investissements!G$21</f>
        <v>30.473000000000003</v>
      </c>
      <c r="H127" s="8">
        <f>[4]Investissements!$C$19+[4]Investissements!H$21</f>
        <v>30.473000000000003</v>
      </c>
      <c r="I127" s="8">
        <f>[4]Investissements!$C$19+[4]Investissements!I$21</f>
        <v>30.473000000000003</v>
      </c>
      <c r="J127" s="8">
        <f>[4]Investissements!$C$19+[4]Investissements!J$21</f>
        <v>30.473000000000003</v>
      </c>
      <c r="K127" s="8">
        <f>[4]Investissements!$C$19+[4]Investissements!K$21</f>
        <v>30.473000000000003</v>
      </c>
      <c r="L127" s="82">
        <f>C127-'coût TEND'!C127</f>
        <v>0</v>
      </c>
    </row>
    <row r="128" spans="1:12" ht="18.75" thickBot="1" x14ac:dyDescent="0.3">
      <c r="A128" s="31"/>
      <c r="B128" s="6" t="s">
        <v>50</v>
      </c>
      <c r="C128" s="51">
        <f>[4]Production!C$19+[4]Production!C$23</f>
        <v>66.59069938102958</v>
      </c>
      <c r="D128" s="51">
        <f>[4]Production!D$19+[4]Production!D$23</f>
        <v>67.382236739646132</v>
      </c>
      <c r="E128" s="51">
        <f>[4]Production!E$19+[4]Production!E$23</f>
        <v>69.352691340375216</v>
      </c>
      <c r="F128" s="51">
        <f>[4]Production!F$19+[4]Production!F$23</f>
        <v>69.354776815807597</v>
      </c>
      <c r="G128" s="51">
        <f>[4]Production!G$19+[4]Production!G$23</f>
        <v>70.042780399166446</v>
      </c>
      <c r="H128" s="51">
        <f>[4]Production!H$19+[4]Production!H$23</f>
        <v>70.271845903081896</v>
      </c>
      <c r="I128" s="51">
        <f>[4]Production!I$19+[4]Production!I$23</f>
        <v>70.085273385543928</v>
      </c>
      <c r="J128" s="8"/>
      <c r="K128" s="9"/>
      <c r="L128" s="82">
        <f>C128-'coût TEND'!C128</f>
        <v>1.5396820016633228E-4</v>
      </c>
    </row>
    <row r="129" spans="1:12" ht="18.75" thickBot="1" x14ac:dyDescent="0.3">
      <c r="A129" s="31"/>
      <c r="B129" s="6" t="s">
        <v>49</v>
      </c>
      <c r="C129" s="8"/>
      <c r="D129" s="8"/>
      <c r="E129" s="8"/>
      <c r="F129" s="8"/>
      <c r="G129" s="8"/>
      <c r="H129" s="8"/>
      <c r="I129" s="8"/>
      <c r="J129" s="8"/>
      <c r="K129" s="9"/>
      <c r="L129" s="82">
        <f>C129-'coût TEND'!C129</f>
        <v>0</v>
      </c>
    </row>
    <row r="130" spans="1:12" ht="27.75" thickBot="1" x14ac:dyDescent="0.3">
      <c r="A130" s="32"/>
      <c r="B130" s="6" t="s">
        <v>48</v>
      </c>
      <c r="C130" s="8"/>
      <c r="D130" s="8"/>
      <c r="E130" s="8"/>
      <c r="F130" s="8"/>
      <c r="G130" s="8"/>
      <c r="H130" s="8"/>
      <c r="I130" s="8"/>
      <c r="J130" s="8"/>
      <c r="K130" s="9"/>
      <c r="L130" s="82">
        <f>C130-'coût TEND'!C130</f>
        <v>0</v>
      </c>
    </row>
    <row r="131" spans="1:12" ht="15.75" thickBot="1" x14ac:dyDescent="0.3">
      <c r="A131" s="123"/>
      <c r="B131" s="6" t="s">
        <v>16</v>
      </c>
      <c r="C131" s="8"/>
      <c r="D131" s="8"/>
      <c r="E131" s="8"/>
      <c r="F131" s="8"/>
      <c r="G131" s="8"/>
      <c r="H131" s="8"/>
      <c r="I131" s="8"/>
      <c r="J131" s="8"/>
      <c r="K131" s="9"/>
      <c r="L131" s="82">
        <f>C131-'coût TEND'!C131</f>
        <v>0</v>
      </c>
    </row>
    <row r="132" spans="1:12" ht="18.75" thickBot="1" x14ac:dyDescent="0.3">
      <c r="A132" s="124"/>
      <c r="B132" s="6" t="s">
        <v>30</v>
      </c>
      <c r="C132" s="8"/>
      <c r="D132" s="8"/>
      <c r="E132" s="8"/>
      <c r="F132" s="8"/>
      <c r="G132" s="8"/>
      <c r="H132" s="8"/>
      <c r="I132" s="8"/>
      <c r="J132" s="8"/>
      <c r="K132" s="9"/>
      <c r="L132" s="82">
        <f>C132-'coût TEND'!C132</f>
        <v>0</v>
      </c>
    </row>
    <row r="133" spans="1:12" ht="15.75" thickBot="1" x14ac:dyDescent="0.3">
      <c r="A133" s="124"/>
      <c r="B133" s="6" t="s">
        <v>33</v>
      </c>
      <c r="C133" s="7"/>
      <c r="D133" s="8"/>
      <c r="E133" s="7"/>
      <c r="F133" s="7"/>
      <c r="G133" s="7"/>
      <c r="H133" s="7"/>
      <c r="I133" s="7"/>
      <c r="J133" s="7"/>
      <c r="K133" s="10"/>
      <c r="L133" s="82">
        <f>C133-'coût TEND'!C133</f>
        <v>0</v>
      </c>
    </row>
    <row r="134" spans="1:12" ht="18.75" thickBot="1" x14ac:dyDescent="0.3">
      <c r="A134" s="124"/>
      <c r="B134" s="6" t="s">
        <v>3</v>
      </c>
      <c r="C134" s="8"/>
      <c r="D134" s="8"/>
      <c r="E134" s="8"/>
      <c r="F134" s="8"/>
      <c r="G134" s="8"/>
      <c r="H134" s="8"/>
      <c r="I134" s="8"/>
      <c r="J134" s="8"/>
      <c r="K134" s="9"/>
      <c r="L134" s="82">
        <f>C134-'coût TEND'!C134</f>
        <v>0</v>
      </c>
    </row>
    <row r="135" spans="1:12" ht="60.75" thickBot="1" x14ac:dyDescent="0.3">
      <c r="A135" s="31" t="s">
        <v>123</v>
      </c>
      <c r="B135" s="6" t="s">
        <v>47</v>
      </c>
      <c r="C135" s="52">
        <f>[4]Investissements!C$20</f>
        <v>4.11224892653E-7</v>
      </c>
      <c r="D135" s="52">
        <f>[4]Investissements!D$20</f>
        <v>8.1130696045799994E-7</v>
      </c>
      <c r="E135" s="52">
        <f>[4]Investissements!E$20</f>
        <v>1.4413728045000003E-6</v>
      </c>
      <c r="F135" s="52">
        <f>[4]Investissements!F$20</f>
        <v>0.21040230769474819</v>
      </c>
      <c r="G135" s="52">
        <f>[4]Investissements!G$20</f>
        <v>0.21040235354440281</v>
      </c>
      <c r="H135" s="52">
        <f>[4]Investissements!H$20</f>
        <v>0.21040196962776603</v>
      </c>
      <c r="I135" s="52">
        <f>[4]Investissements!I$20</f>
        <v>0.21040135790046022</v>
      </c>
      <c r="J135" s="8"/>
      <c r="K135" s="9"/>
      <c r="L135" s="82">
        <f>C135-'coût TEND'!C135</f>
        <v>4.11224892653E-7</v>
      </c>
    </row>
    <row r="136" spans="1:12" ht="18.75" thickBot="1" x14ac:dyDescent="0.3">
      <c r="A136" s="31"/>
      <c r="B136" s="6" t="s">
        <v>50</v>
      </c>
      <c r="C136" s="51">
        <f>[4]Production!C$24</f>
        <v>2.1252157036899895E-6</v>
      </c>
      <c r="D136" s="51">
        <f>[4]Production!D$24</f>
        <v>3.9829152014953135E-6</v>
      </c>
      <c r="E136" s="51">
        <f>[4]Production!E$24</f>
        <v>6.946818255577103E-6</v>
      </c>
      <c r="F136" s="51">
        <f>[4]Production!F$24</f>
        <v>7.920989322727684E-2</v>
      </c>
      <c r="G136" s="51">
        <f>[4]Production!G$24</f>
        <v>8.1284731822778192E-2</v>
      </c>
      <c r="H136" s="51">
        <f>[4]Production!H$24</f>
        <v>8.7879215817297879E-2</v>
      </c>
      <c r="I136" s="51">
        <f>[4]Production!I$24</f>
        <v>8.090124002506853E-2</v>
      </c>
      <c r="J136" s="8"/>
      <c r="K136" s="9"/>
      <c r="L136" s="82">
        <f>C136-'coût TEND'!C136</f>
        <v>-6.982127093998349E-6</v>
      </c>
    </row>
    <row r="137" spans="1:12" ht="18.75" thickBot="1" x14ac:dyDescent="0.3">
      <c r="A137" s="31"/>
      <c r="B137" s="6" t="s">
        <v>49</v>
      </c>
      <c r="C137" s="8"/>
      <c r="D137" s="8"/>
      <c r="E137" s="8"/>
      <c r="F137" s="8"/>
      <c r="G137" s="8"/>
      <c r="H137" s="8"/>
      <c r="I137" s="8"/>
      <c r="J137" s="8"/>
      <c r="K137" s="9"/>
      <c r="L137" s="82">
        <f>C137-'coût TEND'!C137</f>
        <v>0</v>
      </c>
    </row>
    <row r="138" spans="1:12" ht="27.75" thickBot="1" x14ac:dyDescent="0.3">
      <c r="A138" s="32"/>
      <c r="B138" s="6" t="s">
        <v>48</v>
      </c>
      <c r="C138" s="8"/>
      <c r="D138" s="8"/>
      <c r="E138" s="8"/>
      <c r="F138" s="8"/>
      <c r="G138" s="8"/>
      <c r="H138" s="8"/>
      <c r="I138" s="8"/>
      <c r="J138" s="8"/>
      <c r="K138" s="9"/>
      <c r="L138" s="82">
        <f>C138-'coût TEND'!C138</f>
        <v>0</v>
      </c>
    </row>
    <row r="139" spans="1:12" ht="15.75" thickBot="1" x14ac:dyDescent="0.3">
      <c r="A139" s="123"/>
      <c r="B139" s="6" t="s">
        <v>16</v>
      </c>
      <c r="C139" s="8"/>
      <c r="D139" s="8"/>
      <c r="E139" s="8"/>
      <c r="F139" s="8"/>
      <c r="G139" s="8"/>
      <c r="H139" s="8"/>
      <c r="I139" s="8"/>
      <c r="J139" s="8"/>
      <c r="K139" s="9"/>
      <c r="L139" s="82">
        <f>C139-'coût TEND'!C139</f>
        <v>0</v>
      </c>
    </row>
    <row r="140" spans="1:12" ht="18.75" thickBot="1" x14ac:dyDescent="0.3">
      <c r="A140" s="124"/>
      <c r="B140" s="6" t="s">
        <v>30</v>
      </c>
      <c r="C140" s="8"/>
      <c r="D140" s="8"/>
      <c r="E140" s="8"/>
      <c r="F140" s="8"/>
      <c r="G140" s="8"/>
      <c r="H140" s="8"/>
      <c r="I140" s="8"/>
      <c r="J140" s="8"/>
      <c r="K140" s="9"/>
      <c r="L140" s="82">
        <f>C140-'coût TEND'!C140</f>
        <v>0</v>
      </c>
    </row>
    <row r="141" spans="1:12" ht="15.75" thickBot="1" x14ac:dyDescent="0.3">
      <c r="A141" s="124"/>
      <c r="B141" s="6" t="s">
        <v>33</v>
      </c>
      <c r="C141" s="7"/>
      <c r="D141" s="8"/>
      <c r="E141" s="7"/>
      <c r="F141" s="7"/>
      <c r="G141" s="7"/>
      <c r="H141" s="7"/>
      <c r="I141" s="7"/>
      <c r="J141" s="7"/>
      <c r="K141" s="10"/>
      <c r="L141" s="82">
        <f>C141-'coût TEND'!C141</f>
        <v>0</v>
      </c>
    </row>
    <row r="142" spans="1:12" ht="18.75" thickBot="1" x14ac:dyDescent="0.3">
      <c r="A142" s="124"/>
      <c r="B142" s="6" t="s">
        <v>3</v>
      </c>
      <c r="C142" s="8"/>
      <c r="D142" s="8"/>
      <c r="E142" s="8"/>
      <c r="F142" s="8"/>
      <c r="G142" s="8"/>
      <c r="H142" s="8"/>
      <c r="I142" s="8"/>
      <c r="J142" s="8"/>
      <c r="K142" s="9"/>
      <c r="L142" s="82">
        <f>C142-'coût TEND'!C142</f>
        <v>0</v>
      </c>
    </row>
    <row r="143" spans="1:12" ht="30.75" thickBot="1" x14ac:dyDescent="0.3">
      <c r="A143" s="31" t="s">
        <v>65</v>
      </c>
      <c r="B143" s="6" t="s">
        <v>47</v>
      </c>
      <c r="C143" s="51">
        <f>[4]Investissements!C$24+[4]Investissements!C$25</f>
        <v>0</v>
      </c>
      <c r="D143" s="51">
        <f>[4]Investissements!D$24+[4]Investissements!D$25</f>
        <v>2.0603609844192055</v>
      </c>
      <c r="E143" s="51">
        <f>[4]Investissements!E$24+[4]Investissements!E$25</f>
        <v>7.3145451013020617</v>
      </c>
      <c r="F143" s="51">
        <f>[4]Investissements!F$24+[4]Investissements!F$25</f>
        <v>15.538877700726058</v>
      </c>
      <c r="G143" s="51">
        <f>[4]Investissements!G$24+[4]Investissements!G$25</f>
        <v>22.848214332043106</v>
      </c>
      <c r="H143" s="51">
        <f>[4]Investissements!H$24+[4]Investissements!H$25</f>
        <v>25.748732414052725</v>
      </c>
      <c r="I143" s="51">
        <f>[4]Investissements!I$24+[4]Investissements!I$25</f>
        <v>40.211874328333536</v>
      </c>
      <c r="J143" s="8"/>
      <c r="K143" s="9"/>
      <c r="L143" s="82">
        <f>C143-'coût TEND'!C143</f>
        <v>0</v>
      </c>
    </row>
    <row r="144" spans="1:12" ht="18.75" thickBot="1" x14ac:dyDescent="0.3">
      <c r="A144" s="31"/>
      <c r="B144" s="6" t="s">
        <v>50</v>
      </c>
      <c r="C144" s="51">
        <f>[4]Production!C$27+[4]Production!C$28</f>
        <v>0</v>
      </c>
      <c r="D144" s="51">
        <f>[4]Production!D$27+[4]Production!D$28</f>
        <v>9.412070935361907</v>
      </c>
      <c r="E144" s="51">
        <f>[4]Production!E$27+[4]Production!E$28</f>
        <v>26.432442142169513</v>
      </c>
      <c r="F144" s="51">
        <f>[4]Production!F$27+[4]Production!F$28</f>
        <v>42.973872913816216</v>
      </c>
      <c r="G144" s="51">
        <f>[4]Production!G$27+[4]Production!G$28</f>
        <v>58.580775432496679</v>
      </c>
      <c r="H144" s="51">
        <f>[4]Production!H$27+[4]Production!H$28</f>
        <v>73.121543762940746</v>
      </c>
      <c r="I144" s="51">
        <f>[4]Production!I$27+[4]Production!I$28</f>
        <v>103.17894775964206</v>
      </c>
      <c r="J144" s="8"/>
      <c r="K144" s="9"/>
      <c r="L144" s="82">
        <f>C144-'coût TEND'!C144</f>
        <v>0</v>
      </c>
    </row>
    <row r="145" spans="1:34" ht="18.75" thickBot="1" x14ac:dyDescent="0.3">
      <c r="A145" s="31"/>
      <c r="B145" s="6" t="s">
        <v>49</v>
      </c>
      <c r="C145" s="8"/>
      <c r="D145" s="8"/>
      <c r="E145" s="8"/>
      <c r="F145" s="8"/>
      <c r="G145" s="8"/>
      <c r="H145" s="8"/>
      <c r="I145" s="8"/>
      <c r="J145" s="8"/>
      <c r="K145" s="9"/>
      <c r="L145" s="82">
        <f>C145-'coût TEND'!C145</f>
        <v>0</v>
      </c>
    </row>
    <row r="146" spans="1:34" ht="27.75" thickBot="1" x14ac:dyDescent="0.3">
      <c r="A146" s="32"/>
      <c r="B146" s="6" t="s">
        <v>48</v>
      </c>
      <c r="C146" s="8"/>
      <c r="D146" s="8"/>
      <c r="E146" s="8"/>
      <c r="F146" s="8"/>
      <c r="G146" s="8"/>
      <c r="H146" s="8"/>
      <c r="I146" s="8"/>
      <c r="J146" s="8"/>
      <c r="K146" s="9"/>
      <c r="L146" s="82">
        <f>C146-'coût TEND'!C146</f>
        <v>0</v>
      </c>
    </row>
    <row r="147" spans="1:34" ht="15.75" thickBot="1" x14ac:dyDescent="0.3">
      <c r="A147" s="123"/>
      <c r="B147" s="6" t="s">
        <v>16</v>
      </c>
      <c r="C147" s="8"/>
      <c r="D147" s="8"/>
      <c r="E147" s="8"/>
      <c r="F147" s="8"/>
      <c r="G147" s="8"/>
      <c r="H147" s="8"/>
      <c r="I147" s="8"/>
      <c r="J147" s="8"/>
      <c r="K147" s="9"/>
      <c r="L147" s="82">
        <f>C147-'coût TEND'!C147</f>
        <v>0</v>
      </c>
    </row>
    <row r="148" spans="1:34" ht="18.75" thickBot="1" x14ac:dyDescent="0.3">
      <c r="A148" s="124"/>
      <c r="B148" s="6" t="s">
        <v>30</v>
      </c>
      <c r="C148" s="8"/>
      <c r="D148" s="8"/>
      <c r="E148" s="8"/>
      <c r="F148" s="8"/>
      <c r="G148" s="8"/>
      <c r="H148" s="8"/>
      <c r="I148" s="8"/>
      <c r="J148" s="8"/>
      <c r="K148" s="9"/>
      <c r="L148" s="82">
        <f>C148-'coût TEND'!C148</f>
        <v>0</v>
      </c>
    </row>
    <row r="149" spans="1:34" ht="15.75" thickBot="1" x14ac:dyDescent="0.3">
      <c r="A149" s="124"/>
      <c r="B149" s="6" t="s">
        <v>33</v>
      </c>
      <c r="C149" s="7"/>
      <c r="D149" s="8"/>
      <c r="E149" s="7"/>
      <c r="F149" s="7"/>
      <c r="G149" s="7"/>
      <c r="H149" s="7"/>
      <c r="I149" s="7"/>
      <c r="J149" s="7"/>
      <c r="K149" s="10"/>
      <c r="L149" s="82">
        <f>C149-'coût TEND'!C149</f>
        <v>0</v>
      </c>
    </row>
    <row r="150" spans="1:34" ht="18.75" thickBot="1" x14ac:dyDescent="0.3">
      <c r="A150" s="124"/>
      <c r="B150" s="6" t="s">
        <v>3</v>
      </c>
      <c r="C150" s="8"/>
      <c r="D150" s="8"/>
      <c r="E150" s="8"/>
      <c r="F150" s="8"/>
      <c r="G150" s="8"/>
      <c r="H150" s="8"/>
      <c r="I150" s="8"/>
      <c r="J150" s="8"/>
      <c r="K150" s="9"/>
      <c r="L150" s="82">
        <f>C150-'coût TEND'!C150</f>
        <v>0</v>
      </c>
    </row>
    <row r="151" spans="1:34" ht="30.75" thickBot="1" x14ac:dyDescent="0.3">
      <c r="A151" s="31" t="s">
        <v>124</v>
      </c>
      <c r="B151" s="6" t="s">
        <v>47</v>
      </c>
      <c r="C151" s="8">
        <f>[4]Investissements!C$17</f>
        <v>0.87828299999994663</v>
      </c>
      <c r="D151" s="8">
        <f>[4]Investissements!D$17</f>
        <v>0.87828299999994663</v>
      </c>
      <c r="E151" s="8">
        <f>[4]Investissements!E$17</f>
        <v>0.87828299999994663</v>
      </c>
      <c r="F151" s="8">
        <f>[4]Investissements!F$17</f>
        <v>0.87828299999994663</v>
      </c>
      <c r="G151" s="8">
        <f>[4]Investissements!G$17</f>
        <v>0.87828299999994663</v>
      </c>
      <c r="H151" s="8">
        <f>[4]Investissements!H$17</f>
        <v>0.87828299999994663</v>
      </c>
      <c r="I151" s="8">
        <f>[4]Investissements!I$17</f>
        <v>0.87828299999994663</v>
      </c>
      <c r="J151" s="8"/>
      <c r="K151" s="9"/>
      <c r="L151" s="82">
        <f>C151-'coût TEND'!C151</f>
        <v>0</v>
      </c>
    </row>
    <row r="152" spans="1:34" ht="18.75" thickBot="1" x14ac:dyDescent="0.3">
      <c r="A152" s="31"/>
      <c r="B152" s="6" t="s">
        <v>50</v>
      </c>
      <c r="C152" s="8">
        <f>[4]Production!C$17</f>
        <v>3.144046932672</v>
      </c>
      <c r="D152" s="8">
        <f>[4]Production!D$17</f>
        <v>3.144046932672</v>
      </c>
      <c r="E152" s="8">
        <f>[4]Production!E$17</f>
        <v>3.144046932672</v>
      </c>
      <c r="F152" s="8">
        <f>[4]Production!F$17</f>
        <v>3.144046932672</v>
      </c>
      <c r="G152" s="8">
        <f>[4]Production!G$17</f>
        <v>3.144046932672</v>
      </c>
      <c r="H152" s="8">
        <f>[4]Production!H$17</f>
        <v>3.144046932672</v>
      </c>
      <c r="I152" s="8">
        <f>[4]Production!I$17</f>
        <v>3.144046932672</v>
      </c>
      <c r="J152" s="8"/>
      <c r="K152" s="9"/>
      <c r="L152" s="82">
        <f>C152-'coût TEND'!C152</f>
        <v>0</v>
      </c>
    </row>
    <row r="153" spans="1:34" ht="18.75" thickBot="1" x14ac:dyDescent="0.3">
      <c r="A153" s="31"/>
      <c r="B153" s="6" t="s">
        <v>49</v>
      </c>
      <c r="C153" s="8"/>
      <c r="D153" s="8"/>
      <c r="E153" s="8"/>
      <c r="F153" s="8"/>
      <c r="G153" s="8"/>
      <c r="H153" s="8"/>
      <c r="I153" s="8"/>
      <c r="J153" s="8"/>
      <c r="K153" s="9"/>
      <c r="L153" s="82">
        <f>C153-'coût TEND'!C153</f>
        <v>0</v>
      </c>
    </row>
    <row r="154" spans="1:34" ht="27" x14ac:dyDescent="0.25">
      <c r="A154" s="43"/>
      <c r="B154" s="44" t="s">
        <v>48</v>
      </c>
      <c r="C154" s="45"/>
      <c r="D154" s="45"/>
      <c r="E154" s="45"/>
      <c r="F154" s="45"/>
      <c r="G154" s="45"/>
      <c r="H154" s="45"/>
      <c r="I154" s="45"/>
      <c r="J154" s="45"/>
      <c r="K154" s="46"/>
      <c r="L154" s="82">
        <f>C154-'coût TEND'!C154</f>
        <v>0</v>
      </c>
    </row>
    <row r="155" spans="1:34" x14ac:dyDescent="0.25">
      <c r="B155" s="41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</row>
    <row r="156" spans="1:34" x14ac:dyDescent="0.25">
      <c r="B156" s="41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</row>
    <row r="157" spans="1:34" ht="76.5" x14ac:dyDescent="0.25">
      <c r="A157" s="19" t="s">
        <v>34</v>
      </c>
    </row>
    <row r="158" spans="1:34" x14ac:dyDescent="0.25">
      <c r="A158" s="18"/>
      <c r="B158" s="15"/>
      <c r="C158" s="16"/>
      <c r="D158" s="16"/>
      <c r="E158" s="16"/>
      <c r="F158" s="16"/>
      <c r="G158" s="16"/>
      <c r="H158" s="16"/>
      <c r="I158" s="16"/>
      <c r="J158" s="16"/>
      <c r="K158" s="16"/>
    </row>
    <row r="161" spans="1:1" ht="210" x14ac:dyDescent="0.25">
      <c r="A161" s="14" t="s">
        <v>13</v>
      </c>
    </row>
    <row r="162" spans="1:1" ht="409.5" x14ac:dyDescent="0.25">
      <c r="A162" s="13" t="s">
        <v>14</v>
      </c>
    </row>
  </sheetData>
  <mergeCells count="20">
    <mergeCell ref="A123:A126"/>
    <mergeCell ref="A131:A134"/>
    <mergeCell ref="A139:A142"/>
    <mergeCell ref="A147:A150"/>
    <mergeCell ref="A91:A94"/>
    <mergeCell ref="A99:A102"/>
    <mergeCell ref="A115:A118"/>
    <mergeCell ref="A107:A110"/>
    <mergeCell ref="A83:A86"/>
    <mergeCell ref="A2:A4"/>
    <mergeCell ref="A9:A11"/>
    <mergeCell ref="A18:A20"/>
    <mergeCell ref="A25:A27"/>
    <mergeCell ref="A36:A38"/>
    <mergeCell ref="A50:A52"/>
    <mergeCell ref="A57:A59"/>
    <mergeCell ref="A60:A61"/>
    <mergeCell ref="A66:A68"/>
    <mergeCell ref="A69:A70"/>
    <mergeCell ref="A75:A78"/>
  </mergeCells>
  <hyperlinks>
    <hyperlink ref="A9" location="_ftn1" display="_ftn1" xr:uid="{00000000-0004-0000-0300-000000000000}"/>
    <hyperlink ref="A25" location="_ftn2" display="_ftn2" xr:uid="{00000000-0004-0000-0300-000001000000}"/>
    <hyperlink ref="A161" location="_ftnref1" display="_ftnref1" xr:uid="{00000000-0004-0000-0300-000002000000}"/>
  </hyperlink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"/>
  <sheetViews>
    <sheetView workbookViewId="0"/>
  </sheetViews>
  <sheetFormatPr baseColWidth="10" defaultRowHeight="15" x14ac:dyDescent="0.25"/>
  <cols>
    <col min="1" max="1" width="34.7109375" customWidth="1"/>
  </cols>
  <sheetData>
    <row r="1" spans="1:10" x14ac:dyDescent="0.25">
      <c r="A1" s="56" t="s">
        <v>96</v>
      </c>
      <c r="B1" s="48">
        <v>2010</v>
      </c>
      <c r="C1" s="48">
        <v>2020</v>
      </c>
      <c r="D1" s="48">
        <f>C1+5</f>
        <v>2025</v>
      </c>
      <c r="E1" s="48">
        <f t="shared" ref="E1:I1" si="0">D1+5</f>
        <v>2030</v>
      </c>
      <c r="F1" s="48">
        <f t="shared" si="0"/>
        <v>2035</v>
      </c>
      <c r="G1" s="48">
        <f t="shared" si="0"/>
        <v>2040</v>
      </c>
      <c r="H1" s="48">
        <f t="shared" si="0"/>
        <v>2045</v>
      </c>
      <c r="I1" s="48">
        <f t="shared" si="0"/>
        <v>2050</v>
      </c>
    </row>
    <row r="2" spans="1:10" x14ac:dyDescent="0.25">
      <c r="A2" s="57" t="s">
        <v>88</v>
      </c>
      <c r="B2" s="69">
        <f>'[5]CU énergie'!$F48</f>
        <v>18.979902880269496</v>
      </c>
      <c r="C2" s="69">
        <f>(('coût TEND'!C65*'coût TEND'!C63+'coût TEND'!C74*'coût TEND'!C72)/('coût TEND'!C63+'coût TEND'!C72))/1.19</f>
        <v>6.8233572690107049</v>
      </c>
      <c r="D2" s="69">
        <f>(('coût TEND'!D65*'coût TEND'!D63+'coût TEND'!D74*'coût TEND'!D72)/('coût TEND'!D63+'coût TEND'!D72))/1.19</f>
        <v>9.214939046589846</v>
      </c>
      <c r="E2" s="69">
        <f>(('coût TEND'!E65*'coût TEND'!E63+'coût TEND'!E74*'coût TEND'!E72)/('coût TEND'!E63+'coût TEND'!E72))/1.19</f>
        <v>9.1949947570347721</v>
      </c>
      <c r="F2" s="69">
        <f>(('coût TEND'!F65*'coût TEND'!F63+'coût TEND'!F74*'coût TEND'!F72)/('coût TEND'!F63+'coût TEND'!F72))/1.19</f>
        <v>8.9811828960514823</v>
      </c>
      <c r="G2" s="69">
        <f>(('coût TEND'!G65*'coût TEND'!G63+'coût TEND'!G74*'coût TEND'!G72)/('coût TEND'!G63+'coût TEND'!G72))/1.19</f>
        <v>8.7355389707118842</v>
      </c>
      <c r="H2" s="69">
        <f>(('coût TEND'!H65*'coût TEND'!H63+'coût TEND'!H74*'coût TEND'!H72)/('coût TEND'!H63+'coût TEND'!H72))/1.19</f>
        <v>8.3923505863523538</v>
      </c>
      <c r="I2" s="69">
        <f>(('coût TEND'!I65*'coût TEND'!I63+'coût TEND'!I74*'coût TEND'!I72)/('coût TEND'!I63+'coût TEND'!I72))/1.19</f>
        <v>7.8713190417334893</v>
      </c>
    </row>
    <row r="3" spans="1:10" x14ac:dyDescent="0.25">
      <c r="A3" s="57" t="s">
        <v>89</v>
      </c>
      <c r="B3" s="69">
        <f>'[5]CU énergie'!$F49</f>
        <v>122.57599999999999</v>
      </c>
      <c r="C3" s="69">
        <f>'[5]CU énergie'!$F49</f>
        <v>122.57599999999999</v>
      </c>
      <c r="D3" s="69">
        <f>C3</f>
        <v>122.57599999999999</v>
      </c>
      <c r="E3" s="69">
        <f t="shared" ref="E3:I3" si="1">D3</f>
        <v>122.57599999999999</v>
      </c>
      <c r="F3" s="69">
        <f t="shared" si="1"/>
        <v>122.57599999999999</v>
      </c>
      <c r="G3" s="69">
        <f t="shared" si="1"/>
        <v>122.57599999999999</v>
      </c>
      <c r="H3" s="69">
        <f t="shared" si="1"/>
        <v>122.57599999999999</v>
      </c>
      <c r="I3" s="69">
        <f t="shared" si="1"/>
        <v>122.57599999999999</v>
      </c>
    </row>
    <row r="4" spans="1:10" x14ac:dyDescent="0.25">
      <c r="A4" s="57" t="s">
        <v>90</v>
      </c>
      <c r="B4" s="69">
        <f>'[5]CU énergie'!$F50</f>
        <v>10.162299686291657</v>
      </c>
      <c r="C4" s="69">
        <f>'[5]CU énergie'!$F50</f>
        <v>10.162299686291657</v>
      </c>
      <c r="D4" s="69">
        <f t="shared" ref="D4:I5" si="2">C4</f>
        <v>10.162299686291657</v>
      </c>
      <c r="E4" s="69">
        <f t="shared" si="2"/>
        <v>10.162299686291657</v>
      </c>
      <c r="F4" s="69">
        <f t="shared" si="2"/>
        <v>10.162299686291657</v>
      </c>
      <c r="G4" s="69">
        <f t="shared" si="2"/>
        <v>10.162299686291657</v>
      </c>
      <c r="H4" s="69">
        <f t="shared" si="2"/>
        <v>10.162299686291657</v>
      </c>
      <c r="I4" s="69">
        <f t="shared" si="2"/>
        <v>10.162299686291657</v>
      </c>
    </row>
    <row r="5" spans="1:10" x14ac:dyDescent="0.25">
      <c r="A5" s="57" t="s">
        <v>91</v>
      </c>
      <c r="B5" s="69">
        <f>'[5]CU énergie'!$F51</f>
        <v>14.31960410341097</v>
      </c>
      <c r="C5" s="69">
        <f>'[5]CU énergie'!$F51</f>
        <v>14.31960410341097</v>
      </c>
      <c r="D5" s="69">
        <f t="shared" si="2"/>
        <v>14.31960410341097</v>
      </c>
      <c r="E5" s="69">
        <f t="shared" si="2"/>
        <v>14.31960410341097</v>
      </c>
      <c r="F5" s="69">
        <f t="shared" si="2"/>
        <v>14.31960410341097</v>
      </c>
      <c r="G5" s="69">
        <f t="shared" si="2"/>
        <v>14.31960410341097</v>
      </c>
      <c r="H5" s="69">
        <f t="shared" si="2"/>
        <v>14.31960410341097</v>
      </c>
      <c r="I5" s="69">
        <f t="shared" si="2"/>
        <v>14.31960410341097</v>
      </c>
    </row>
    <row r="6" spans="1:10" x14ac:dyDescent="0.25">
      <c r="A6" s="57" t="s">
        <v>92</v>
      </c>
      <c r="B6" s="69">
        <f>'[5]CU énergie'!$F52</f>
        <v>70.593025247882508</v>
      </c>
      <c r="C6" s="69">
        <f>(('coût TEND'!C42*'coût TEND'!C40+'coût TEND'!C49*'coût TEND'!C47+'coût TEND'!C56*'coût TEND'!C54)/('coût TEND'!C40+'coût TEND'!C47+'coût TEND'!C54))/1.19</f>
        <v>25.373575380553909</v>
      </c>
      <c r="D6" s="69">
        <f>(('coût TEND'!D42*'coût TEND'!D40+'coût TEND'!D49*'coût TEND'!D47+'coût TEND'!D56*'coût TEND'!D54)/('coût TEND'!D40+'coût TEND'!D47+'coût TEND'!D54))/1.19</f>
        <v>22.640543719057774</v>
      </c>
      <c r="E6" s="69">
        <f>(('coût TEND'!E42*'coût TEND'!E40+'coût TEND'!E49*'coût TEND'!E47+'coût TEND'!E56*'coût TEND'!E54)/('coût TEND'!E40+'coût TEND'!E47+'coût TEND'!E54))/1.19</f>
        <v>21.424184502881555</v>
      </c>
      <c r="F6" s="69">
        <f>(('coût TEND'!F42*'coût TEND'!F40+'coût TEND'!F49*'coût TEND'!F47+'coût TEND'!F56*'coût TEND'!F54)/('coût TEND'!F40+'coût TEND'!F47+'coût TEND'!F54))/1.19</f>
        <v>20.378422993667819</v>
      </c>
      <c r="G6" s="69">
        <f>(('coût TEND'!G42*'coût TEND'!G40+'coût TEND'!G49*'coût TEND'!G47+'coût TEND'!G56*'coût TEND'!G54)/('coût TEND'!G40+'coût TEND'!G47+'coût TEND'!G54))/1.19</f>
        <v>19.272227026589178</v>
      </c>
      <c r="H6" s="69">
        <f>(('coût TEND'!H42*'coût TEND'!H40+'coût TEND'!H49*'coût TEND'!H47+'coût TEND'!H56*'coût TEND'!H54)/('coût TEND'!H40+'coût TEND'!H47+'coût TEND'!H54))/1.19</f>
        <v>18.415111357906525</v>
      </c>
      <c r="I6" s="69">
        <f>(('coût TEND'!I42*'coût TEND'!I40+'coût TEND'!I49*'coût TEND'!I47+'coût TEND'!I56*'coût TEND'!I54)/('coût TEND'!I40+'coût TEND'!I47+'coût TEND'!I54))/1.19</f>
        <v>17.639292349476765</v>
      </c>
    </row>
    <row r="7" spans="1:10" x14ac:dyDescent="0.25">
      <c r="A7" s="57" t="s">
        <v>93</v>
      </c>
      <c r="B7" s="69">
        <f>'[5]CU énergie'!$F53</f>
        <v>119.98755838887863</v>
      </c>
      <c r="C7" s="69">
        <f>(('coût TEND'!C8*'coût TEND'!C6+'coût TEND'!C15*'coût TEND'!C13+'coût TEND'!C24*'coût TEND'!C22+'coût TEND'!C31*'coût TEND'!C29)/('coût TEND'!C6+'coût TEND'!C13+'coût TEND'!C22+'coût TEND'!C29))/1.19</f>
        <v>26.587796204639329</v>
      </c>
      <c r="D7" s="69">
        <f>(('coût TEND'!D8*'coût TEND'!D6+'coût TEND'!D15*'coût TEND'!D13+'coût TEND'!D24*'coût TEND'!D22+'coût TEND'!D31*'coût TEND'!D29)/('coût TEND'!D6+'coût TEND'!D13+'coût TEND'!D22+'coût TEND'!D29))/1.19</f>
        <v>24.017798143338432</v>
      </c>
      <c r="E7" s="69">
        <f>(('coût TEND'!E8*'coût TEND'!E6+'coût TEND'!E15*'coût TEND'!E13+'coût TEND'!E24*'coût TEND'!E22+'coût TEND'!E31*'coût TEND'!E29)/('coût TEND'!E6+'coût TEND'!E13+'coût TEND'!E22+'coût TEND'!E29))/1.19</f>
        <v>20.466239196226233</v>
      </c>
      <c r="F7" s="69">
        <f>(('coût TEND'!F8*'coût TEND'!F6+'coût TEND'!F15*'coût TEND'!F13+'coût TEND'!F24*'coût TEND'!F22+'coût TEND'!F31*'coût TEND'!F29)/('coût TEND'!F6+'coût TEND'!F13+'coût TEND'!F22+'coût TEND'!F29))/1.19</f>
        <v>17.687260047317583</v>
      </c>
      <c r="G7" s="69">
        <f>(('coût TEND'!G8*'coût TEND'!G6+'coût TEND'!G15*'coût TEND'!G13+'coût TEND'!G24*'coût TEND'!G22+'coût TEND'!G31*'coût TEND'!G29)/('coût TEND'!G6+'coût TEND'!G13+'coût TEND'!G22+'coût TEND'!G29))/1.19</f>
        <v>16.110717683731501</v>
      </c>
      <c r="H7" s="69">
        <f>(('coût TEND'!H8*'coût TEND'!H6+'coût TEND'!H15*'coût TEND'!H13+'coût TEND'!H24*'coût TEND'!H22+'coût TEND'!H31*'coût TEND'!H29)/('coût TEND'!H6+'coût TEND'!H13+'coût TEND'!H22+'coût TEND'!H29))/1.19</f>
        <v>14.737458796723409</v>
      </c>
      <c r="I7" s="69">
        <f>(('coût TEND'!I8*'coût TEND'!I6+'coût TEND'!I15*'coût TEND'!I13+'coût TEND'!I24*'coût TEND'!I22+'coût TEND'!I31*'coût TEND'!I29)/('coût TEND'!I6+'coût TEND'!I13+'coût TEND'!I22+'coût TEND'!I29))/1.19</f>
        <v>13.656169268714047</v>
      </c>
    </row>
    <row r="8" spans="1:10" x14ac:dyDescent="0.25">
      <c r="A8" s="57" t="s">
        <v>94</v>
      </c>
      <c r="B8" s="69">
        <f>'[5]CU énergie'!$F54</f>
        <v>15</v>
      </c>
      <c r="C8" s="69">
        <f>'[5]CU énergie'!$F54</f>
        <v>15</v>
      </c>
      <c r="D8" s="69">
        <f>C8</f>
        <v>15</v>
      </c>
      <c r="E8" s="69">
        <f t="shared" ref="E8:I8" si="3">D8</f>
        <v>15</v>
      </c>
      <c r="F8" s="69">
        <f t="shared" si="3"/>
        <v>15</v>
      </c>
      <c r="G8" s="69">
        <f t="shared" si="3"/>
        <v>15</v>
      </c>
      <c r="H8" s="69">
        <f t="shared" si="3"/>
        <v>15</v>
      </c>
      <c r="I8" s="69">
        <f t="shared" si="3"/>
        <v>15</v>
      </c>
    </row>
    <row r="9" spans="1:10" x14ac:dyDescent="0.25">
      <c r="A9" s="57" t="s">
        <v>95</v>
      </c>
      <c r="B9" s="69">
        <f>'[5]CU énergie'!$F55</f>
        <v>61.9</v>
      </c>
      <c r="C9" s="69">
        <f>'[5]CU énergie'!$F55</f>
        <v>61.9</v>
      </c>
      <c r="D9" s="69">
        <f>C9</f>
        <v>61.9</v>
      </c>
      <c r="E9" s="69">
        <f t="shared" ref="E9:I9" si="4">D9</f>
        <v>61.9</v>
      </c>
      <c r="F9" s="69">
        <f t="shared" si="4"/>
        <v>61.9</v>
      </c>
      <c r="G9" s="69">
        <f t="shared" si="4"/>
        <v>61.9</v>
      </c>
      <c r="H9" s="69">
        <f t="shared" si="4"/>
        <v>61.9</v>
      </c>
      <c r="I9" s="69">
        <f t="shared" si="4"/>
        <v>61.9</v>
      </c>
    </row>
    <row r="12" spans="1:10" ht="78" thickBot="1" x14ac:dyDescent="0.3">
      <c r="A12" t="s">
        <v>97</v>
      </c>
      <c r="B12" s="58">
        <v>2006</v>
      </c>
      <c r="C12" s="59" t="s">
        <v>98</v>
      </c>
      <c r="D12" s="59" t="s">
        <v>99</v>
      </c>
      <c r="E12" s="59" t="s">
        <v>100</v>
      </c>
      <c r="F12" s="59" t="s">
        <v>101</v>
      </c>
      <c r="G12" s="59" t="s">
        <v>102</v>
      </c>
      <c r="H12" s="59" t="s">
        <v>103</v>
      </c>
      <c r="I12" s="59" t="s">
        <v>104</v>
      </c>
      <c r="J12" s="59" t="s">
        <v>105</v>
      </c>
    </row>
    <row r="13" spans="1:10" ht="15.75" thickBot="1" x14ac:dyDescent="0.3">
      <c r="A13" s="60" t="s">
        <v>15</v>
      </c>
      <c r="B13" s="61" t="s">
        <v>106</v>
      </c>
      <c r="C13" s="62">
        <v>0.79896379760487002</v>
      </c>
      <c r="D13" s="63"/>
      <c r="E13" s="64">
        <v>18.979902880269496</v>
      </c>
      <c r="F13" s="63">
        <v>0</v>
      </c>
      <c r="G13" s="64">
        <v>21.052878725363069</v>
      </c>
      <c r="H13" s="64">
        <v>7.0718194580258915</v>
      </c>
      <c r="I13" s="64">
        <v>1.988</v>
      </c>
      <c r="J13" s="64">
        <v>0</v>
      </c>
    </row>
    <row r="14" spans="1:10" ht="15.75" thickBot="1" x14ac:dyDescent="0.3">
      <c r="A14" s="65" t="s">
        <v>107</v>
      </c>
      <c r="B14" s="66" t="s">
        <v>108</v>
      </c>
      <c r="C14" s="62">
        <v>1.0253748103039216E-2</v>
      </c>
      <c r="D14" s="63"/>
      <c r="E14" s="64">
        <v>122.57599999999999</v>
      </c>
      <c r="F14" s="63">
        <v>0</v>
      </c>
      <c r="G14" s="64">
        <v>4.6192271301325709</v>
      </c>
      <c r="H14" s="64">
        <v>3.0794847534217142</v>
      </c>
      <c r="I14" s="64">
        <v>41.888000000000005</v>
      </c>
      <c r="J14" s="64">
        <v>62.082412628981757</v>
      </c>
    </row>
    <row r="15" spans="1:10" ht="15.75" thickBot="1" x14ac:dyDescent="0.3">
      <c r="A15" s="65" t="s">
        <v>109</v>
      </c>
      <c r="B15" s="66" t="s">
        <v>110</v>
      </c>
      <c r="C15" s="62">
        <v>4.0949078402655603E-2</v>
      </c>
      <c r="D15" s="63"/>
      <c r="E15" s="64">
        <v>10.162299686291657</v>
      </c>
      <c r="F15" s="63">
        <v>0</v>
      </c>
      <c r="G15" s="64">
        <v>2.7715362780795427</v>
      </c>
      <c r="H15" s="64">
        <v>1.8476908520530286</v>
      </c>
      <c r="I15" s="64">
        <v>2.1419999999999999</v>
      </c>
      <c r="J15" s="64">
        <v>42.866427767630256</v>
      </c>
    </row>
    <row r="16" spans="1:10" ht="15.75" thickBot="1" x14ac:dyDescent="0.3">
      <c r="A16" s="65" t="s">
        <v>111</v>
      </c>
      <c r="B16" s="66" t="s">
        <v>112</v>
      </c>
      <c r="C16" s="62">
        <v>4.085844663959138E-2</v>
      </c>
      <c r="D16" s="63"/>
      <c r="E16" s="64">
        <v>14.31960410341097</v>
      </c>
      <c r="F16" s="63">
        <v>0</v>
      </c>
      <c r="G16" s="64">
        <v>8.3146088342386282</v>
      </c>
      <c r="H16" s="64">
        <v>7</v>
      </c>
      <c r="I16" s="64">
        <v>2.4570000000000003</v>
      </c>
      <c r="J16" s="64">
        <v>29.563053632848455</v>
      </c>
    </row>
    <row r="17" spans="1:10" ht="15.75" thickBot="1" x14ac:dyDescent="0.3">
      <c r="A17" s="65" t="s">
        <v>113</v>
      </c>
      <c r="B17" s="66" t="s">
        <v>114</v>
      </c>
      <c r="C17" s="62">
        <v>8.2546962733871642E-3</v>
      </c>
      <c r="D17" s="63">
        <v>5</v>
      </c>
      <c r="E17" s="67">
        <v>70.593025247882508</v>
      </c>
      <c r="F17" s="62">
        <v>0.38325791855203623</v>
      </c>
      <c r="G17" s="64">
        <v>12.9338359643712</v>
      </c>
      <c r="H17" s="68">
        <v>9.8686772389128077</v>
      </c>
      <c r="I17" s="68">
        <v>10</v>
      </c>
      <c r="J17" s="68">
        <v>0</v>
      </c>
    </row>
    <row r="18" spans="1:10" ht="15.75" thickBot="1" x14ac:dyDescent="0.3">
      <c r="A18" s="65" t="s">
        <v>115</v>
      </c>
      <c r="B18" s="66" t="s">
        <v>116</v>
      </c>
      <c r="C18" s="62">
        <v>1.8573066615121118E-3</v>
      </c>
      <c r="D18" s="63">
        <v>-50</v>
      </c>
      <c r="E18" s="67">
        <v>119.98755838887863</v>
      </c>
      <c r="F18" s="62">
        <v>0.37383966244725736</v>
      </c>
      <c r="G18" s="64">
        <v>62.140352394535242</v>
      </c>
      <c r="H18" s="68">
        <v>62.140352394535242</v>
      </c>
      <c r="I18" s="68">
        <v>18</v>
      </c>
      <c r="J18" s="68">
        <v>0</v>
      </c>
    </row>
    <row r="19" spans="1:10" ht="15.75" thickBot="1" x14ac:dyDescent="0.3">
      <c r="A19" s="65" t="s">
        <v>78</v>
      </c>
      <c r="B19" s="66" t="s">
        <v>117</v>
      </c>
      <c r="C19" s="62">
        <v>9.2848272947954696E-2</v>
      </c>
      <c r="D19" s="63">
        <v>-30</v>
      </c>
      <c r="E19" s="64">
        <v>15</v>
      </c>
      <c r="F19" s="62">
        <v>0.1588235294117647</v>
      </c>
      <c r="G19" s="64">
        <v>17</v>
      </c>
      <c r="H19" s="68">
        <v>9</v>
      </c>
      <c r="I19" s="68">
        <v>8</v>
      </c>
      <c r="J19" s="68">
        <v>0</v>
      </c>
    </row>
    <row r="20" spans="1:10" ht="15.75" thickBot="1" x14ac:dyDescent="0.3">
      <c r="A20" s="65" t="s">
        <v>118</v>
      </c>
      <c r="B20" s="66" t="s">
        <v>119</v>
      </c>
      <c r="C20" s="62">
        <v>6.0146533669896548E-3</v>
      </c>
      <c r="D20" s="63">
        <v>35</v>
      </c>
      <c r="E20" s="64">
        <v>61.9</v>
      </c>
      <c r="F20" s="63"/>
      <c r="G20" s="64">
        <v>23.4</v>
      </c>
      <c r="H20" s="68">
        <v>18.399999999999999</v>
      </c>
      <c r="I20" s="68">
        <v>4.9375</v>
      </c>
      <c r="J20" s="68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"/>
  <sheetViews>
    <sheetView workbookViewId="0"/>
  </sheetViews>
  <sheetFormatPr baseColWidth="10" defaultRowHeight="15" x14ac:dyDescent="0.25"/>
  <cols>
    <col min="1" max="1" width="34.7109375" customWidth="1"/>
  </cols>
  <sheetData>
    <row r="1" spans="1:10" x14ac:dyDescent="0.25">
      <c r="A1" s="56" t="s">
        <v>120</v>
      </c>
      <c r="B1" s="48">
        <v>2010</v>
      </c>
      <c r="C1" s="48">
        <v>2020</v>
      </c>
      <c r="D1" s="48">
        <f>C1+5</f>
        <v>2025</v>
      </c>
      <c r="E1" s="48">
        <f t="shared" ref="E1:I1" si="0">D1+5</f>
        <v>2030</v>
      </c>
      <c r="F1" s="48">
        <f t="shared" si="0"/>
        <v>2035</v>
      </c>
      <c r="G1" s="48">
        <f t="shared" si="0"/>
        <v>2040</v>
      </c>
      <c r="H1" s="48">
        <f t="shared" si="0"/>
        <v>2045</v>
      </c>
      <c r="I1" s="48">
        <f t="shared" si="0"/>
        <v>2050</v>
      </c>
    </row>
    <row r="2" spans="1:10" x14ac:dyDescent="0.25">
      <c r="A2" s="57" t="s">
        <v>88</v>
      </c>
      <c r="B2" s="69">
        <f>'[5]CU énergie'!$H48</f>
        <v>21.052878725363069</v>
      </c>
      <c r="C2" s="69">
        <f>(('coût TEND'!C64*'coût TEND'!C63+'coût TEND'!C73*'coût TEND'!C72)/('coût TEND'!C63+'coût TEND'!C72))/1.19</f>
        <v>25.053934109253611</v>
      </c>
      <c r="D2" s="69">
        <f>(('coût TEND'!D64*'coût TEND'!D63+'coût TEND'!D73*'coût TEND'!D72)/('coût TEND'!D63+'coût TEND'!D72))/1.19</f>
        <v>31.714738804231146</v>
      </c>
      <c r="E2" s="69">
        <f>(('coût TEND'!E64*'coût TEND'!E63+'coût TEND'!E73*'coût TEND'!E72)/('coût TEND'!E63+'coût TEND'!E72))/1.19</f>
        <v>31.688146418157711</v>
      </c>
      <c r="F2" s="69">
        <f>(('coût TEND'!F64*'coût TEND'!F63+'coût TEND'!F73*'coût TEND'!F72)/('coût TEND'!F63+'coût TEND'!F72))/1.19</f>
        <v>31.077300834491332</v>
      </c>
      <c r="G2" s="69">
        <f>(('coût TEND'!G64*'coût TEND'!G63+'coût TEND'!G73*'coût TEND'!G72)/('coût TEND'!G63+'coût TEND'!G72))/1.19</f>
        <v>30.315795422846797</v>
      </c>
      <c r="H2" s="69">
        <f>(('coût TEND'!H64*'coût TEND'!H63+'coût TEND'!H73*'coût TEND'!H72)/('coût TEND'!H63+'coût TEND'!H72))/1.19</f>
        <v>29.250404379664833</v>
      </c>
      <c r="I2" s="69">
        <f>(('coût TEND'!I64*'coût TEND'!I63+'coût TEND'!I73*'coût TEND'!I72)/('coût TEND'!I63+'coût TEND'!I72))/1.19</f>
        <v>27.640985536341894</v>
      </c>
    </row>
    <row r="3" spans="1:10" x14ac:dyDescent="0.25">
      <c r="A3" s="57" t="s">
        <v>89</v>
      </c>
      <c r="B3" s="69">
        <f>'[5]CU énergie'!$H49</f>
        <v>4.6192271301325709</v>
      </c>
      <c r="C3" s="69">
        <f>'[5]CU énergie'!$H49</f>
        <v>4.6192271301325709</v>
      </c>
      <c r="D3" s="69">
        <f>'[5]CU énergie'!$H49</f>
        <v>4.6192271301325709</v>
      </c>
      <c r="E3" s="69">
        <f>'[5]CU énergie'!$H49</f>
        <v>4.6192271301325709</v>
      </c>
      <c r="F3" s="69">
        <f>'[5]CU énergie'!$H49</f>
        <v>4.6192271301325709</v>
      </c>
      <c r="G3" s="69">
        <f>'[5]CU énergie'!$H49</f>
        <v>4.6192271301325709</v>
      </c>
      <c r="H3" s="69">
        <f>'[5]CU énergie'!$H49</f>
        <v>4.6192271301325709</v>
      </c>
      <c r="I3" s="69">
        <f>'[5]CU énergie'!$H49</f>
        <v>4.6192271301325709</v>
      </c>
    </row>
    <row r="4" spans="1:10" x14ac:dyDescent="0.25">
      <c r="A4" s="57" t="s">
        <v>90</v>
      </c>
      <c r="B4" s="69">
        <f>'[5]CU énergie'!$H50</f>
        <v>2.7715362780795427</v>
      </c>
      <c r="C4" s="69">
        <f>'[5]CU énergie'!$H50</f>
        <v>2.7715362780795427</v>
      </c>
      <c r="D4" s="69">
        <f>'[5]CU énergie'!$H50</f>
        <v>2.7715362780795427</v>
      </c>
      <c r="E4" s="69">
        <f>'[5]CU énergie'!$H50</f>
        <v>2.7715362780795427</v>
      </c>
      <c r="F4" s="69">
        <f>'[5]CU énergie'!$H50</f>
        <v>2.7715362780795427</v>
      </c>
      <c r="G4" s="69">
        <f>'[5]CU énergie'!$H50</f>
        <v>2.7715362780795427</v>
      </c>
      <c r="H4" s="69">
        <f>'[5]CU énergie'!$H50</f>
        <v>2.7715362780795427</v>
      </c>
      <c r="I4" s="69">
        <f>'[5]CU énergie'!$H50</f>
        <v>2.7715362780795427</v>
      </c>
    </row>
    <row r="5" spans="1:10" x14ac:dyDescent="0.25">
      <c r="A5" s="57" t="s">
        <v>91</v>
      </c>
      <c r="B5" s="69">
        <f>'[5]CU énergie'!$H51</f>
        <v>8.3146088342386282</v>
      </c>
      <c r="C5" s="69">
        <f>'[5]CU énergie'!$H51</f>
        <v>8.3146088342386282</v>
      </c>
      <c r="D5" s="69">
        <f>'[5]CU énergie'!$H51</f>
        <v>8.3146088342386282</v>
      </c>
      <c r="E5" s="69">
        <f>'[5]CU énergie'!$H51</f>
        <v>8.3146088342386282</v>
      </c>
      <c r="F5" s="69">
        <f>'[5]CU énergie'!$H51</f>
        <v>8.3146088342386282</v>
      </c>
      <c r="G5" s="69">
        <f>'[5]CU énergie'!$H51</f>
        <v>8.3146088342386282</v>
      </c>
      <c r="H5" s="69">
        <f>'[5]CU énergie'!$H51</f>
        <v>8.3146088342386282</v>
      </c>
      <c r="I5" s="69">
        <f>'[5]CU énergie'!$H51</f>
        <v>8.3146088342386282</v>
      </c>
    </row>
    <row r="6" spans="1:10" x14ac:dyDescent="0.25">
      <c r="A6" s="57" t="s">
        <v>92</v>
      </c>
      <c r="B6" s="69">
        <f>'[5]CU énergie'!$H52</f>
        <v>12.9338359643712</v>
      </c>
      <c r="C6" s="69">
        <f>(('coût TEND'!C41*'coût TEND'!C40+'coût TEND'!C48*'coût TEND'!C47+'coût TEND'!C55*'coût TEND'!C54)/('coût TEND'!C40+'coût TEND'!C47+'coût TEND'!C54))/1.19</f>
        <v>20.164430766003107</v>
      </c>
      <c r="D6" s="69">
        <f>(('coût TEND'!D41*'coût TEND'!D40+'coût TEND'!D48*'coût TEND'!D47+'coût TEND'!D55*'coût TEND'!D54)/('coût TEND'!D40+'coût TEND'!D47+'coût TEND'!D54))/1.19</f>
        <v>15.776549031872513</v>
      </c>
      <c r="E6" s="69">
        <f>(('coût TEND'!E41*'coût TEND'!E40+'coût TEND'!E48*'coût TEND'!E47+'coût TEND'!E55*'coût TEND'!E54)/('coût TEND'!E40+'coût TEND'!E47+'coût TEND'!E54))/1.19</f>
        <v>14.143275027873452</v>
      </c>
      <c r="F6" s="69">
        <f>(('coût TEND'!F41*'coût TEND'!F40+'coût TEND'!F48*'coût TEND'!F47+'coût TEND'!F55*'coût TEND'!F54)/('coût TEND'!F40+'coût TEND'!F47+'coût TEND'!F54))/1.19</f>
        <v>12.785595179252132</v>
      </c>
      <c r="G6" s="69">
        <f>(('coût TEND'!G41*'coût TEND'!G40+'coût TEND'!G48*'coût TEND'!G47+'coût TEND'!G55*'coût TEND'!G54)/('coût TEND'!G40+'coût TEND'!G47+'coût TEND'!G54))/1.19</f>
        <v>11.538189719617396</v>
      </c>
      <c r="H6" s="69">
        <f>(('coût TEND'!H41*'coût TEND'!H40+'coût TEND'!H48*'coût TEND'!H47+'coût TEND'!H55*'coût TEND'!H54)/('coût TEND'!H40+'coût TEND'!H47+'coût TEND'!H54))/1.19</f>
        <v>10.360443522029838</v>
      </c>
      <c r="I6" s="69">
        <f>(('coût TEND'!I41*'coût TEND'!I40+'coût TEND'!I48*'coût TEND'!I47+'coût TEND'!I55*'coût TEND'!I54)/('coût TEND'!I40+'coût TEND'!I47+'coût TEND'!I54))/1.19</f>
        <v>9.5422560377962338</v>
      </c>
    </row>
    <row r="7" spans="1:10" x14ac:dyDescent="0.25">
      <c r="A7" s="57" t="s">
        <v>93</v>
      </c>
      <c r="B7" s="69">
        <f>'[5]CU énergie'!$H53</f>
        <v>62.140352394535242</v>
      </c>
      <c r="C7" s="69">
        <f>(('coût TEND'!C7*'coût TEND'!C6+'coût TEND'!C14*'coût TEND'!C13+'coût TEND'!C23*'coût TEND'!C22+'coût TEND'!C30*'coût TEND'!C29)/('coût TEND'!C6+'coût TEND'!C13+'coût TEND'!C22+'coût TEND'!C29))/1.19</f>
        <v>16.2192301972783</v>
      </c>
      <c r="D7" s="69">
        <f>(('coût TEND'!D7*'coût TEND'!D6+'coût TEND'!D14*'coût TEND'!D13+'coût TEND'!D23*'coût TEND'!D22+'coût TEND'!D30*'coût TEND'!D29)/('coût TEND'!D6+'coût TEND'!D13+'coût TEND'!D22+'coût TEND'!D29))/1.19</f>
        <v>13.417268985500392</v>
      </c>
      <c r="E7" s="69">
        <f>(('coût TEND'!E7*'coût TEND'!E6+'coût TEND'!E14*'coût TEND'!E13+'coût TEND'!E23*'coût TEND'!E22+'coût TEND'!E30*'coût TEND'!E29)/('coût TEND'!E6+'coût TEND'!E13+'coût TEND'!E22+'coût TEND'!E29))/1.19</f>
        <v>10.236620279635449</v>
      </c>
      <c r="F7" s="69">
        <f>(('coût TEND'!F7*'coût TEND'!F6+'coût TEND'!F14*'coût TEND'!F13+'coût TEND'!F23*'coût TEND'!F22+'coût TEND'!F30*'coût TEND'!F29)/('coût TEND'!F6+'coût TEND'!F13+'coût TEND'!F22+'coût TEND'!F29))/1.19</f>
        <v>8.8006988713690504</v>
      </c>
      <c r="G7" s="69">
        <f>(('coût TEND'!G7*'coût TEND'!G6+'coût TEND'!G14*'coût TEND'!G13+'coût TEND'!G23*'coût TEND'!G22+'coût TEND'!G30*'coût TEND'!G29)/('coût TEND'!G6+'coût TEND'!G13+'coût TEND'!G22+'coût TEND'!G29))/1.19</f>
        <v>7.9346868987606314</v>
      </c>
      <c r="H7" s="69">
        <f>(('coût TEND'!H7*'coût TEND'!H6+'coût TEND'!H14*'coût TEND'!H13+'coût TEND'!H23*'coût TEND'!H22+'coût TEND'!H30*'coût TEND'!H29)/('coût TEND'!H6+'coût TEND'!H13+'coût TEND'!H22+'coût TEND'!H29))/1.19</f>
        <v>7.167415912364457</v>
      </c>
      <c r="I7" s="69">
        <f>(('coût TEND'!I7*'coût TEND'!I6+'coût TEND'!I14*'coût TEND'!I13+'coût TEND'!I23*'coût TEND'!I22+'coût TEND'!I30*'coût TEND'!I29)/('coût TEND'!I6+'coût TEND'!I13+'coût TEND'!I22+'coût TEND'!I29))/1.19</f>
        <v>6.4991057760306452</v>
      </c>
    </row>
    <row r="8" spans="1:10" x14ac:dyDescent="0.25">
      <c r="A8" s="57" t="s">
        <v>94</v>
      </c>
      <c r="B8" s="69">
        <f>'[5]CU énergie'!$H54</f>
        <v>17</v>
      </c>
      <c r="C8" s="69">
        <f>'[5]CU énergie'!$H54</f>
        <v>17</v>
      </c>
      <c r="D8" s="69">
        <f>'[5]CU énergie'!$H54</f>
        <v>17</v>
      </c>
      <c r="E8" s="69">
        <f>'[5]CU énergie'!$H54</f>
        <v>17</v>
      </c>
      <c r="F8" s="69">
        <f>'[5]CU énergie'!$H54</f>
        <v>17</v>
      </c>
      <c r="G8" s="69">
        <f>'[5]CU énergie'!$H54</f>
        <v>17</v>
      </c>
      <c r="H8" s="69">
        <f>'[5]CU énergie'!$H54</f>
        <v>17</v>
      </c>
      <c r="I8" s="69">
        <f>'[5]CU énergie'!$H54</f>
        <v>17</v>
      </c>
    </row>
    <row r="9" spans="1:10" x14ac:dyDescent="0.25">
      <c r="A9" s="57" t="s">
        <v>95</v>
      </c>
      <c r="B9" s="69">
        <f>'[5]CU énergie'!$H55</f>
        <v>23.4</v>
      </c>
      <c r="C9" s="69">
        <f>'[5]CU énergie'!$H55</f>
        <v>23.4</v>
      </c>
      <c r="D9" s="69">
        <f>'[5]CU énergie'!$H55</f>
        <v>23.4</v>
      </c>
      <c r="E9" s="69">
        <f>'[5]CU énergie'!$H55</f>
        <v>23.4</v>
      </c>
      <c r="F9" s="69">
        <f>'[5]CU énergie'!$H55</f>
        <v>23.4</v>
      </c>
      <c r="G9" s="69">
        <f>'[5]CU énergie'!$H55</f>
        <v>23.4</v>
      </c>
      <c r="H9" s="69">
        <f>'[5]CU énergie'!$H55</f>
        <v>23.4</v>
      </c>
      <c r="I9" s="69">
        <f>'[5]CU énergie'!$H55</f>
        <v>23.4</v>
      </c>
    </row>
    <row r="12" spans="1:10" ht="78" thickBot="1" x14ac:dyDescent="0.3">
      <c r="A12" t="s">
        <v>97</v>
      </c>
      <c r="B12" s="58">
        <v>2006</v>
      </c>
      <c r="C12" s="59" t="s">
        <v>98</v>
      </c>
      <c r="D12" s="59" t="s">
        <v>99</v>
      </c>
      <c r="E12" s="59" t="s">
        <v>100</v>
      </c>
      <c r="F12" s="59" t="s">
        <v>101</v>
      </c>
      <c r="G12" s="59" t="s">
        <v>102</v>
      </c>
      <c r="H12" s="59" t="s">
        <v>103</v>
      </c>
      <c r="I12" s="59" t="s">
        <v>104</v>
      </c>
      <c r="J12" s="59" t="s">
        <v>105</v>
      </c>
    </row>
    <row r="13" spans="1:10" ht="15.75" thickBot="1" x14ac:dyDescent="0.3">
      <c r="A13" s="60" t="s">
        <v>15</v>
      </c>
      <c r="B13" s="61" t="s">
        <v>106</v>
      </c>
      <c r="C13" s="62">
        <v>0.79896379760487002</v>
      </c>
      <c r="D13" s="63"/>
      <c r="E13" s="64">
        <v>18.979902880269496</v>
      </c>
      <c r="F13" s="63">
        <v>0</v>
      </c>
      <c r="G13" s="64">
        <v>21.052878725363069</v>
      </c>
      <c r="H13" s="64">
        <v>7.0718194580258915</v>
      </c>
      <c r="I13" s="64">
        <v>1.988</v>
      </c>
      <c r="J13" s="64">
        <v>0</v>
      </c>
    </row>
    <row r="14" spans="1:10" ht="15.75" thickBot="1" x14ac:dyDescent="0.3">
      <c r="A14" s="65" t="s">
        <v>107</v>
      </c>
      <c r="B14" s="66" t="s">
        <v>108</v>
      </c>
      <c r="C14" s="62">
        <v>1.0253748103039216E-2</v>
      </c>
      <c r="D14" s="63"/>
      <c r="E14" s="64">
        <v>122.57599999999999</v>
      </c>
      <c r="F14" s="63">
        <v>0</v>
      </c>
      <c r="G14" s="64">
        <v>4.6192271301325709</v>
      </c>
      <c r="H14" s="64">
        <v>3.0794847534217142</v>
      </c>
      <c r="I14" s="64">
        <v>41.888000000000005</v>
      </c>
      <c r="J14" s="64">
        <v>62.082412628981757</v>
      </c>
    </row>
    <row r="15" spans="1:10" ht="15.75" thickBot="1" x14ac:dyDescent="0.3">
      <c r="A15" s="65" t="s">
        <v>109</v>
      </c>
      <c r="B15" s="66" t="s">
        <v>110</v>
      </c>
      <c r="C15" s="62">
        <v>4.0949078402655603E-2</v>
      </c>
      <c r="D15" s="63"/>
      <c r="E15" s="64">
        <v>10.162299686291657</v>
      </c>
      <c r="F15" s="63">
        <v>0</v>
      </c>
      <c r="G15" s="64">
        <v>2.7715362780795427</v>
      </c>
      <c r="H15" s="64">
        <v>1.8476908520530286</v>
      </c>
      <c r="I15" s="64">
        <v>2.1419999999999999</v>
      </c>
      <c r="J15" s="64">
        <v>42.866427767630256</v>
      </c>
    </row>
    <row r="16" spans="1:10" ht="15.75" thickBot="1" x14ac:dyDescent="0.3">
      <c r="A16" s="65" t="s">
        <v>111</v>
      </c>
      <c r="B16" s="66" t="s">
        <v>112</v>
      </c>
      <c r="C16" s="62">
        <v>4.085844663959138E-2</v>
      </c>
      <c r="D16" s="63"/>
      <c r="E16" s="64">
        <v>14.31960410341097</v>
      </c>
      <c r="F16" s="63">
        <v>0</v>
      </c>
      <c r="G16" s="64">
        <v>8.3146088342386282</v>
      </c>
      <c r="H16" s="64">
        <v>7</v>
      </c>
      <c r="I16" s="64">
        <v>2.4570000000000003</v>
      </c>
      <c r="J16" s="64">
        <v>29.563053632848455</v>
      </c>
    </row>
    <row r="17" spans="1:10" ht="15.75" thickBot="1" x14ac:dyDescent="0.3">
      <c r="A17" s="65" t="s">
        <v>113</v>
      </c>
      <c r="B17" s="66" t="s">
        <v>114</v>
      </c>
      <c r="C17" s="62">
        <v>8.2546962733871642E-3</v>
      </c>
      <c r="D17" s="63">
        <v>5</v>
      </c>
      <c r="E17" s="67">
        <v>70.593025247882508</v>
      </c>
      <c r="F17" s="62">
        <v>0.38325791855203623</v>
      </c>
      <c r="G17" s="64">
        <v>12.9338359643712</v>
      </c>
      <c r="H17" s="68">
        <v>9.8686772389128077</v>
      </c>
      <c r="I17" s="68">
        <v>10</v>
      </c>
      <c r="J17" s="68">
        <v>0</v>
      </c>
    </row>
    <row r="18" spans="1:10" ht="15.75" thickBot="1" x14ac:dyDescent="0.3">
      <c r="A18" s="65" t="s">
        <v>115</v>
      </c>
      <c r="B18" s="66" t="s">
        <v>116</v>
      </c>
      <c r="C18" s="62">
        <v>1.8573066615121118E-3</v>
      </c>
      <c r="D18" s="63">
        <v>-50</v>
      </c>
      <c r="E18" s="67">
        <v>119.98755838887863</v>
      </c>
      <c r="F18" s="62">
        <v>0.37383966244725736</v>
      </c>
      <c r="G18" s="64">
        <v>62.140352394535242</v>
      </c>
      <c r="H18" s="68">
        <v>62.140352394535242</v>
      </c>
      <c r="I18" s="68">
        <v>18</v>
      </c>
      <c r="J18" s="68">
        <v>0</v>
      </c>
    </row>
    <row r="19" spans="1:10" ht="15.75" thickBot="1" x14ac:dyDescent="0.3">
      <c r="A19" s="65" t="s">
        <v>78</v>
      </c>
      <c r="B19" s="66" t="s">
        <v>117</v>
      </c>
      <c r="C19" s="62">
        <v>9.2848272947954696E-2</v>
      </c>
      <c r="D19" s="63">
        <v>-30</v>
      </c>
      <c r="E19" s="64">
        <v>15</v>
      </c>
      <c r="F19" s="62">
        <v>0.1588235294117647</v>
      </c>
      <c r="G19" s="64">
        <v>17</v>
      </c>
      <c r="H19" s="68">
        <v>9</v>
      </c>
      <c r="I19" s="68">
        <v>8</v>
      </c>
      <c r="J19" s="68">
        <v>0</v>
      </c>
    </row>
    <row r="20" spans="1:10" ht="15.75" thickBot="1" x14ac:dyDescent="0.3">
      <c r="A20" s="65" t="s">
        <v>118</v>
      </c>
      <c r="B20" s="66" t="s">
        <v>119</v>
      </c>
      <c r="C20" s="62">
        <v>6.0146533669896548E-3</v>
      </c>
      <c r="D20" s="63">
        <v>35</v>
      </c>
      <c r="E20" s="64">
        <v>61.9</v>
      </c>
      <c r="F20" s="63"/>
      <c r="G20" s="64">
        <v>23.4</v>
      </c>
      <c r="H20" s="68">
        <v>18.399999999999999</v>
      </c>
      <c r="I20" s="68">
        <v>4.9375</v>
      </c>
      <c r="J20" s="68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"/>
  <sheetViews>
    <sheetView workbookViewId="0">
      <selection activeCell="D8" sqref="D8"/>
    </sheetView>
  </sheetViews>
  <sheetFormatPr baseColWidth="10" defaultRowHeight="15" x14ac:dyDescent="0.25"/>
  <cols>
    <col min="1" max="1" width="34.7109375" customWidth="1"/>
  </cols>
  <sheetData>
    <row r="1" spans="1:10" x14ac:dyDescent="0.25">
      <c r="A1" s="56" t="s">
        <v>120</v>
      </c>
      <c r="B1" s="48">
        <v>2010</v>
      </c>
      <c r="C1" s="48">
        <v>2020</v>
      </c>
      <c r="D1" s="48">
        <f>C1+5</f>
        <v>2025</v>
      </c>
      <c r="E1" s="48">
        <f t="shared" ref="E1:I1" si="0">D1+5</f>
        <v>2030</v>
      </c>
      <c r="F1" s="48">
        <f t="shared" si="0"/>
        <v>2035</v>
      </c>
      <c r="G1" s="48">
        <f t="shared" si="0"/>
        <v>2040</v>
      </c>
      <c r="H1" s="48">
        <f t="shared" si="0"/>
        <v>2045</v>
      </c>
      <c r="I1" s="48">
        <f t="shared" si="0"/>
        <v>2050</v>
      </c>
    </row>
    <row r="2" spans="1:10" x14ac:dyDescent="0.25">
      <c r="A2" s="57" t="s">
        <v>88</v>
      </c>
      <c r="B2" s="69">
        <f>'[5]CU énergie'!$H48</f>
        <v>21.052878725363069</v>
      </c>
      <c r="C2" s="69">
        <f>(('coût S2'!C64*'coût S2'!C63+'coût S2'!C73*'coût S2'!C72)/('coût S2'!C63+'coût S2'!C72))/1.19</f>
        <v>25.053934109253611</v>
      </c>
      <c r="D2" s="69">
        <f>(('coût S2'!D64*'coût S2'!D63+'coût S2'!D73*'coût S2'!D72)/('coût S2'!D63+'coût S2'!D72))/1.19</f>
        <v>26.599636777446214</v>
      </c>
      <c r="E2" s="69">
        <f>(('coût S2'!E64*'coût S2'!E63+'coût S2'!E73*'coût S2'!E72)/('coût S2'!E63+'coût S2'!E72))/1.19</f>
        <v>26.569383738615954</v>
      </c>
      <c r="F2" s="69">
        <f>(('coût S2'!F64*'coût S2'!F63+'coût S2'!F73*'coût S2'!F72)/('coût S2'!F63+'coût S2'!F72))/1.19</f>
        <v>26.517730668166813</v>
      </c>
      <c r="G2" s="69">
        <f>(('coût S2'!G64*'coût S2'!G63+'coût S2'!G73*'coût S2'!G72)/('coût S2'!G63+'coût S2'!G72))/1.19</f>
        <v>26.269743935151258</v>
      </c>
      <c r="H2" s="69">
        <f>(('coût S2'!H64*'coût S2'!H63+'coût S2'!H73*'coût S2'!H72)/('coût S2'!H63+'coût S2'!H72))/1.19</f>
        <v>25.167079160569386</v>
      </c>
      <c r="I2" s="69">
        <f>(('coût S2'!I64*'coût S2'!I63+'coût S2'!I73*'coût S2'!I72)/('coût S2'!I63+'coût S2'!I72))/1.19</f>
        <v>23.431110161799317</v>
      </c>
    </row>
    <row r="3" spans="1:10" x14ac:dyDescent="0.25">
      <c r="A3" s="57" t="s">
        <v>89</v>
      </c>
      <c r="B3" s="69">
        <f>'[5]CU énergie'!$H49</f>
        <v>4.6192271301325709</v>
      </c>
      <c r="C3" s="69">
        <f>'[5]CU énergie'!$H49</f>
        <v>4.6192271301325709</v>
      </c>
      <c r="D3" s="69">
        <f>'[5]CU énergie'!$H49</f>
        <v>4.6192271301325709</v>
      </c>
      <c r="E3" s="69">
        <f>'[5]CU énergie'!$H49</f>
        <v>4.6192271301325709</v>
      </c>
      <c r="F3" s="69">
        <f>'[5]CU énergie'!$H49</f>
        <v>4.6192271301325709</v>
      </c>
      <c r="G3" s="69">
        <f>'[5]CU énergie'!$H49</f>
        <v>4.6192271301325709</v>
      </c>
      <c r="H3" s="69">
        <f>'[5]CU énergie'!$H49</f>
        <v>4.6192271301325709</v>
      </c>
      <c r="I3" s="69">
        <f>'[5]CU énergie'!$H49</f>
        <v>4.6192271301325709</v>
      </c>
    </row>
    <row r="4" spans="1:10" x14ac:dyDescent="0.25">
      <c r="A4" s="57" t="s">
        <v>90</v>
      </c>
      <c r="B4" s="69">
        <f>'[5]CU énergie'!$H50</f>
        <v>2.7715362780795427</v>
      </c>
      <c r="C4" s="69">
        <f>'[5]CU énergie'!$H50</f>
        <v>2.7715362780795427</v>
      </c>
      <c r="D4" s="69">
        <f>'[5]CU énergie'!$H50</f>
        <v>2.7715362780795427</v>
      </c>
      <c r="E4" s="69">
        <f>'[5]CU énergie'!$H50</f>
        <v>2.7715362780795427</v>
      </c>
      <c r="F4" s="69">
        <f>'[5]CU énergie'!$H50</f>
        <v>2.7715362780795427</v>
      </c>
      <c r="G4" s="69">
        <f>'[5]CU énergie'!$H50</f>
        <v>2.7715362780795427</v>
      </c>
      <c r="H4" s="69">
        <f>'[5]CU énergie'!$H50</f>
        <v>2.7715362780795427</v>
      </c>
      <c r="I4" s="69">
        <f>'[5]CU énergie'!$H50</f>
        <v>2.7715362780795427</v>
      </c>
    </row>
    <row r="5" spans="1:10" x14ac:dyDescent="0.25">
      <c r="A5" s="57" t="s">
        <v>91</v>
      </c>
      <c r="B5" s="69">
        <f>'[5]CU énergie'!$H51</f>
        <v>8.3146088342386282</v>
      </c>
      <c r="C5" s="69">
        <f>'[5]CU énergie'!$H51</f>
        <v>8.3146088342386282</v>
      </c>
      <c r="D5" s="69">
        <f>'[5]CU énergie'!$H51</f>
        <v>8.3146088342386282</v>
      </c>
      <c r="E5" s="69">
        <f>'[5]CU énergie'!$H51</f>
        <v>8.3146088342386282</v>
      </c>
      <c r="F5" s="69">
        <f>'[5]CU énergie'!$H51</f>
        <v>8.3146088342386282</v>
      </c>
      <c r="G5" s="69">
        <f>'[5]CU énergie'!$H51</f>
        <v>8.3146088342386282</v>
      </c>
      <c r="H5" s="69">
        <f>'[5]CU énergie'!$H51</f>
        <v>8.3146088342386282</v>
      </c>
      <c r="I5" s="69">
        <f>'[5]CU énergie'!$H51</f>
        <v>8.3146088342386282</v>
      </c>
    </row>
    <row r="6" spans="1:10" x14ac:dyDescent="0.25">
      <c r="A6" s="57" t="s">
        <v>92</v>
      </c>
      <c r="B6" s="69">
        <f>'[5]CU énergie'!$H52</f>
        <v>12.9338359643712</v>
      </c>
      <c r="C6" s="69">
        <f>(('coût S2'!C41*'coût S2'!C40+'coût S2'!C48*'coût S2'!C47+'coût S2'!C55*'coût S2'!C54)/('coût S2'!C40+'coût S2'!C47+'coût S2'!C54))/1.19</f>
        <v>20.164430766003107</v>
      </c>
      <c r="D6" s="69">
        <f>(('coût S2'!D41*'coût S2'!D40+'coût S2'!D48*'coût S2'!D47+'coût S2'!D55*'coût S2'!D54)/('coût S2'!D40+'coût S2'!D47+'coût S2'!D54))/1.19</f>
        <v>16.978401971139203</v>
      </c>
      <c r="E6" s="69">
        <f>(('coût S2'!E41*'coût S2'!E40+'coût S2'!E48*'coût S2'!E47+'coût S2'!E55*'coût S2'!E54)/('coût S2'!E40+'coût S2'!E47+'coût S2'!E54))/1.19</f>
        <v>14.711921981406018</v>
      </c>
      <c r="F6" s="69">
        <f>(('coût S2'!F41*'coût S2'!F40+'coût S2'!F48*'coût S2'!F47+'coût S2'!F55*'coût S2'!F54)/('coût S2'!F40+'coût S2'!F47+'coût S2'!F54))/1.19</f>
        <v>10.808552714996098</v>
      </c>
      <c r="G6" s="69">
        <f>(('coût S2'!G41*'coût S2'!G40+'coût S2'!G48*'coût S2'!G47+'coût S2'!G55*'coût S2'!G54)/('coût S2'!G40+'coût S2'!G47+'coût S2'!G54))/1.19</f>
        <v>10.125566408553377</v>
      </c>
      <c r="H6" s="69">
        <f>(('coût S2'!H41*'coût S2'!H40+'coût S2'!H48*'coût S2'!H47+'coût S2'!H55*'coût S2'!H54)/('coût S2'!H40+'coût S2'!H47+'coût S2'!H54))/1.19</f>
        <v>9.1103634003983043</v>
      </c>
      <c r="I6" s="69">
        <f>(('coût S2'!I41*'coût S2'!I40+'coût S2'!I48*'coût S2'!I47+'coût S2'!I55*'coût S2'!I54)/('coût S2'!I40+'coût S2'!I47+'coût S2'!I54))/1.19</f>
        <v>8.6027253785949735</v>
      </c>
    </row>
    <row r="7" spans="1:10" x14ac:dyDescent="0.25">
      <c r="A7" s="57" t="s">
        <v>93</v>
      </c>
      <c r="B7" s="69">
        <f>'[5]CU énergie'!$H53</f>
        <v>62.140352394535242</v>
      </c>
      <c r="C7" s="69">
        <f>(('coût S2'!C7*'coût S2'!C6+'coût S2'!C14*'coût S2'!C13+'coût S2'!C23*'coût S2'!C22+'coût S2'!C30*'coût S2'!C29)/('coût S2'!C6+'coût S2'!C13+'coût S2'!C22+'coût S2'!C29))/1.19</f>
        <v>16.2192301972783</v>
      </c>
      <c r="D7" s="69">
        <f>(('coût S2'!D7*'coût S2'!D6+'coût S2'!D14*'coût S2'!D13+'coût S2'!D23*'coût S2'!D22+'coût S2'!D30*'coût S2'!D29)/('coût S2'!D6+'coût S2'!D13+'coût S2'!D22+'coût S2'!D29))/1.19</f>
        <v>12.307917106808672</v>
      </c>
      <c r="E7" s="69">
        <f>(('coût S2'!E7*'coût S2'!E6+'coût S2'!E14*'coût S2'!E13+'coût S2'!E23*'coût S2'!E22+'coût S2'!E30*'coût S2'!E29)/('coût S2'!E6+'coût S2'!E13+'coût S2'!E22+'coût S2'!E29))/1.19</f>
        <v>8.0775914313182149</v>
      </c>
      <c r="F7" s="69">
        <f>(('coût S2'!F7*'coût S2'!F6+'coût S2'!F14*'coût S2'!F13+'coût S2'!F23*'coût S2'!F22+'coût S2'!F30*'coût S2'!F29)/('coût S2'!F6+'coût S2'!F13+'coût S2'!F22+'coût S2'!F29))/1.19</f>
        <v>7.3010783517725839</v>
      </c>
      <c r="G7" s="69">
        <f>(('coût S2'!G7*'coût S2'!G6+'coût S2'!G14*'coût S2'!G13+'coût S2'!G23*'coût S2'!G22+'coût S2'!G30*'coût S2'!G29)/('coût S2'!G6+'coût S2'!G13+'coût S2'!G22+'coût S2'!G29))/1.19</f>
        <v>6.642149962243332</v>
      </c>
      <c r="H7" s="69">
        <f>(('coût S2'!H7*'coût S2'!H6+'coût S2'!H14*'coût S2'!H13+'coût S2'!H23*'coût S2'!H22+'coût S2'!H30*'coût S2'!H29)/('coût S2'!H6+'coût S2'!H13+'coût S2'!H22+'coût S2'!H29))/1.19</f>
        <v>5.9212949482156292</v>
      </c>
      <c r="I7" s="69">
        <f>(('coût S2'!I7*'coût S2'!I6+'coût S2'!I14*'coût S2'!I13+'coût S2'!I23*'coût S2'!I22+'coût S2'!I30*'coût S2'!I29)/('coût S2'!I6+'coût S2'!I13+'coût S2'!I22+'coût S2'!I29))/1.19</f>
        <v>2.6258382069809008</v>
      </c>
    </row>
    <row r="8" spans="1:10" x14ac:dyDescent="0.25">
      <c r="A8" s="57" t="s">
        <v>94</v>
      </c>
      <c r="B8" s="69">
        <f>'[5]CU énergie'!$H54</f>
        <v>17</v>
      </c>
      <c r="C8" s="69">
        <f>'[5]CU énergie'!$H54</f>
        <v>17</v>
      </c>
      <c r="D8" s="69">
        <f>'[5]CU énergie'!$H54</f>
        <v>17</v>
      </c>
      <c r="E8" s="69">
        <f>'[5]CU énergie'!$H54</f>
        <v>17</v>
      </c>
      <c r="F8" s="69">
        <f>'[5]CU énergie'!$H54</f>
        <v>17</v>
      </c>
      <c r="G8" s="69">
        <f>'[5]CU énergie'!$H54</f>
        <v>17</v>
      </c>
      <c r="H8" s="69">
        <f>'[5]CU énergie'!$H54</f>
        <v>17</v>
      </c>
      <c r="I8" s="69">
        <f>'[5]CU énergie'!$H54</f>
        <v>17</v>
      </c>
    </row>
    <row r="9" spans="1:10" x14ac:dyDescent="0.25">
      <c r="A9" s="57" t="s">
        <v>95</v>
      </c>
      <c r="B9" s="69">
        <f>'[5]CU énergie'!$H55</f>
        <v>23.4</v>
      </c>
      <c r="C9" s="69">
        <f>'[5]CU énergie'!$H55</f>
        <v>23.4</v>
      </c>
      <c r="D9" s="69">
        <f>'[5]CU énergie'!$H55</f>
        <v>23.4</v>
      </c>
      <c r="E9" s="69">
        <f>'[5]CU énergie'!$H55</f>
        <v>23.4</v>
      </c>
      <c r="F9" s="69">
        <f>'[5]CU énergie'!$H55</f>
        <v>23.4</v>
      </c>
      <c r="G9" s="69">
        <f>'[5]CU énergie'!$H55</f>
        <v>23.4</v>
      </c>
      <c r="H9" s="69">
        <f>'[5]CU énergie'!$H55</f>
        <v>23.4</v>
      </c>
      <c r="I9" s="69">
        <f>'[5]CU énergie'!$H55</f>
        <v>23.4</v>
      </c>
    </row>
    <row r="12" spans="1:10" ht="78" thickBot="1" x14ac:dyDescent="0.3">
      <c r="A12" t="s">
        <v>97</v>
      </c>
      <c r="B12" s="58">
        <v>2006</v>
      </c>
      <c r="C12" s="59" t="s">
        <v>98</v>
      </c>
      <c r="D12" s="59" t="s">
        <v>99</v>
      </c>
      <c r="E12" s="59" t="s">
        <v>100</v>
      </c>
      <c r="F12" s="59" t="s">
        <v>101</v>
      </c>
      <c r="G12" s="59" t="s">
        <v>102</v>
      </c>
      <c r="H12" s="59" t="s">
        <v>103</v>
      </c>
      <c r="I12" s="59" t="s">
        <v>104</v>
      </c>
      <c r="J12" s="59" t="s">
        <v>105</v>
      </c>
    </row>
    <row r="13" spans="1:10" ht="15.75" thickBot="1" x14ac:dyDescent="0.3">
      <c r="A13" s="60" t="s">
        <v>15</v>
      </c>
      <c r="B13" s="61" t="s">
        <v>106</v>
      </c>
      <c r="C13" s="62">
        <v>0.79896379760487002</v>
      </c>
      <c r="D13" s="63"/>
      <c r="E13" s="64">
        <v>18.979902880269496</v>
      </c>
      <c r="F13" s="63">
        <v>0</v>
      </c>
      <c r="G13" s="64">
        <v>21.052878725363069</v>
      </c>
      <c r="H13" s="64">
        <v>7.0718194580258915</v>
      </c>
      <c r="I13" s="64">
        <v>1.988</v>
      </c>
      <c r="J13" s="64">
        <v>0</v>
      </c>
    </row>
    <row r="14" spans="1:10" ht="15.75" thickBot="1" x14ac:dyDescent="0.3">
      <c r="A14" s="65" t="s">
        <v>107</v>
      </c>
      <c r="B14" s="66" t="s">
        <v>108</v>
      </c>
      <c r="C14" s="62">
        <v>1.0253748103039216E-2</v>
      </c>
      <c r="D14" s="63"/>
      <c r="E14" s="64">
        <v>122.57599999999999</v>
      </c>
      <c r="F14" s="63">
        <v>0</v>
      </c>
      <c r="G14" s="64">
        <v>4.6192271301325709</v>
      </c>
      <c r="H14" s="64">
        <v>3.0794847534217142</v>
      </c>
      <c r="I14" s="64">
        <v>41.888000000000005</v>
      </c>
      <c r="J14" s="64">
        <v>62.082412628981757</v>
      </c>
    </row>
    <row r="15" spans="1:10" ht="15.75" thickBot="1" x14ac:dyDescent="0.3">
      <c r="A15" s="65" t="s">
        <v>109</v>
      </c>
      <c r="B15" s="66" t="s">
        <v>110</v>
      </c>
      <c r="C15" s="62">
        <v>4.0949078402655603E-2</v>
      </c>
      <c r="D15" s="63"/>
      <c r="E15" s="64">
        <v>10.162299686291657</v>
      </c>
      <c r="F15" s="63">
        <v>0</v>
      </c>
      <c r="G15" s="64">
        <v>2.7715362780795427</v>
      </c>
      <c r="H15" s="64">
        <v>1.8476908520530286</v>
      </c>
      <c r="I15" s="64">
        <v>2.1419999999999999</v>
      </c>
      <c r="J15" s="64">
        <v>42.866427767630256</v>
      </c>
    </row>
    <row r="16" spans="1:10" ht="15.75" thickBot="1" x14ac:dyDescent="0.3">
      <c r="A16" s="65" t="s">
        <v>111</v>
      </c>
      <c r="B16" s="66" t="s">
        <v>112</v>
      </c>
      <c r="C16" s="62">
        <v>4.085844663959138E-2</v>
      </c>
      <c r="D16" s="63"/>
      <c r="E16" s="64">
        <v>14.31960410341097</v>
      </c>
      <c r="F16" s="63">
        <v>0</v>
      </c>
      <c r="G16" s="64">
        <v>8.3146088342386282</v>
      </c>
      <c r="H16" s="64">
        <v>7</v>
      </c>
      <c r="I16" s="64">
        <v>2.4570000000000003</v>
      </c>
      <c r="J16" s="64">
        <v>29.563053632848455</v>
      </c>
    </row>
    <row r="17" spans="1:10" ht="15.75" thickBot="1" x14ac:dyDescent="0.3">
      <c r="A17" s="65" t="s">
        <v>113</v>
      </c>
      <c r="B17" s="66" t="s">
        <v>114</v>
      </c>
      <c r="C17" s="62">
        <v>8.2546962733871642E-3</v>
      </c>
      <c r="D17" s="63">
        <v>5</v>
      </c>
      <c r="E17" s="67">
        <v>70.593025247882508</v>
      </c>
      <c r="F17" s="62">
        <v>0.38325791855203623</v>
      </c>
      <c r="G17" s="64">
        <v>12.9338359643712</v>
      </c>
      <c r="H17" s="68">
        <v>9.8686772389128077</v>
      </c>
      <c r="I17" s="68">
        <v>10</v>
      </c>
      <c r="J17" s="68">
        <v>0</v>
      </c>
    </row>
    <row r="18" spans="1:10" ht="15.75" thickBot="1" x14ac:dyDescent="0.3">
      <c r="A18" s="65" t="s">
        <v>115</v>
      </c>
      <c r="B18" s="66" t="s">
        <v>116</v>
      </c>
      <c r="C18" s="62">
        <v>1.8573066615121118E-3</v>
      </c>
      <c r="D18" s="63">
        <v>-50</v>
      </c>
      <c r="E18" s="67">
        <v>119.98755838887863</v>
      </c>
      <c r="F18" s="62">
        <v>0.37383966244725736</v>
      </c>
      <c r="G18" s="64">
        <v>62.140352394535242</v>
      </c>
      <c r="H18" s="68">
        <v>62.140352394535242</v>
      </c>
      <c r="I18" s="68">
        <v>18</v>
      </c>
      <c r="J18" s="68">
        <v>0</v>
      </c>
    </row>
    <row r="19" spans="1:10" ht="15.75" thickBot="1" x14ac:dyDescent="0.3">
      <c r="A19" s="65" t="s">
        <v>78</v>
      </c>
      <c r="B19" s="66" t="s">
        <v>117</v>
      </c>
      <c r="C19" s="62">
        <v>9.2848272947954696E-2</v>
      </c>
      <c r="D19" s="63">
        <v>-30</v>
      </c>
      <c r="E19" s="64">
        <v>15</v>
      </c>
      <c r="F19" s="62">
        <v>0.1588235294117647</v>
      </c>
      <c r="G19" s="64">
        <v>17</v>
      </c>
      <c r="H19" s="68">
        <v>9</v>
      </c>
      <c r="I19" s="68">
        <v>8</v>
      </c>
      <c r="J19" s="68">
        <v>0</v>
      </c>
    </row>
    <row r="20" spans="1:10" ht="15.75" thickBot="1" x14ac:dyDescent="0.3">
      <c r="A20" s="65" t="s">
        <v>118</v>
      </c>
      <c r="B20" s="66" t="s">
        <v>119</v>
      </c>
      <c r="C20" s="62">
        <v>6.0146533669896548E-3</v>
      </c>
      <c r="D20" s="63">
        <v>35</v>
      </c>
      <c r="E20" s="64">
        <v>61.9</v>
      </c>
      <c r="F20" s="63"/>
      <c r="G20" s="64">
        <v>23.4</v>
      </c>
      <c r="H20" s="68">
        <v>18.399999999999999</v>
      </c>
      <c r="I20" s="68">
        <v>4.9375</v>
      </c>
      <c r="J20" s="68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20"/>
  <sheetViews>
    <sheetView topLeftCell="T1" workbookViewId="0">
      <selection activeCell="AB9" sqref="AB9"/>
    </sheetView>
  </sheetViews>
  <sheetFormatPr baseColWidth="10" defaultRowHeight="15" x14ac:dyDescent="0.25"/>
  <cols>
    <col min="1" max="1" width="34.7109375" customWidth="1"/>
    <col min="34" max="58" width="10.85546875"/>
  </cols>
  <sheetData>
    <row r="1" spans="1:58" x14ac:dyDescent="0.25">
      <c r="A1" s="56" t="s">
        <v>121</v>
      </c>
      <c r="B1" s="48">
        <v>2010</v>
      </c>
      <c r="C1" s="48">
        <v>2020</v>
      </c>
      <c r="D1" s="48">
        <f>C1+1</f>
        <v>2021</v>
      </c>
      <c r="E1" s="48">
        <f t="shared" ref="E1:AG1" si="0">D1+1</f>
        <v>2022</v>
      </c>
      <c r="F1" s="48">
        <f t="shared" si="0"/>
        <v>2023</v>
      </c>
      <c r="G1" s="48">
        <f t="shared" si="0"/>
        <v>2024</v>
      </c>
      <c r="H1" s="48">
        <f t="shared" si="0"/>
        <v>2025</v>
      </c>
      <c r="I1" s="48">
        <f t="shared" si="0"/>
        <v>2026</v>
      </c>
      <c r="J1" s="48">
        <f t="shared" si="0"/>
        <v>2027</v>
      </c>
      <c r="K1" s="48">
        <f t="shared" si="0"/>
        <v>2028</v>
      </c>
      <c r="L1" s="48">
        <f t="shared" si="0"/>
        <v>2029</v>
      </c>
      <c r="M1" s="48">
        <f t="shared" si="0"/>
        <v>2030</v>
      </c>
      <c r="N1" s="48">
        <f t="shared" si="0"/>
        <v>2031</v>
      </c>
      <c r="O1" s="48">
        <f t="shared" si="0"/>
        <v>2032</v>
      </c>
      <c r="P1" s="48">
        <f t="shared" si="0"/>
        <v>2033</v>
      </c>
      <c r="Q1" s="48">
        <f t="shared" si="0"/>
        <v>2034</v>
      </c>
      <c r="R1" s="48">
        <f t="shared" si="0"/>
        <v>2035</v>
      </c>
      <c r="S1" s="48">
        <f t="shared" si="0"/>
        <v>2036</v>
      </c>
      <c r="T1" s="48">
        <f t="shared" si="0"/>
        <v>2037</v>
      </c>
      <c r="U1" s="48">
        <f t="shared" si="0"/>
        <v>2038</v>
      </c>
      <c r="V1" s="48">
        <f t="shared" si="0"/>
        <v>2039</v>
      </c>
      <c r="W1" s="48">
        <f t="shared" si="0"/>
        <v>2040</v>
      </c>
      <c r="X1" s="48">
        <f t="shared" si="0"/>
        <v>2041</v>
      </c>
      <c r="Y1" s="48">
        <f t="shared" si="0"/>
        <v>2042</v>
      </c>
      <c r="Z1" s="48">
        <f t="shared" si="0"/>
        <v>2043</v>
      </c>
      <c r="AA1" s="48">
        <f t="shared" si="0"/>
        <v>2044</v>
      </c>
      <c r="AB1" s="48">
        <f t="shared" si="0"/>
        <v>2045</v>
      </c>
      <c r="AC1" s="48">
        <f t="shared" si="0"/>
        <v>2046</v>
      </c>
      <c r="AD1" s="48">
        <f t="shared" si="0"/>
        <v>2047</v>
      </c>
      <c r="AE1" s="48">
        <f t="shared" si="0"/>
        <v>2048</v>
      </c>
      <c r="AF1" s="48">
        <f t="shared" si="0"/>
        <v>2049</v>
      </c>
      <c r="AG1" s="48">
        <f t="shared" si="0"/>
        <v>2050</v>
      </c>
    </row>
    <row r="2" spans="1:58" x14ac:dyDescent="0.25">
      <c r="A2" s="57" t="s">
        <v>88</v>
      </c>
      <c r="B2" s="69"/>
      <c r="C2" s="69">
        <f>('coût TEND'!C65*'coût TEND'!C63*'coût TEND'!C61+'coût TEND'!C74*'coût TEND'!C72*'coût TEND'!C70)/1.19</f>
        <v>22885.540280261903</v>
      </c>
      <c r="D2" s="69">
        <f>+C2+($H2-$C2)/5</f>
        <v>26711.038180375363</v>
      </c>
      <c r="E2" s="69">
        <f t="shared" ref="E2:G2" si="1">+D2+($H2-$C2)/5</f>
        <v>30536.536080488822</v>
      </c>
      <c r="F2" s="69">
        <f t="shared" si="1"/>
        <v>34362.033980602282</v>
      </c>
      <c r="G2" s="69">
        <f t="shared" si="1"/>
        <v>38187.531880715738</v>
      </c>
      <c r="H2" s="69">
        <f>('coût TEND'!D65*'coût TEND'!D63*'coût TEND'!D61+'coût TEND'!D74*'coût TEND'!D72*'coût TEND'!D70)/1.19</f>
        <v>42013.029780829194</v>
      </c>
      <c r="I2" s="69">
        <f>H2+($M2-$H2)/5</f>
        <v>41918.972511287466</v>
      </c>
      <c r="J2" s="69">
        <f t="shared" ref="J2:L2" si="2">I2+($M2-$H2)/5</f>
        <v>41824.915241745737</v>
      </c>
      <c r="K2" s="69">
        <f t="shared" si="2"/>
        <v>41730.857972204009</v>
      </c>
      <c r="L2" s="69">
        <f t="shared" si="2"/>
        <v>41636.80070266228</v>
      </c>
      <c r="M2" s="69">
        <f>('coût TEND'!E65*'coût TEND'!E63*'coût TEND'!E61+'coût TEND'!E74*'coût TEND'!E72*'coût TEND'!E70)/1.19</f>
        <v>41542.743433120566</v>
      </c>
      <c r="N2" s="69">
        <f>M2+($R2-$M2)/5</f>
        <v>40551.203287040422</v>
      </c>
      <c r="O2" s="69">
        <f t="shared" ref="O2:Q2" si="3">N2+($R2-$M2)/5</f>
        <v>39559.663140960278</v>
      </c>
      <c r="P2" s="69">
        <f t="shared" si="3"/>
        <v>38568.122994880134</v>
      </c>
      <c r="Q2" s="69">
        <f t="shared" si="3"/>
        <v>37576.58284879999</v>
      </c>
      <c r="R2" s="69">
        <f>('coût TEND'!F65*'coût TEND'!F63*'coût TEND'!F61+'coût TEND'!F74*'coût TEND'!F72*'coût TEND'!F70)/1.19</f>
        <v>36585.042702719838</v>
      </c>
      <c r="S2" s="69">
        <f>R2+($W2-$R2)/5</f>
        <v>35726.327933675217</v>
      </c>
      <c r="T2" s="69">
        <f t="shared" ref="T2:V2" si="4">S2+($W2-$R2)/5</f>
        <v>34867.613164630595</v>
      </c>
      <c r="U2" s="69">
        <f t="shared" si="4"/>
        <v>34008.898395585973</v>
      </c>
      <c r="V2" s="69">
        <f t="shared" si="4"/>
        <v>33150.183626541351</v>
      </c>
      <c r="W2" s="69">
        <f>('coût TEND'!G65*'coût TEND'!G63*'coût TEND'!G61+'coût TEND'!G74*'coût TEND'!G72*'coût TEND'!G70)/1.19</f>
        <v>32291.468857496733</v>
      </c>
      <c r="X2" s="69">
        <f>W2+($AB2-$W2)/5</f>
        <v>31425.942638037803</v>
      </c>
      <c r="Y2" s="69">
        <f t="shared" ref="Y2:AA2" si="5">X2+($AB2-$W2)/5</f>
        <v>30560.416418578872</v>
      </c>
      <c r="Z2" s="69">
        <f t="shared" si="5"/>
        <v>29694.890199119942</v>
      </c>
      <c r="AA2" s="69">
        <f t="shared" si="5"/>
        <v>28829.363979661011</v>
      </c>
      <c r="AB2" s="69">
        <f>('coût TEND'!H65*'coût TEND'!H63*'coût TEND'!H61+'coût TEND'!H74*'coût TEND'!H72*'coût TEND'!H70)/1.19</f>
        <v>27963.837760202085</v>
      </c>
      <c r="AC2" s="69">
        <f>AB2+($AG2-$AB2)/5</f>
        <v>27068.393734649308</v>
      </c>
      <c r="AD2" s="69">
        <f t="shared" ref="AD2:AF2" si="6">AC2+($AG2-$AB2)/5</f>
        <v>26172.949709096531</v>
      </c>
      <c r="AE2" s="69">
        <f t="shared" si="6"/>
        <v>25277.505683543754</v>
      </c>
      <c r="AF2" s="69">
        <f t="shared" si="6"/>
        <v>24382.061657990977</v>
      </c>
      <c r="AG2" s="69">
        <f>('coût TEND'!I65*'coût TEND'!I63*'coût TEND'!I61+'coût TEND'!I74*'coût TEND'!I72*'coût TEND'!I70)/1.19</f>
        <v>23486.6176324382</v>
      </c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</row>
    <row r="3" spans="1:58" x14ac:dyDescent="0.25">
      <c r="A3" s="57" t="s">
        <v>89</v>
      </c>
      <c r="B3" s="69"/>
      <c r="C3" s="69">
        <f>'[5]CU énergie'!$F49*1</f>
        <v>122.57599999999999</v>
      </c>
      <c r="D3" s="69">
        <f>'[5]CU énergie'!$F49*1</f>
        <v>122.57599999999999</v>
      </c>
      <c r="E3" s="69">
        <f>'[5]CU énergie'!$F49*1</f>
        <v>122.57599999999999</v>
      </c>
      <c r="F3" s="69">
        <f>'[5]CU énergie'!$F49*1</f>
        <v>122.57599999999999</v>
      </c>
      <c r="G3" s="69">
        <f>'[5]CU énergie'!$F49*1</f>
        <v>122.57599999999999</v>
      </c>
      <c r="H3" s="69">
        <f>'[5]CU énergie'!$F49*1</f>
        <v>122.57599999999999</v>
      </c>
      <c r="I3" s="69">
        <f>'[5]CU énergie'!$F49*1</f>
        <v>122.57599999999999</v>
      </c>
      <c r="J3" s="69">
        <f>'[5]CU énergie'!$F49*1</f>
        <v>122.57599999999999</v>
      </c>
      <c r="K3" s="69">
        <f>'[5]CU énergie'!$F49*1</f>
        <v>122.57599999999999</v>
      </c>
      <c r="L3" s="69">
        <f>'[5]CU énergie'!$F49*1</f>
        <v>122.57599999999999</v>
      </c>
      <c r="M3" s="69">
        <f>'[5]CU énergie'!$F49*1</f>
        <v>122.57599999999999</v>
      </c>
      <c r="N3" s="69">
        <f>'[5]CU énergie'!$F49*1</f>
        <v>122.57599999999999</v>
      </c>
      <c r="O3" s="69">
        <f>'[5]CU énergie'!$F49*1</f>
        <v>122.57599999999999</v>
      </c>
      <c r="P3" s="69">
        <f>'[5]CU énergie'!$F49*1</f>
        <v>122.57599999999999</v>
      </c>
      <c r="Q3" s="69">
        <f>'[5]CU énergie'!$F49*1</f>
        <v>122.57599999999999</v>
      </c>
      <c r="R3" s="69">
        <f>'[5]CU énergie'!$F49*1</f>
        <v>122.57599999999999</v>
      </c>
      <c r="S3" s="69">
        <f>'[5]CU énergie'!$F49*1</f>
        <v>122.57599999999999</v>
      </c>
      <c r="T3" s="69">
        <f>'[5]CU énergie'!$F49*1</f>
        <v>122.57599999999999</v>
      </c>
      <c r="U3" s="69">
        <f>'[5]CU énergie'!$F49*1</f>
        <v>122.57599999999999</v>
      </c>
      <c r="V3" s="69">
        <f>'[5]CU énergie'!$F49*1</f>
        <v>122.57599999999999</v>
      </c>
      <c r="W3" s="69">
        <f>'[5]CU énergie'!$F49*1</f>
        <v>122.57599999999999</v>
      </c>
      <c r="X3" s="69">
        <f>'[5]CU énergie'!$F49*1</f>
        <v>122.57599999999999</v>
      </c>
      <c r="Y3" s="69">
        <f>'[5]CU énergie'!$F49*1</f>
        <v>122.57599999999999</v>
      </c>
      <c r="Z3" s="69">
        <f>'[5]CU énergie'!$F49*1</f>
        <v>122.57599999999999</v>
      </c>
      <c r="AA3" s="69">
        <f>'[5]CU énergie'!$F49*1</f>
        <v>122.57599999999999</v>
      </c>
      <c r="AB3" s="69">
        <f>'[5]CU énergie'!$F49*1</f>
        <v>122.57599999999999</v>
      </c>
      <c r="AC3" s="69">
        <f>'[5]CU énergie'!$F49*1</f>
        <v>122.57599999999999</v>
      </c>
      <c r="AD3" s="69">
        <f>'[5]CU énergie'!$F49*1</f>
        <v>122.57599999999999</v>
      </c>
      <c r="AE3" s="69">
        <f>'[5]CU énergie'!$F49*1</f>
        <v>122.57599999999999</v>
      </c>
      <c r="AF3" s="69">
        <f>'[5]CU énergie'!$F49*1</f>
        <v>122.57599999999999</v>
      </c>
      <c r="AG3" s="69">
        <f>'[5]CU énergie'!$F49*1</f>
        <v>122.57599999999999</v>
      </c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</row>
    <row r="4" spans="1:58" x14ac:dyDescent="0.25">
      <c r="A4" s="57" t="s">
        <v>90</v>
      </c>
      <c r="B4" s="69"/>
      <c r="C4" s="69">
        <f>'[5]CU énergie'!$F50*'coût TEND'!C80*'coût TEND'!C78</f>
        <v>7592.664403321055</v>
      </c>
      <c r="D4" s="69">
        <f>+C4+($H4-$C4)/5</f>
        <v>6837.3640232695816</v>
      </c>
      <c r="E4" s="69">
        <f t="shared" ref="E4:F4" si="7">+D4+($H4-$C4)/5</f>
        <v>6082.0636432181082</v>
      </c>
      <c r="F4" s="69">
        <f t="shared" si="7"/>
        <v>5326.7632631666347</v>
      </c>
      <c r="G4" s="69">
        <f>+F4+($H4-$C4)/5</f>
        <v>4571.4628831151613</v>
      </c>
      <c r="H4" s="69">
        <f>'coût TEND'!D82*'coût TEND'!D80*'coût TEND'!D78/1.19</f>
        <v>3816.1625030636874</v>
      </c>
      <c r="I4" s="69">
        <f t="shared" ref="I4:L4" si="8">H4+($M4-$H4)/5</f>
        <v>3785.9559068070371</v>
      </c>
      <c r="J4" s="69">
        <f t="shared" si="8"/>
        <v>3755.7493105503868</v>
      </c>
      <c r="K4" s="69">
        <f t="shared" si="8"/>
        <v>3725.5427142937365</v>
      </c>
      <c r="L4" s="69">
        <f t="shared" si="8"/>
        <v>3695.3361180370862</v>
      </c>
      <c r="M4" s="69">
        <f>'coût TEND'!E82*'coût TEND'!E80*'coût TEND'!E78/1.19</f>
        <v>3665.129521780435</v>
      </c>
      <c r="N4" s="69">
        <f t="shared" ref="N4:Q4" si="9">M4+($R4-$M4)/5</f>
        <v>3694.8818584709711</v>
      </c>
      <c r="O4" s="69">
        <f t="shared" si="9"/>
        <v>3724.6341951615073</v>
      </c>
      <c r="P4" s="69">
        <f t="shared" si="9"/>
        <v>3754.3865318520434</v>
      </c>
      <c r="Q4" s="69">
        <f t="shared" si="9"/>
        <v>3784.1388685425795</v>
      </c>
      <c r="R4" s="69">
        <f>'coût TEND'!F82*'coût TEND'!F80*'coût TEND'!F78/1.19</f>
        <v>3813.8912052331152</v>
      </c>
      <c r="S4" s="69">
        <f t="shared" ref="S4:V4" si="10">R4+($W4-$R4)/5</f>
        <v>3837.2110257209924</v>
      </c>
      <c r="T4" s="69">
        <f t="shared" si="10"/>
        <v>3860.5308462088697</v>
      </c>
      <c r="U4" s="69">
        <f t="shared" si="10"/>
        <v>3883.8506666967469</v>
      </c>
      <c r="V4" s="69">
        <f t="shared" si="10"/>
        <v>3907.1704871846241</v>
      </c>
      <c r="W4" s="69">
        <f>'coût TEND'!G82*'coût TEND'!G80*'coût TEND'!G78/1.19</f>
        <v>3930.4903076725018</v>
      </c>
      <c r="X4" s="69">
        <f t="shared" ref="X4:AA4" si="11">W4+($AB4-$W4)/5</f>
        <v>3955.5168216045499</v>
      </c>
      <c r="Y4" s="69">
        <f t="shared" si="11"/>
        <v>3980.5433355365981</v>
      </c>
      <c r="Z4" s="69">
        <f t="shared" si="11"/>
        <v>4005.5698494686462</v>
      </c>
      <c r="AA4" s="69">
        <f t="shared" si="11"/>
        <v>4030.5963634006944</v>
      </c>
      <c r="AB4" s="69">
        <f>'coût TEND'!H82*'coût TEND'!H80*'coût TEND'!H78/1.19</f>
        <v>4055.6228773327434</v>
      </c>
      <c r="AC4" s="69">
        <f t="shared" ref="AC4:AF4" si="12">AB4+($AG4-$AB4)/5</f>
        <v>5570.4290821615405</v>
      </c>
      <c r="AD4" s="69">
        <f t="shared" si="12"/>
        <v>7085.235286990337</v>
      </c>
      <c r="AE4" s="69">
        <f t="shared" si="12"/>
        <v>8600.0414918191345</v>
      </c>
      <c r="AF4" s="69">
        <f t="shared" si="12"/>
        <v>10114.847696647932</v>
      </c>
      <c r="AG4" s="69">
        <f>'coût TEND'!I82*'coût TEND'!I80*'coût TEND'!I78/1.19</f>
        <v>11629.65390147673</v>
      </c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</row>
    <row r="5" spans="1:58" x14ac:dyDescent="0.25">
      <c r="A5" s="57" t="s">
        <v>91</v>
      </c>
      <c r="B5" s="69"/>
      <c r="C5" s="69">
        <f>'[5]CU énergie'!$F51*10</f>
        <v>143.1960410341097</v>
      </c>
      <c r="D5" s="69">
        <f>'[5]CU énergie'!$F51*10</f>
        <v>143.1960410341097</v>
      </c>
      <c r="E5" s="69">
        <f>'[5]CU énergie'!$F51*10</f>
        <v>143.1960410341097</v>
      </c>
      <c r="F5" s="69">
        <f>'[5]CU énergie'!$F51*10</f>
        <v>143.1960410341097</v>
      </c>
      <c r="G5" s="69">
        <f>'[5]CU énergie'!$F51*10</f>
        <v>143.1960410341097</v>
      </c>
      <c r="H5" s="69">
        <f>'[5]CU énergie'!$F51*10</f>
        <v>143.1960410341097</v>
      </c>
      <c r="I5" s="69">
        <f>'[5]CU énergie'!$F51*10</f>
        <v>143.1960410341097</v>
      </c>
      <c r="J5" s="69">
        <f>'[5]CU énergie'!$F51*10</f>
        <v>143.1960410341097</v>
      </c>
      <c r="K5" s="69">
        <f>'[5]CU énergie'!$F51*10</f>
        <v>143.1960410341097</v>
      </c>
      <c r="L5" s="69">
        <f>'[5]CU énergie'!$F51*10</f>
        <v>143.1960410341097</v>
      </c>
      <c r="M5" s="69">
        <f>'[5]CU énergie'!$F51*10</f>
        <v>143.1960410341097</v>
      </c>
      <c r="N5" s="69">
        <f>'[5]CU énergie'!$F51*10</f>
        <v>143.1960410341097</v>
      </c>
      <c r="O5" s="69">
        <f>'[5]CU énergie'!$F51*10</f>
        <v>143.1960410341097</v>
      </c>
      <c r="P5" s="69">
        <f>'[5]CU énergie'!$F51*10</f>
        <v>143.1960410341097</v>
      </c>
      <c r="Q5" s="69">
        <f>'[5]CU énergie'!$F51*10</f>
        <v>143.1960410341097</v>
      </c>
      <c r="R5" s="69">
        <f>'[5]CU énergie'!$F51*10</f>
        <v>143.1960410341097</v>
      </c>
      <c r="S5" s="69">
        <f>'[5]CU énergie'!$F51*10</f>
        <v>143.1960410341097</v>
      </c>
      <c r="T5" s="69">
        <f>'[5]CU énergie'!$F51*10</f>
        <v>143.1960410341097</v>
      </c>
      <c r="U5" s="69">
        <f>'[5]CU énergie'!$F51*10</f>
        <v>143.1960410341097</v>
      </c>
      <c r="V5" s="69">
        <f>'[5]CU énergie'!$F51*10</f>
        <v>143.1960410341097</v>
      </c>
      <c r="W5" s="69">
        <f>'[5]CU énergie'!$F51*10</f>
        <v>143.1960410341097</v>
      </c>
      <c r="X5" s="69">
        <f>'[5]CU énergie'!$F51*10</f>
        <v>143.1960410341097</v>
      </c>
      <c r="Y5" s="69">
        <f>'[5]CU énergie'!$F51*10</f>
        <v>143.1960410341097</v>
      </c>
      <c r="Z5" s="69">
        <f>'[5]CU énergie'!$F51*10</f>
        <v>143.1960410341097</v>
      </c>
      <c r="AA5" s="69">
        <f>'[5]CU énergie'!$F51*10</f>
        <v>143.1960410341097</v>
      </c>
      <c r="AB5" s="69">
        <f>'[5]CU énergie'!$F51*10</f>
        <v>143.1960410341097</v>
      </c>
      <c r="AC5" s="69">
        <f>'[5]CU énergie'!$F51*10</f>
        <v>143.1960410341097</v>
      </c>
      <c r="AD5" s="69">
        <f>'[5]CU énergie'!$F51*10</f>
        <v>143.1960410341097</v>
      </c>
      <c r="AE5" s="69">
        <f>'[5]CU énergie'!$F51*10</f>
        <v>143.1960410341097</v>
      </c>
      <c r="AF5" s="69">
        <f>'[5]CU énergie'!$F51*10</f>
        <v>143.1960410341097</v>
      </c>
      <c r="AG5" s="69">
        <f>'[5]CU énergie'!$F51*10</f>
        <v>143.1960410341097</v>
      </c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</row>
    <row r="6" spans="1:58" x14ac:dyDescent="0.25">
      <c r="A6" s="57" t="s">
        <v>92</v>
      </c>
      <c r="B6" s="69"/>
      <c r="C6" s="69">
        <f>('coût TEND'!C42*'coût TEND'!C40*'coût TEND'!C38+'coût TEND'!C49*'coût TEND'!C47*'coût TEND'!C45+'coût TEND'!C56*'coût TEND'!C54*'coût TEND'!C52)/1.19</f>
        <v>25183.273565199754</v>
      </c>
      <c r="D6" s="69">
        <f t="shared" ref="D6:G6" si="13">+C6+($H6-$C6)/5</f>
        <v>27356.273594056562</v>
      </c>
      <c r="E6" s="69">
        <f t="shared" si="13"/>
        <v>29529.27362291337</v>
      </c>
      <c r="F6" s="69">
        <f t="shared" si="13"/>
        <v>31702.273651770178</v>
      </c>
      <c r="G6" s="69">
        <f t="shared" si="13"/>
        <v>33875.273680626982</v>
      </c>
      <c r="H6" s="69">
        <f>('coût TEND'!D42*'coût TEND'!D40*'coût TEND'!D38+'coût TEND'!D49*'coût TEND'!D47*'coût TEND'!D45+'coût TEND'!D56*'coût TEND'!D54*'coût TEND'!D52)/1.19</f>
        <v>36048.273709483794</v>
      </c>
      <c r="I6" s="69">
        <f t="shared" ref="I6:L6" si="14">H6+($M6-$H6)/5</f>
        <v>37738.225210084034</v>
      </c>
      <c r="J6" s="69">
        <f t="shared" si="14"/>
        <v>39428.176710684274</v>
      </c>
      <c r="K6" s="69">
        <f t="shared" si="14"/>
        <v>41118.128211284515</v>
      </c>
      <c r="L6" s="69">
        <f t="shared" si="14"/>
        <v>42808.079711884755</v>
      </c>
      <c r="M6" s="69">
        <f>('coût TEND'!E42*'coût TEND'!E40*'coût TEND'!E38+'coût TEND'!E49*'coût TEND'!E47*'coût TEND'!E45+'coût TEND'!E56*'coût TEND'!E54*'coût TEND'!E52)/1.19</f>
        <v>44498.031212484988</v>
      </c>
      <c r="N6" s="69">
        <f t="shared" ref="N6:Q6" si="15">M6+($R6-$M6)/5</f>
        <v>46126.937209666467</v>
      </c>
      <c r="O6" s="69">
        <f t="shared" si="15"/>
        <v>47755.843206847945</v>
      </c>
      <c r="P6" s="69">
        <f t="shared" si="15"/>
        <v>49384.749204029424</v>
      </c>
      <c r="Q6" s="69">
        <f t="shared" si="15"/>
        <v>51013.655201210902</v>
      </c>
      <c r="R6" s="69">
        <f>('coût TEND'!F42*'coût TEND'!F40*'coût TEND'!F38+'coût TEND'!F49*'coût TEND'!F47*'coût TEND'!F45+'coût TEND'!F56*'coût TEND'!F54*'coût TEND'!F52)/1.19</f>
        <v>52642.561198392395</v>
      </c>
      <c r="S6" s="69">
        <f t="shared" ref="S6:V6" si="16">R6+($W6-$R6)/5</f>
        <v>54022.358038443374</v>
      </c>
      <c r="T6" s="69">
        <f t="shared" si="16"/>
        <v>55402.154878494352</v>
      </c>
      <c r="U6" s="69">
        <f t="shared" si="16"/>
        <v>56781.95171854533</v>
      </c>
      <c r="V6" s="69">
        <f t="shared" si="16"/>
        <v>58161.748558596308</v>
      </c>
      <c r="W6" s="69">
        <f>('coût TEND'!G42*'coût TEND'!G40*'coût TEND'!G38+'coût TEND'!G49*'coût TEND'!G47*'coût TEND'!G45+'coût TEND'!G56*'coût TEND'!G54*'coût TEND'!G52)/1.19</f>
        <v>59541.545398647271</v>
      </c>
      <c r="X6" s="69">
        <f t="shared" ref="X6:AA6" si="17">W6+($AB6-$W6)/5</f>
        <v>60876.463651956299</v>
      </c>
      <c r="Y6" s="69">
        <f t="shared" si="17"/>
        <v>62211.381905265327</v>
      </c>
      <c r="Z6" s="69">
        <f t="shared" si="17"/>
        <v>63546.300158574355</v>
      </c>
      <c r="AA6" s="69">
        <f t="shared" si="17"/>
        <v>64881.218411883383</v>
      </c>
      <c r="AB6" s="69">
        <f>('coût TEND'!H42*'coût TEND'!H40*'coût TEND'!H38+'coût TEND'!H49*'coût TEND'!H47*'coût TEND'!H45+'coût TEND'!H56*'coût TEND'!H54*'coût TEND'!H52)/1.19</f>
        <v>66216.136665192404</v>
      </c>
      <c r="AC6" s="69">
        <f t="shared" ref="AC6:AF6" si="18">AB6+($AG6-$AB6)/5</f>
        <v>67444.18477566466</v>
      </c>
      <c r="AD6" s="69">
        <f t="shared" si="18"/>
        <v>68672.232886136917</v>
      </c>
      <c r="AE6" s="69">
        <f t="shared" si="18"/>
        <v>69900.280996609174</v>
      </c>
      <c r="AF6" s="69">
        <f t="shared" si="18"/>
        <v>71128.32910708143</v>
      </c>
      <c r="AG6" s="69">
        <f>('coût TEND'!I42*'coût TEND'!I40*'coût TEND'!I38+'coût TEND'!I49*'coût TEND'!I47*'coût TEND'!I45+'coût TEND'!I56*'coût TEND'!I54*'coût TEND'!I52)/1.19</f>
        <v>72356.377217553687</v>
      </c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</row>
    <row r="7" spans="1:58" x14ac:dyDescent="0.25">
      <c r="A7" s="57" t="s">
        <v>93</v>
      </c>
      <c r="B7" s="69"/>
      <c r="C7" s="69">
        <f>('coût TEND'!C15*'coût TEND'!C13*'coût TEND'!C11+'coût TEND'!C8*'coût TEND'!C6*'coût TEND'!C4+'coût TEND'!C24*'coût TEND'!C22*'coût TEND'!C20+'coût TEND'!C31*'coût TEND'!C29*'coût TEND'!C27)/1.19</f>
        <v>8840.6352833608616</v>
      </c>
      <c r="D7" s="69">
        <f t="shared" ref="D7:G7" si="19">+C7+($H7-$C7)/5</f>
        <v>10194.821985322686</v>
      </c>
      <c r="E7" s="69">
        <f t="shared" si="19"/>
        <v>11549.00868728451</v>
      </c>
      <c r="F7" s="69">
        <f t="shared" si="19"/>
        <v>12903.195389246333</v>
      </c>
      <c r="G7" s="69">
        <f t="shared" si="19"/>
        <v>14257.382091208157</v>
      </c>
      <c r="H7" s="69">
        <f>('coût TEND'!D15*'coût TEND'!D13*'coût TEND'!D11+'coût TEND'!D8*'coût TEND'!D6*'coût TEND'!D4+'coût TEND'!D24*'coût TEND'!D22*'coût TEND'!D20+'coût TEND'!D31*'coût TEND'!D29*'coût TEND'!D27)/1.19</f>
        <v>15611.568793169979</v>
      </c>
      <c r="I7" s="69">
        <f t="shared" ref="I7:L7" si="20">H7+($M7-$H7)/5</f>
        <v>16173.178089856705</v>
      </c>
      <c r="J7" s="69">
        <f t="shared" si="20"/>
        <v>16734.78738654343</v>
      </c>
      <c r="K7" s="69">
        <f t="shared" si="20"/>
        <v>17296.396683230156</v>
      </c>
      <c r="L7" s="69">
        <f t="shared" si="20"/>
        <v>17858.005979916881</v>
      </c>
      <c r="M7" s="69">
        <f>('coût TEND'!E15*'coût TEND'!E13*'coût TEND'!E11+'coût TEND'!E8*'coût TEND'!E6*'coût TEND'!E4+'coût TEND'!E24*'coût TEND'!E22*'coût TEND'!E20+'coût TEND'!E31*'coût TEND'!E29*'coût TEND'!E27)/1.19</f>
        <v>18419.61527660361</v>
      </c>
      <c r="N7" s="69">
        <f t="shared" ref="N7:Q7" si="21">M7+($R7-$M7)/5</f>
        <v>19776.561334768401</v>
      </c>
      <c r="O7" s="69">
        <f t="shared" si="21"/>
        <v>21133.507392933192</v>
      </c>
      <c r="P7" s="69">
        <f t="shared" si="21"/>
        <v>22490.453451097983</v>
      </c>
      <c r="Q7" s="69">
        <f t="shared" si="21"/>
        <v>23847.399509262774</v>
      </c>
      <c r="R7" s="69">
        <f>('coût TEND'!F15*'coût TEND'!F13*'coût TEND'!F11+'coût TEND'!F8*'coût TEND'!F6*'coût TEND'!F4+'coût TEND'!F24*'coût TEND'!F22*'coût TEND'!F20+'coût TEND'!F31*'coût TEND'!F29*'coût TEND'!F27)/1.19</f>
        <v>25204.345567427561</v>
      </c>
      <c r="S7" s="69">
        <f t="shared" ref="S7:V7" si="22">R7+($W7-$R7)/5</f>
        <v>26446.656350597335</v>
      </c>
      <c r="T7" s="69">
        <f t="shared" si="22"/>
        <v>27688.96713376711</v>
      </c>
      <c r="U7" s="69">
        <f t="shared" si="22"/>
        <v>28931.277916936884</v>
      </c>
      <c r="V7" s="69">
        <f t="shared" si="22"/>
        <v>30173.588700106659</v>
      </c>
      <c r="W7" s="69">
        <f>('coût TEND'!G15*'coût TEND'!G13*'coût TEND'!G11+'coût TEND'!G8*'coût TEND'!G6*'coût TEND'!G4+'coût TEND'!G24*'coût TEND'!G22*'coût TEND'!G20+'coût TEND'!G31*'coût TEND'!G29*'coût TEND'!G27)/1.19</f>
        <v>31415.899483276426</v>
      </c>
      <c r="X7" s="69">
        <f t="shared" ref="X7:AA7" si="23">W7+($AB7-$W7)/5</f>
        <v>32427.761690999228</v>
      </c>
      <c r="Y7" s="69">
        <f t="shared" si="23"/>
        <v>33439.623898722035</v>
      </c>
      <c r="Z7" s="69">
        <f t="shared" si="23"/>
        <v>34451.486106444841</v>
      </c>
      <c r="AA7" s="69">
        <f t="shared" si="23"/>
        <v>35463.348314167648</v>
      </c>
      <c r="AB7" s="69">
        <f>('coût TEND'!H15*'coût TEND'!H13*'coût TEND'!H11+'coût TEND'!H8*'coût TEND'!H6*'coût TEND'!H4+'coût TEND'!H24*'coût TEND'!H22*'coût TEND'!H20+'coût TEND'!H31*'coût TEND'!H29*'coût TEND'!H27)/1.19</f>
        <v>36475.210521890447</v>
      </c>
      <c r="AC7" s="69">
        <f t="shared" ref="AC7:AF7" si="24">AB7+($AG7-$AB7)/5</f>
        <v>36691.061515305082</v>
      </c>
      <c r="AD7" s="69">
        <f t="shared" si="24"/>
        <v>36906.912508719717</v>
      </c>
      <c r="AE7" s="69">
        <f t="shared" si="24"/>
        <v>37122.763502134352</v>
      </c>
      <c r="AF7" s="69">
        <f t="shared" si="24"/>
        <v>37338.614495548987</v>
      </c>
      <c r="AG7" s="69">
        <f>('coût TEND'!I15*'coût TEND'!I13*'coût TEND'!I11+'coût TEND'!I8*'coût TEND'!I6*'coût TEND'!I4+'coût TEND'!I24*'coût TEND'!I22*'coût TEND'!I20+'coût TEND'!I31*'coût TEND'!I29*'coût TEND'!I27)/1.19</f>
        <v>37554.465488963637</v>
      </c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</row>
    <row r="8" spans="1:58" x14ac:dyDescent="0.25">
      <c r="A8" s="57" t="s">
        <v>94</v>
      </c>
      <c r="B8" s="69"/>
      <c r="C8" s="69">
        <f>'[5]CU énergie'!$F54*'coût TEND'!C128*40</f>
        <v>39954.327247697649</v>
      </c>
      <c r="D8" s="69">
        <f t="shared" ref="D8:G8" si="25">+C8+($H8-$C8)/5</f>
        <v>40025.291624067853</v>
      </c>
      <c r="E8" s="69">
        <f t="shared" si="25"/>
        <v>40096.256000438058</v>
      </c>
      <c r="F8" s="69">
        <f t="shared" si="25"/>
        <v>40167.220376808262</v>
      </c>
      <c r="G8" s="69">
        <f t="shared" si="25"/>
        <v>40238.184753178466</v>
      </c>
      <c r="H8" s="69">
        <f>'[5]CU énergie'!$F54*'coût TEND'!D128*40</f>
        <v>40309.149129548685</v>
      </c>
      <c r="I8" s="69">
        <f t="shared" ref="I8:L8" si="26">H8+($M8-$H8)/5</f>
        <v>40457.652432998009</v>
      </c>
      <c r="J8" s="69">
        <f t="shared" si="26"/>
        <v>40606.155736447334</v>
      </c>
      <c r="K8" s="69">
        <f t="shared" si="26"/>
        <v>40754.659039896658</v>
      </c>
      <c r="L8" s="69">
        <f t="shared" si="26"/>
        <v>40903.162343345983</v>
      </c>
      <c r="M8" s="69">
        <f>'[5]CU énergie'!$F54*'coût TEND'!E128*40</f>
        <v>41051.665646795293</v>
      </c>
      <c r="N8" s="69">
        <f t="shared" ref="N8:Q8" si="27">M8+($R8-$M8)/5</f>
        <v>40938.571361617767</v>
      </c>
      <c r="O8" s="69">
        <f t="shared" si="27"/>
        <v>40825.477076440242</v>
      </c>
      <c r="P8" s="69">
        <f t="shared" si="27"/>
        <v>40712.382791262717</v>
      </c>
      <c r="Q8" s="69">
        <f t="shared" si="27"/>
        <v>40599.288506085191</v>
      </c>
      <c r="R8" s="69">
        <f>'[5]CU énergie'!$F54*'coût TEND'!F128*40</f>
        <v>40486.194220907681</v>
      </c>
      <c r="S8" s="69">
        <f t="shared" ref="S8:V8" si="28">R8+($W8-$R8)/5</f>
        <v>40373.099935730163</v>
      </c>
      <c r="T8" s="69">
        <f t="shared" si="28"/>
        <v>40260.005650552645</v>
      </c>
      <c r="U8" s="69">
        <f t="shared" si="28"/>
        <v>40146.911365375126</v>
      </c>
      <c r="V8" s="69">
        <f t="shared" si="28"/>
        <v>40033.817080197608</v>
      </c>
      <c r="W8" s="69">
        <f>'[5]CU énergie'!$F54*'coût TEND'!G128*40</f>
        <v>39920.722795020076</v>
      </c>
      <c r="X8" s="69">
        <f t="shared" ref="X8:AA8" si="29">W8+($AB8-$W8)/5</f>
        <v>39807.628509842551</v>
      </c>
      <c r="Y8" s="69">
        <f t="shared" si="29"/>
        <v>39694.534224665025</v>
      </c>
      <c r="Z8" s="69">
        <f t="shared" si="29"/>
        <v>39581.4399394875</v>
      </c>
      <c r="AA8" s="69">
        <f t="shared" si="29"/>
        <v>39468.345654309975</v>
      </c>
      <c r="AB8" s="69">
        <f>'[5]CU énergie'!$F54*'coût TEND'!H128*40</f>
        <v>39355.251369132464</v>
      </c>
      <c r="AC8" s="69">
        <f t="shared" ref="AC8:AF8" si="30">AB8+($AG8-$AB8)/5</f>
        <v>39242.157083954939</v>
      </c>
      <c r="AD8" s="69">
        <f t="shared" si="30"/>
        <v>39129.062798777413</v>
      </c>
      <c r="AE8" s="69">
        <f t="shared" si="30"/>
        <v>39015.968513599888</v>
      </c>
      <c r="AF8" s="69">
        <f t="shared" si="30"/>
        <v>38902.874228422363</v>
      </c>
      <c r="AG8" s="69">
        <f>'[5]CU énergie'!$F54*'coût TEND'!I128*40</f>
        <v>38789.779943244837</v>
      </c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</row>
    <row r="9" spans="1:58" x14ac:dyDescent="0.25">
      <c r="A9" s="57" t="s">
        <v>95</v>
      </c>
      <c r="B9" s="69"/>
      <c r="C9" s="69">
        <f>'[5]CU énergie'!$F55*'[7]Cibles ThreeME v2 AMS'!$I$12*20</f>
        <v>6108.6583217156422</v>
      </c>
      <c r="D9" s="69">
        <f t="shared" ref="D9" si="31">+C9+($H9-$C9)/5</f>
        <v>7344.2319135292892</v>
      </c>
      <c r="E9" s="69">
        <f t="shared" ref="E9" si="32">+D9+($H9-$C9)/5</f>
        <v>8579.8055053429362</v>
      </c>
      <c r="F9" s="69">
        <f t="shared" ref="F9" si="33">+E9+($H9-$C9)/5</f>
        <v>9815.3790971565832</v>
      </c>
      <c r="G9" s="69">
        <f t="shared" ref="G9" si="34">+F9+($H9-$C9)/5</f>
        <v>11050.95268897023</v>
      </c>
      <c r="H9" s="69">
        <f>'[5]CU énergie'!$F55*'[7]Cibles ThreeME v2 '!$N$12*20</f>
        <v>12286.526280783877</v>
      </c>
      <c r="I9" s="69">
        <f t="shared" ref="I9" si="35">H9+($M9-$H9)/5</f>
        <v>12778.58185433656</v>
      </c>
      <c r="J9" s="69">
        <f t="shared" ref="J9" si="36">I9+($M9-$H9)/5</f>
        <v>13270.637427889244</v>
      </c>
      <c r="K9" s="69">
        <f t="shared" ref="K9" si="37">J9+($M9-$H9)/5</f>
        <v>13762.693001441927</v>
      </c>
      <c r="L9" s="69">
        <f t="shared" ref="L9" si="38">K9+($M9-$H9)/5</f>
        <v>14254.74857499461</v>
      </c>
      <c r="M9" s="69">
        <f>'[5]CU énergie'!$F55*'[7]Cibles ThreeME v2 '!S$12*20</f>
        <v>14746.80414854729</v>
      </c>
      <c r="N9" s="69">
        <f t="shared" ref="N9" si="39">M9+($R9-$M9)/5</f>
        <v>15024.061984095446</v>
      </c>
      <c r="O9" s="69">
        <f t="shared" ref="O9" si="40">N9+($R9-$M9)/5</f>
        <v>15301.319819643602</v>
      </c>
      <c r="P9" s="69">
        <f t="shared" ref="P9" si="41">O9+($R9-$M9)/5</f>
        <v>15578.577655191759</v>
      </c>
      <c r="Q9" s="69">
        <f t="shared" ref="Q9" si="42">P9+($R9-$M9)/5</f>
        <v>15855.835490739915</v>
      </c>
      <c r="R9" s="69">
        <f>'[5]CU énergie'!$F55*'[7]Cibles ThreeME v2 '!X$12*20</f>
        <v>16133.093326288075</v>
      </c>
      <c r="S9" s="69">
        <f t="shared" ref="S9" si="43">R9+($W9-$R9)/5</f>
        <v>17201.809825025532</v>
      </c>
      <c r="T9" s="69">
        <f t="shared" ref="T9" si="44">S9+($W9-$R9)/5</f>
        <v>18270.526323762988</v>
      </c>
      <c r="U9" s="69">
        <f t="shared" ref="U9" si="45">T9+($W9-$R9)/5</f>
        <v>19339.242822500444</v>
      </c>
      <c r="V9" s="69">
        <f t="shared" ref="V9" si="46">U9+($W9-$R9)/5</f>
        <v>20407.9593212379</v>
      </c>
      <c r="W9" s="69">
        <f>'[5]CU énergie'!$F55*'[7]Cibles ThreeME v2 '!AC$12*20</f>
        <v>21476.675819975357</v>
      </c>
      <c r="X9" s="69">
        <f t="shared" ref="X9" si="47">W9+($AB9-$W9)/5</f>
        <v>21785.006588863889</v>
      </c>
      <c r="Y9" s="69">
        <f t="shared" ref="Y9" si="48">X9+($AB9-$W9)/5</f>
        <v>22093.337357752422</v>
      </c>
      <c r="Z9" s="69">
        <f t="shared" ref="Z9" si="49">Y9+($AB9-$W9)/5</f>
        <v>22401.668126640954</v>
      </c>
      <c r="AA9" s="69">
        <f t="shared" ref="AA9" si="50">Z9+($AB9-$W9)/5</f>
        <v>22709.998895529487</v>
      </c>
      <c r="AB9" s="69">
        <f>'[5]CU énergie'!$F55*'[7]Cibles ThreeME v2 '!AH$12*20</f>
        <v>23018.329664418023</v>
      </c>
      <c r="AC9" s="69">
        <f t="shared" ref="AC9" si="51">AB9+($AG9-$AB9)/5</f>
        <v>23337.332982068725</v>
      </c>
      <c r="AD9" s="69">
        <f t="shared" ref="AD9" si="52">AC9+($AG9-$AB9)/5</f>
        <v>23656.336299719427</v>
      </c>
      <c r="AE9" s="69">
        <f t="shared" ref="AE9" si="53">AD9+($AG9-$AB9)/5</f>
        <v>23975.339617370129</v>
      </c>
      <c r="AF9" s="69">
        <f t="shared" ref="AF9" si="54">AE9+($AG9-$AB9)/5</f>
        <v>24294.342935020832</v>
      </c>
      <c r="AG9" s="69">
        <f>'[5]CU énergie'!$F55*'[7]Cibles ThreeME v2 '!AM$12*20</f>
        <v>24613.34625267153</v>
      </c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</row>
    <row r="12" spans="1:58" ht="18" x14ac:dyDescent="0.25">
      <c r="B12" s="58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</row>
    <row r="13" spans="1:58" x14ac:dyDescent="0.25">
      <c r="A13" s="72"/>
      <c r="B13" s="73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5"/>
      <c r="AC13" s="75"/>
      <c r="AD13" s="75"/>
      <c r="AE13" s="75"/>
      <c r="AF13" s="75"/>
      <c r="AG13" s="75"/>
      <c r="AH13" s="75"/>
      <c r="AI13" s="75"/>
      <c r="AJ13" s="75"/>
      <c r="AK13" s="76"/>
      <c r="AL13" s="76"/>
      <c r="AM13" s="76"/>
      <c r="AN13" s="76"/>
      <c r="AO13" s="76"/>
      <c r="AP13" s="75"/>
      <c r="AQ13" s="75"/>
      <c r="AR13" s="75"/>
      <c r="AS13" s="75"/>
      <c r="AT13" s="75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</row>
    <row r="14" spans="1:58" x14ac:dyDescent="0.25">
      <c r="A14" s="72"/>
      <c r="B14" s="73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5"/>
      <c r="AC14" s="75"/>
      <c r="AD14" s="75"/>
      <c r="AE14" s="75"/>
      <c r="AF14" s="75"/>
      <c r="AG14" s="75"/>
      <c r="AH14" s="75"/>
      <c r="AI14" s="75"/>
      <c r="AJ14" s="75"/>
      <c r="AK14" s="76"/>
      <c r="AL14" s="76"/>
      <c r="AM14" s="76"/>
      <c r="AN14" s="76"/>
      <c r="AO14" s="76"/>
      <c r="AP14" s="75"/>
      <c r="AQ14" s="75"/>
      <c r="AR14" s="75"/>
      <c r="AS14" s="75"/>
      <c r="AT14" s="75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</row>
    <row r="15" spans="1:58" x14ac:dyDescent="0.25">
      <c r="A15" s="72"/>
      <c r="B15" s="73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5"/>
      <c r="AC15" s="75"/>
      <c r="AD15" s="75"/>
      <c r="AE15" s="75"/>
      <c r="AF15" s="75"/>
      <c r="AG15" s="75"/>
      <c r="AH15" s="75"/>
      <c r="AI15" s="75"/>
      <c r="AJ15" s="75"/>
      <c r="AK15" s="76"/>
      <c r="AL15" s="76"/>
      <c r="AM15" s="76"/>
      <c r="AN15" s="76"/>
      <c r="AO15" s="76"/>
      <c r="AP15" s="75"/>
      <c r="AQ15" s="75"/>
      <c r="AR15" s="75"/>
      <c r="AS15" s="75"/>
      <c r="AT15" s="75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</row>
    <row r="16" spans="1:58" x14ac:dyDescent="0.25">
      <c r="A16" s="72"/>
      <c r="B16" s="73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5"/>
      <c r="AC16" s="75"/>
      <c r="AD16" s="75"/>
      <c r="AE16" s="75"/>
      <c r="AF16" s="75"/>
      <c r="AG16" s="75"/>
      <c r="AH16" s="75"/>
      <c r="AI16" s="75"/>
      <c r="AJ16" s="75"/>
      <c r="AK16" s="76"/>
      <c r="AL16" s="76"/>
      <c r="AM16" s="76"/>
      <c r="AN16" s="76"/>
      <c r="AO16" s="76"/>
      <c r="AP16" s="75"/>
      <c r="AQ16" s="75"/>
      <c r="AR16" s="75"/>
      <c r="AS16" s="75"/>
      <c r="AT16" s="75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</row>
    <row r="17" spans="1:58" x14ac:dyDescent="0.25">
      <c r="A17" s="72"/>
      <c r="B17" s="73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5"/>
      <c r="AC17" s="75"/>
      <c r="AD17" s="75"/>
      <c r="AE17" s="75"/>
      <c r="AF17" s="75"/>
      <c r="AG17" s="75"/>
      <c r="AH17" s="75"/>
      <c r="AI17" s="75"/>
      <c r="AJ17" s="75"/>
      <c r="AK17" s="77"/>
      <c r="AL17" s="77"/>
      <c r="AM17" s="77"/>
      <c r="AN17" s="77"/>
      <c r="AO17" s="77"/>
      <c r="AP17" s="74"/>
      <c r="AQ17" s="74"/>
      <c r="AR17" s="74"/>
      <c r="AS17" s="74"/>
      <c r="AT17" s="74"/>
      <c r="AU17" s="76"/>
      <c r="AV17" s="76"/>
      <c r="AW17" s="76"/>
      <c r="AX17" s="76"/>
      <c r="AY17" s="76"/>
      <c r="AZ17" s="78"/>
      <c r="BA17" s="78"/>
      <c r="BB17" s="78"/>
      <c r="BC17" s="78"/>
      <c r="BD17" s="78"/>
      <c r="BE17" s="78"/>
      <c r="BF17" s="78"/>
    </row>
    <row r="18" spans="1:58" x14ac:dyDescent="0.25">
      <c r="A18" s="72"/>
      <c r="B18" s="73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5"/>
      <c r="AC18" s="75"/>
      <c r="AD18" s="75"/>
      <c r="AE18" s="75"/>
      <c r="AF18" s="75"/>
      <c r="AG18" s="75"/>
      <c r="AH18" s="75"/>
      <c r="AI18" s="75"/>
      <c r="AJ18" s="75"/>
      <c r="AK18" s="77"/>
      <c r="AL18" s="77"/>
      <c r="AM18" s="77"/>
      <c r="AN18" s="77"/>
      <c r="AO18" s="77"/>
      <c r="AP18" s="74"/>
      <c r="AQ18" s="74"/>
      <c r="AR18" s="74"/>
      <c r="AS18" s="74"/>
      <c r="AT18" s="74"/>
      <c r="AU18" s="76"/>
      <c r="AV18" s="76"/>
      <c r="AW18" s="76"/>
      <c r="AX18" s="76"/>
      <c r="AY18" s="76"/>
      <c r="AZ18" s="78"/>
      <c r="BA18" s="78"/>
      <c r="BB18" s="78"/>
      <c r="BC18" s="78"/>
      <c r="BD18" s="78"/>
      <c r="BE18" s="78"/>
      <c r="BF18" s="78"/>
    </row>
    <row r="19" spans="1:58" x14ac:dyDescent="0.25">
      <c r="A19" s="72"/>
      <c r="B19" s="73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5"/>
      <c r="AC19" s="75"/>
      <c r="AD19" s="75"/>
      <c r="AE19" s="75"/>
      <c r="AF19" s="75"/>
      <c r="AG19" s="75"/>
      <c r="AH19" s="75"/>
      <c r="AI19" s="75"/>
      <c r="AJ19" s="75"/>
      <c r="AK19" s="76"/>
      <c r="AL19" s="76"/>
      <c r="AM19" s="76"/>
      <c r="AN19" s="76"/>
      <c r="AO19" s="76"/>
      <c r="AP19" s="74"/>
      <c r="AQ19" s="74"/>
      <c r="AR19" s="74"/>
      <c r="AS19" s="74"/>
      <c r="AT19" s="74"/>
      <c r="AU19" s="76"/>
      <c r="AV19" s="76"/>
      <c r="AW19" s="76"/>
      <c r="AX19" s="76"/>
      <c r="AY19" s="76"/>
      <c r="AZ19" s="78"/>
      <c r="BA19" s="78"/>
      <c r="BB19" s="78"/>
      <c r="BC19" s="78"/>
      <c r="BD19" s="78"/>
      <c r="BE19" s="78"/>
      <c r="BF19" s="78"/>
    </row>
    <row r="20" spans="1:58" x14ac:dyDescent="0.25">
      <c r="A20" s="72"/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5"/>
      <c r="AC20" s="75"/>
      <c r="AD20" s="75"/>
      <c r="AE20" s="75"/>
      <c r="AF20" s="75"/>
      <c r="AG20" s="75"/>
      <c r="AH20" s="75"/>
      <c r="AI20" s="75"/>
      <c r="AJ20" s="75"/>
      <c r="AK20" s="76"/>
      <c r="AL20" s="76"/>
      <c r="AM20" s="76"/>
      <c r="AN20" s="76"/>
      <c r="AO20" s="76"/>
      <c r="AP20" s="75"/>
      <c r="AQ20" s="75"/>
      <c r="AR20" s="75"/>
      <c r="AS20" s="75"/>
      <c r="AT20" s="75"/>
      <c r="AU20" s="76"/>
      <c r="AV20" s="76"/>
      <c r="AW20" s="76"/>
      <c r="AX20" s="76"/>
      <c r="AY20" s="76"/>
      <c r="AZ20" s="78"/>
      <c r="BA20" s="78"/>
      <c r="BB20" s="78"/>
      <c r="BC20" s="78"/>
      <c r="BD20" s="78"/>
      <c r="BE20" s="78"/>
      <c r="BF20" s="78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E21"/>
  <sheetViews>
    <sheetView topLeftCell="W5" workbookViewId="0">
      <selection activeCell="C13" sqref="C13:C20"/>
    </sheetView>
  </sheetViews>
  <sheetFormatPr baseColWidth="10" defaultRowHeight="15" x14ac:dyDescent="0.25"/>
  <cols>
    <col min="1" max="1" width="34.7109375" customWidth="1"/>
    <col min="34" max="58" width="10.85546875"/>
  </cols>
  <sheetData>
    <row r="1" spans="1:57" x14ac:dyDescent="0.25">
      <c r="A1" s="56" t="s">
        <v>122</v>
      </c>
      <c r="B1" s="48">
        <v>2010</v>
      </c>
      <c r="C1" s="48">
        <v>2020</v>
      </c>
      <c r="D1" s="48">
        <f>C1+1</f>
        <v>2021</v>
      </c>
      <c r="E1" s="48">
        <f t="shared" ref="E1:AG1" si="0">D1+1</f>
        <v>2022</v>
      </c>
      <c r="F1" s="48">
        <f t="shared" si="0"/>
        <v>2023</v>
      </c>
      <c r="G1" s="48">
        <f t="shared" si="0"/>
        <v>2024</v>
      </c>
      <c r="H1" s="48">
        <f t="shared" si="0"/>
        <v>2025</v>
      </c>
      <c r="I1" s="48">
        <f t="shared" si="0"/>
        <v>2026</v>
      </c>
      <c r="J1" s="48">
        <f t="shared" si="0"/>
        <v>2027</v>
      </c>
      <c r="K1" s="48">
        <f t="shared" si="0"/>
        <v>2028</v>
      </c>
      <c r="L1" s="48">
        <f t="shared" si="0"/>
        <v>2029</v>
      </c>
      <c r="M1" s="48">
        <f t="shared" si="0"/>
        <v>2030</v>
      </c>
      <c r="N1" s="48">
        <f t="shared" si="0"/>
        <v>2031</v>
      </c>
      <c r="O1" s="48">
        <f t="shared" si="0"/>
        <v>2032</v>
      </c>
      <c r="P1" s="48">
        <f t="shared" si="0"/>
        <v>2033</v>
      </c>
      <c r="Q1" s="48">
        <f t="shared" si="0"/>
        <v>2034</v>
      </c>
      <c r="R1" s="48">
        <f t="shared" si="0"/>
        <v>2035</v>
      </c>
      <c r="S1" s="48">
        <f t="shared" si="0"/>
        <v>2036</v>
      </c>
      <c r="T1" s="48">
        <f t="shared" si="0"/>
        <v>2037</v>
      </c>
      <c r="U1" s="48">
        <f t="shared" si="0"/>
        <v>2038</v>
      </c>
      <c r="V1" s="48">
        <f t="shared" si="0"/>
        <v>2039</v>
      </c>
      <c r="W1" s="48">
        <f t="shared" si="0"/>
        <v>2040</v>
      </c>
      <c r="X1" s="48">
        <f t="shared" si="0"/>
        <v>2041</v>
      </c>
      <c r="Y1" s="48">
        <f t="shared" si="0"/>
        <v>2042</v>
      </c>
      <c r="Z1" s="48">
        <f t="shared" si="0"/>
        <v>2043</v>
      </c>
      <c r="AA1" s="48">
        <f t="shared" si="0"/>
        <v>2044</v>
      </c>
      <c r="AB1" s="48">
        <f t="shared" si="0"/>
        <v>2045</v>
      </c>
      <c r="AC1" s="48">
        <f t="shared" si="0"/>
        <v>2046</v>
      </c>
      <c r="AD1" s="48">
        <f t="shared" si="0"/>
        <v>2047</v>
      </c>
      <c r="AE1" s="48">
        <f t="shared" si="0"/>
        <v>2048</v>
      </c>
      <c r="AF1" s="48">
        <f t="shared" si="0"/>
        <v>2049</v>
      </c>
      <c r="AG1" s="48">
        <f t="shared" si="0"/>
        <v>2050</v>
      </c>
    </row>
    <row r="2" spans="1:57" x14ac:dyDescent="0.25">
      <c r="A2" s="57" t="s">
        <v>88</v>
      </c>
      <c r="B2" s="69"/>
      <c r="C2" s="69"/>
      <c r="D2" s="69">
        <f>Kexo_TEND!D2-Kexo_TEND!C2*(1-1/(('coût TEND'!$C61*'coût TEND'!$C62+'coût TEND'!$C70*'coût TEND'!$C71)/('coût TEND'!$C62+'coût TEND'!$C71)))</f>
        <v>6114.0519281396482</v>
      </c>
      <c r="E2" s="69">
        <f>Kexo_TEND!E2-Kexo_TEND!D2*(1-1/(('coût TEND'!$C61*'coût TEND'!$C62+'coût TEND'!$C70*'coût TEND'!$C71)/('coût TEND'!$C62+'coût TEND'!$C71)))</f>
        <v>6496.601718150996</v>
      </c>
      <c r="F2" s="69">
        <f>Kexo_TEND!F2-Kexo_TEND!E2*(1-1/(('coût TEND'!$C61*'coût TEND'!$C62+'coût TEND'!$C70*'coût TEND'!$C71)/('coût TEND'!$C62+'coût TEND'!$C71)))</f>
        <v>6879.1515081623402</v>
      </c>
      <c r="G2" s="69">
        <f>Kexo_TEND!G2-Kexo_TEND!F2*(1-1/(('coût TEND'!$C61*'coût TEND'!$C62+'coût TEND'!$C70*'coût TEND'!$C71)/('coût TEND'!$C62+'coût TEND'!$C71)))</f>
        <v>7261.7012981736843</v>
      </c>
      <c r="H2" s="69">
        <f>Kexo_TEND!H2-Kexo_TEND!G2*(1-1/(('coût TEND'!$D61*'coût TEND'!$D62+'coût TEND'!$D70*'coût TEND'!$D71)/('coût TEND'!$D62+'coût TEND'!$D71)))</f>
        <v>7175.2659814918225</v>
      </c>
      <c r="I2" s="69">
        <f>Kexo_TEND!I2-Kexo_TEND!H2*(1-1/(('coût TEND'!$D61*'coût TEND'!$D62+'coût TEND'!$D70*'coût TEND'!$D71)/('coût TEND'!$D62+'coût TEND'!$D71)))</f>
        <v>3591.2792586587093</v>
      </c>
      <c r="J2" s="69">
        <f>Kexo_TEND!J2-Kexo_TEND!I2*(1-1/(('coût TEND'!$D61*'coût TEND'!$D62+'coût TEND'!$D70*'coût TEND'!$D71)/('coût TEND'!$D62+'coût TEND'!$D71)))</f>
        <v>3583.028658952062</v>
      </c>
      <c r="K2" s="69">
        <f>Kexo_TEND!K2-Kexo_TEND!J2*(1-1/(('coût TEND'!$D61*'coût TEND'!$D62+'coût TEND'!$D70*'coût TEND'!$D71)/('coût TEND'!$D62+'coût TEND'!$D71)))</f>
        <v>3574.7780592454219</v>
      </c>
      <c r="L2" s="69">
        <f>Kexo_TEND!L2-Kexo_TEND!K2*(1-1/(('coût TEND'!$D61*'coût TEND'!$D62+'coût TEND'!$D70*'coût TEND'!$D71)/('coût TEND'!$D62+'coût TEND'!$D71)))</f>
        <v>3566.5274595387746</v>
      </c>
      <c r="M2" s="69">
        <f>Kexo_TEND!M2-Kexo_TEND!L2*(1-1/(('coût TEND'!$E61*'coût TEND'!$E62+'coût TEND'!$E70*'coût TEND'!$E71)/('coût TEND'!$E62+'coût TEND'!$E71)))</f>
        <v>3558.2768598321491</v>
      </c>
      <c r="N2" s="69">
        <f>Kexo_TEND!N2-Kexo_TEND!M2*(1-1/(('coût TEND'!$E61*'coût TEND'!$E62+'coût TEND'!$E70*'coût TEND'!$E71)/('coût TEND'!$E62+'coût TEND'!$E71)))</f>
        <v>2652.5433835870717</v>
      </c>
      <c r="O2" s="69">
        <f>Kexo_TEND!O2-Kexo_TEND!N2*(1-1/(('coût TEND'!$E61*'coût TEND'!$E62+'coût TEND'!$E70*'coût TEND'!$E71)/('coût TEND'!$E62+'coût TEND'!$E71)))</f>
        <v>2565.5665780915151</v>
      </c>
      <c r="P2" s="69">
        <f>Kexo_TEND!P2-Kexo_TEND!O2*(1-1/(('coût TEND'!$E61*'coût TEND'!$E62+'coût TEND'!$E70*'coût TEND'!$E71)/('coût TEND'!$E62+'coût TEND'!$E71)))</f>
        <v>2478.5897725959512</v>
      </c>
      <c r="Q2" s="69">
        <f>Kexo_TEND!Q2-Kexo_TEND!P2*(1-1/(('coût TEND'!$E61*'coût TEND'!$E62+'coût TEND'!$E70*'coût TEND'!$E71)/('coût TEND'!$E62+'coût TEND'!$E71)))</f>
        <v>2391.6129671003946</v>
      </c>
      <c r="R2" s="69">
        <f>Kexo_TEND!R2-Kexo_TEND!Q2*(1-1/(('coût TEND'!$F61*'coût TEND'!$F62+'coût TEND'!$F70*'coût TEND'!$F71)/('coût TEND'!$F62+'coût TEND'!$F71)))</f>
        <v>2261.9920244800232</v>
      </c>
      <c r="S2" s="69">
        <f>Kexo_TEND!S2-Kexo_TEND!R2*(1-1/(('coût TEND'!$F61*'coût TEND'!$F62+'coût TEND'!$F70*'coût TEND'!$F71)/('coût TEND'!$F62+'coût TEND'!$F71)))</f>
        <v>2308.9658546451392</v>
      </c>
      <c r="T2" s="69">
        <f>Kexo_TEND!T2-Kexo_TEND!S2*(1-1/(('coût TEND'!$F61*'coût TEND'!$F62+'coût TEND'!$F70*'coût TEND'!$F71)/('coût TEND'!$F62+'coût TEND'!$F71)))</f>
        <v>2234.6148648900635</v>
      </c>
      <c r="U2" s="69">
        <f>Kexo_TEND!U2-Kexo_TEND!T2*(1-1/(('coût TEND'!$F61*'coût TEND'!$F62+'coût TEND'!$F70*'coût TEND'!$F71)/('coût TEND'!$F62+'coût TEND'!$F71)))</f>
        <v>2160.2638751349914</v>
      </c>
      <c r="V2" s="69">
        <f>Kexo_TEND!V2-Kexo_TEND!U2*(1-1/(('coût TEND'!$F61*'coût TEND'!$F62+'coût TEND'!$F70*'coût TEND'!$F71)/('coût TEND'!$F62+'coût TEND'!$F71)))</f>
        <v>2085.9128853799157</v>
      </c>
      <c r="W2" s="69">
        <f>Kexo_TEND!W2-Kexo_TEND!V2*(1-1/(('coût TEND'!$G61*'coût TEND'!$G62+'coût TEND'!$G70*'coût TEND'!$G71)/('coût TEND'!$G62+'coût TEND'!$G71)))</f>
        <v>1966.2803471601728</v>
      </c>
      <c r="X2" s="69">
        <f>Kexo_TEND!X2-Kexo_TEND!W2*(1-1/(('coût TEND'!$G61*'coût TEND'!$G62+'coût TEND'!$G70*'coût TEND'!$G71)/('coût TEND'!$G62+'coût TEND'!$G71)))</f>
        <v>1886.290869857894</v>
      </c>
      <c r="Y2" s="69">
        <f>Kexo_TEND!Y2-Kexo_TEND!X2*(1-1/(('coût TEND'!$G61*'coût TEND'!$G62+'coût TEND'!$G70*'coût TEND'!$G71)/('coût TEND'!$G62+'coût TEND'!$G71)))</f>
        <v>1812.532384219794</v>
      </c>
      <c r="Z2" s="69">
        <f>Kexo_TEND!Z2-Kexo_TEND!Y2*(1-1/(('coût TEND'!$G61*'coût TEND'!$G62+'coût TEND'!$G70*'coût TEND'!$G71)/('coût TEND'!$G62+'coût TEND'!$G71)))</f>
        <v>1738.7738985816941</v>
      </c>
      <c r="AA2" s="69">
        <f>Kexo_TEND!AA2-Kexo_TEND!Z2*(1-1/(('coût TEND'!$G61*'coût TEND'!$G62+'coût TEND'!$G70*'coût TEND'!$G71)/('coût TEND'!$G62+'coût TEND'!$G71)))</f>
        <v>1665.0154129435905</v>
      </c>
      <c r="AB2" s="69">
        <f>Kexo_TEND!AB2-Kexo_TEND!AA2*(1-1/(('coût TEND'!$H61*'coût TEND'!$H62+'coût TEND'!$H70*'coût TEND'!$H71)/('coût TEND'!$H62+'coût TEND'!$H71)))</f>
        <v>1542.9495326358301</v>
      </c>
      <c r="AC2" s="69">
        <f>Kexo_TEND!AC2-Kexo_TEND!AB2*(1-1/(('coût TEND'!$H61*'coût TEND'!$H62+'coût TEND'!$H70*'coût TEND'!$H71)/('coût TEND'!$H62+'coût TEND'!$H71)))</f>
        <v>1440.7235440291843</v>
      </c>
      <c r="AD2" s="69">
        <f>Kexo_TEND!AD2-Kexo_TEND!AC2*(1-1/(('coût TEND'!$H61*'coût TEND'!$H62+'coût TEND'!$H70*'coût TEND'!$H71)/('coût TEND'!$H62+'coût TEND'!$H71)))</f>
        <v>1365.915954641383</v>
      </c>
      <c r="AE2" s="69">
        <f>Kexo_TEND!AE2-Kexo_TEND!AD2*(1-1/(('coût TEND'!$H61*'coût TEND'!$H62+'coût TEND'!$H70*'coût TEND'!$H71)/('coût TEND'!$H62+'coût TEND'!$H71)))</f>
        <v>1291.1083652535817</v>
      </c>
      <c r="AF2" s="69">
        <f>Kexo_TEND!AF2-Kexo_TEND!AE2*(1-1/(('coût TEND'!$H61*'coût TEND'!$H62+'coût TEND'!$H70*'coût TEND'!$H71)/('coût TEND'!$H62+'coût TEND'!$H71)))</f>
        <v>1216.3007758657768</v>
      </c>
      <c r="AG2" s="69">
        <f>Kexo_TEND!AG2-Kexo_TEND!AF2*(1-1/(('coût TEND'!$H61*'coût TEND'!$H62+'coût TEND'!$H70*'coût TEND'!$H71)/('coût TEND'!$H62+'coût TEND'!$H71)))</f>
        <v>1141.4931864779755</v>
      </c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</row>
    <row r="3" spans="1:57" x14ac:dyDescent="0.25">
      <c r="A3" s="57" t="s">
        <v>89</v>
      </c>
      <c r="B3" s="69"/>
      <c r="C3" s="69"/>
      <c r="D3" s="79">
        <f>IF(Kexo_TEND!D3-Kexo_TEND!C3*(1-1/40)&gt;0.5,Kexo_TEND!D3-Kexo_TEND!C3*(1-1/40),0.5)</f>
        <v>3.0644000000000062</v>
      </c>
      <c r="E3" s="79">
        <f>IF(Kexo_TEND!E3-Kexo_TEND!D3*(1-1/40)&gt;0.5,Kexo_TEND!E3-Kexo_TEND!D3*(1-1/40),0.5)</f>
        <v>3.0644000000000062</v>
      </c>
      <c r="F3" s="79">
        <f>IF(Kexo_TEND!F3-Kexo_TEND!E3*(1-1/40)&gt;0.5,Kexo_TEND!F3-Kexo_TEND!E3*(1-1/40),0.5)</f>
        <v>3.0644000000000062</v>
      </c>
      <c r="G3" s="79">
        <f>IF(Kexo_TEND!G3-Kexo_TEND!F3*(1-1/40)&gt;0.5,Kexo_TEND!G3-Kexo_TEND!F3*(1-1/40),0.5)</f>
        <v>3.0644000000000062</v>
      </c>
      <c r="H3" s="79">
        <f>IF(Kexo_TEND!H3-Kexo_TEND!G3*(1-1/40)&gt;0.5,Kexo_TEND!H3-Kexo_TEND!G3*(1-1/40),0.5)</f>
        <v>3.0644000000000062</v>
      </c>
      <c r="I3" s="79">
        <f>IF(Kexo_TEND!I3-Kexo_TEND!H3*(1-1/40)&gt;0.5,Kexo_TEND!I3-Kexo_TEND!H3*(1-1/40),0.5)</f>
        <v>3.0644000000000062</v>
      </c>
      <c r="J3" s="79">
        <f>IF(Kexo_TEND!J3-Kexo_TEND!I3*(1-1/40)&gt;0.5,Kexo_TEND!J3-Kexo_TEND!I3*(1-1/40),0.5)</f>
        <v>3.0644000000000062</v>
      </c>
      <c r="K3" s="79">
        <f>IF(Kexo_TEND!K3-Kexo_TEND!J3*(1-1/40)&gt;0.5,Kexo_TEND!K3-Kexo_TEND!J3*(1-1/40),0.5)</f>
        <v>3.0644000000000062</v>
      </c>
      <c r="L3" s="79">
        <f>IF(Kexo_TEND!L3-Kexo_TEND!K3*(1-1/40)&gt;0.5,Kexo_TEND!L3-Kexo_TEND!K3*(1-1/40),0.5)</f>
        <v>3.0644000000000062</v>
      </c>
      <c r="M3" s="79">
        <f>IF(Kexo_TEND!M3-Kexo_TEND!L3*(1-1/40)&gt;0.5,Kexo_TEND!M3-Kexo_TEND!L3*(1-1/40),0.5)</f>
        <v>3.0644000000000062</v>
      </c>
      <c r="N3" s="79">
        <f>IF(Kexo_TEND!N3-Kexo_TEND!M3*(1-1/40)&gt;0.5,Kexo_TEND!N3-Kexo_TEND!M3*(1-1/40),0.5)</f>
        <v>3.0644000000000062</v>
      </c>
      <c r="O3" s="79">
        <f>IF(Kexo_TEND!O3-Kexo_TEND!N3*(1-1/40)&gt;0.5,Kexo_TEND!O3-Kexo_TEND!N3*(1-1/40),0.5)</f>
        <v>3.0644000000000062</v>
      </c>
      <c r="P3" s="79">
        <f>IF(Kexo_TEND!P3-Kexo_TEND!O3*(1-1/40)&gt;0.5,Kexo_TEND!P3-Kexo_TEND!O3*(1-1/40),0.5)</f>
        <v>3.0644000000000062</v>
      </c>
      <c r="Q3" s="79">
        <f>IF(Kexo_TEND!Q3-Kexo_TEND!P3*(1-1/40)&gt;0.5,Kexo_TEND!Q3-Kexo_TEND!P3*(1-1/40),0.5)</f>
        <v>3.0644000000000062</v>
      </c>
      <c r="R3" s="79">
        <f>IF(Kexo_TEND!R3-Kexo_TEND!Q3*(1-1/40)&gt;0.5,Kexo_TEND!R3-Kexo_TEND!Q3*(1-1/40),0.5)</f>
        <v>3.0644000000000062</v>
      </c>
      <c r="S3" s="79">
        <f>IF(Kexo_TEND!S3-Kexo_TEND!R3*(1-1/40)&gt;0.5,Kexo_TEND!S3-Kexo_TEND!R3*(1-1/40),0.5)</f>
        <v>3.0644000000000062</v>
      </c>
      <c r="T3" s="79">
        <f>IF(Kexo_TEND!T3-Kexo_TEND!S3*(1-1/40)&gt;0.5,Kexo_TEND!T3-Kexo_TEND!S3*(1-1/40),0.5)</f>
        <v>3.0644000000000062</v>
      </c>
      <c r="U3" s="79">
        <f>IF(Kexo_TEND!U3-Kexo_TEND!T3*(1-1/40)&gt;0.5,Kexo_TEND!U3-Kexo_TEND!T3*(1-1/40),0.5)</f>
        <v>3.0644000000000062</v>
      </c>
      <c r="V3" s="79">
        <f>IF(Kexo_TEND!V3-Kexo_TEND!U3*(1-1/40)&gt;0.5,Kexo_TEND!V3-Kexo_TEND!U3*(1-1/40),0.5)</f>
        <v>3.0644000000000062</v>
      </c>
      <c r="W3" s="79">
        <f>IF(Kexo_TEND!W3-Kexo_TEND!V3*(1-1/40)&gt;0.5,Kexo_TEND!W3-Kexo_TEND!V3*(1-1/40),0.5)</f>
        <v>3.0644000000000062</v>
      </c>
      <c r="X3" s="79">
        <f>IF(Kexo_TEND!X3-Kexo_TEND!W3*(1-1/40)&gt;0.5,Kexo_TEND!X3-Kexo_TEND!W3*(1-1/40),0.5)</f>
        <v>3.0644000000000062</v>
      </c>
      <c r="Y3" s="79">
        <f>IF(Kexo_TEND!Y3-Kexo_TEND!X3*(1-1/40)&gt;0.5,Kexo_TEND!Y3-Kexo_TEND!X3*(1-1/40),0.5)</f>
        <v>3.0644000000000062</v>
      </c>
      <c r="Z3" s="79">
        <f>IF(Kexo_TEND!Z3-Kexo_TEND!Y3*(1-1/40)&gt;0.5,Kexo_TEND!Z3-Kexo_TEND!Y3*(1-1/40),0.5)</f>
        <v>3.0644000000000062</v>
      </c>
      <c r="AA3" s="79">
        <f>IF(Kexo_TEND!AA3-Kexo_TEND!Z3*(1-1/40)&gt;0.5,Kexo_TEND!AA3-Kexo_TEND!Z3*(1-1/40),0.5)</f>
        <v>3.0644000000000062</v>
      </c>
      <c r="AB3" s="79">
        <f>IF(Kexo_TEND!AB3-Kexo_TEND!AA3*(1-1/40)&gt;0.5,Kexo_TEND!AB3-Kexo_TEND!AA3*(1-1/40),0.5)</f>
        <v>3.0644000000000062</v>
      </c>
      <c r="AC3" s="79">
        <f>IF(Kexo_TEND!AC3-Kexo_TEND!AB3*(1-1/40)&gt;0.5,Kexo_TEND!AC3-Kexo_TEND!AB3*(1-1/40),0.5)</f>
        <v>3.0644000000000062</v>
      </c>
      <c r="AD3" s="79">
        <f>IF(Kexo_TEND!AD3-Kexo_TEND!AC3*(1-1/40)&gt;0.5,Kexo_TEND!AD3-Kexo_TEND!AC3*(1-1/40),0.5)</f>
        <v>3.0644000000000062</v>
      </c>
      <c r="AE3" s="79">
        <f>IF(Kexo_TEND!AE3-Kexo_TEND!AD3*(1-1/40)&gt;0.5,Kexo_TEND!AE3-Kexo_TEND!AD3*(1-1/40),0.5)</f>
        <v>3.0644000000000062</v>
      </c>
      <c r="AF3" s="79">
        <f>IF(Kexo_TEND!AF3-Kexo_TEND!AE3*(1-1/40)&gt;0.5,Kexo_TEND!AF3-Kexo_TEND!AE3*(1-1/40),0.5)</f>
        <v>3.0644000000000062</v>
      </c>
      <c r="AG3" s="79">
        <f>IF(Kexo_TEND!AG3-Kexo_TEND!AF3*(1-1/40)&gt;0.5,Kexo_TEND!AG3-Kexo_TEND!AF3*(1-1/40),0.5)</f>
        <v>3.0644000000000062</v>
      </c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</row>
    <row r="4" spans="1:57" x14ac:dyDescent="0.25">
      <c r="A4" s="57" t="s">
        <v>90</v>
      </c>
      <c r="B4" s="69"/>
      <c r="C4" s="69"/>
      <c r="D4" s="69">
        <f>IF(Kexo_TEND!D4-Kexo_TEND!C4*(1-1/'coût TEND'!$C78)&gt;0,Kexo_TEND!D4-Kexo_TEND!C4*(1-1/'coût TEND'!$C78),0.5)</f>
        <v>0.5</v>
      </c>
      <c r="E4" s="69">
        <f>IF(Kexo_TEND!E4-Kexo_TEND!D4*(1-1/'coût TEND'!$C78)&gt;0,Kexo_TEND!E4-Kexo_TEND!D4*(1-1/'coût TEND'!$C78),0.5)</f>
        <v>0.5</v>
      </c>
      <c r="F4" s="69">
        <f>IF(Kexo_TEND!F4-Kexo_TEND!E4*(1-1/'coût TEND'!$C78)&gt;0,Kexo_TEND!F4-Kexo_TEND!E4*(1-1/'coût TEND'!$C78),0.5)</f>
        <v>0.5</v>
      </c>
      <c r="G4" s="69">
        <f>IF(Kexo_TEND!G4-Kexo_TEND!F4*(1-1/'coût TEND'!$C78)&gt;0,Kexo_TEND!G4-Kexo_TEND!F4*(1-1/'coût TEND'!$C78),0.5)</f>
        <v>0.5</v>
      </c>
      <c r="H4" s="69">
        <f>IF(Kexo_TEND!H4-Kexo_TEND!G4*(1-1/'coût TEND'!$C78)&gt;0,Kexo_TEND!H4-Kexo_TEND!G4*(1-1/'coût TEND'!$C78),0.5)</f>
        <v>0.5</v>
      </c>
      <c r="I4" s="69">
        <f>IF(Kexo_TEND!I4-Kexo_TEND!H4*(1-1/'coût TEND'!$C78)&gt;0,Kexo_TEND!I4-Kexo_TEND!H4*(1-1/'coût TEND'!$C78),0.5)</f>
        <v>96.998820512139446</v>
      </c>
      <c r="J4" s="69">
        <f>IF(Kexo_TEND!J4-Kexo_TEND!I4*(1-1/'coût TEND'!$C78)&gt;0,Kexo_TEND!J4-Kexo_TEND!I4*(1-1/'coût TEND'!$C78),0.5)</f>
        <v>95.991933970251011</v>
      </c>
      <c r="K4" s="69">
        <f>IF(Kexo_TEND!K4-Kexo_TEND!J4*(1-1/'coût TEND'!$C78)&gt;0,Kexo_TEND!K4-Kexo_TEND!J4*(1-1/'coût TEND'!$C78),0.5)</f>
        <v>94.985047428362577</v>
      </c>
      <c r="L4" s="69">
        <f>IF(Kexo_TEND!L4-Kexo_TEND!K4*(1-1/'coût TEND'!$C78)&gt;0,Kexo_TEND!L4-Kexo_TEND!K4*(1-1/'coût TEND'!$C78),0.5)</f>
        <v>93.978160886474143</v>
      </c>
      <c r="M4" s="69">
        <f>IF(Kexo_TEND!M4-Kexo_TEND!L4*(1-1/'coût TEND'!$C78)&gt;0,Kexo_TEND!M4-Kexo_TEND!L4*(1-1/'coût TEND'!$C78),0.5)</f>
        <v>92.971274344584799</v>
      </c>
      <c r="N4" s="69">
        <f>IF(Kexo_TEND!N4-Kexo_TEND!M4*(1-1/'coût TEND'!$C78)&gt;0,Kexo_TEND!N4-Kexo_TEND!M4*(1-1/'coût TEND'!$C78),0.5)</f>
        <v>151.92332074988417</v>
      </c>
      <c r="O4" s="69">
        <f>IF(Kexo_TEND!O4-Kexo_TEND!N4*(1-1/'coût TEND'!$C78)&gt;0,Kexo_TEND!O4-Kexo_TEND!N4*(1-1/'coût TEND'!$C78),0.5)</f>
        <v>152.91506530623519</v>
      </c>
      <c r="P4" s="69">
        <f>IF(Kexo_TEND!P4-Kexo_TEND!O4*(1-1/'coût TEND'!$C78)&gt;0,Kexo_TEND!P4-Kexo_TEND!O4*(1-1/'coût TEND'!$C78),0.5)</f>
        <v>153.90680986258621</v>
      </c>
      <c r="Q4" s="69">
        <f>IF(Kexo_TEND!Q4-Kexo_TEND!P4*(1-1/'coût TEND'!$C78)&gt;0,Kexo_TEND!Q4-Kexo_TEND!P4*(1-1/'coût TEND'!$C78),0.5)</f>
        <v>154.89855441893769</v>
      </c>
      <c r="R4" s="69">
        <f>IF(Kexo_TEND!R4-Kexo_TEND!Q4*(1-1/'coût TEND'!$C78)&gt;0,Kexo_TEND!R4-Kexo_TEND!Q4*(1-1/'coût TEND'!$C78),0.5)</f>
        <v>155.89029897528826</v>
      </c>
      <c r="S4" s="69">
        <f>IF(Kexo_TEND!S4-Kexo_TEND!R4*(1-1/'coût TEND'!$C78)&gt;0,Kexo_TEND!S4-Kexo_TEND!R4*(1-1/'coût TEND'!$C78),0.5)</f>
        <v>150.44952732898082</v>
      </c>
      <c r="T4" s="69">
        <f>IF(Kexo_TEND!T4-Kexo_TEND!S4*(1-1/'coût TEND'!$C78)&gt;0,Kexo_TEND!T4-Kexo_TEND!S4*(1-1/'coût TEND'!$C78),0.5)</f>
        <v>151.22685467857673</v>
      </c>
      <c r="U4" s="69">
        <f>IF(Kexo_TEND!U4-Kexo_TEND!T4*(1-1/'coût TEND'!$C78)&gt;0,Kexo_TEND!U4-Kexo_TEND!T4*(1-1/'coût TEND'!$C78),0.5)</f>
        <v>152.00418202817264</v>
      </c>
      <c r="V4" s="69">
        <f>IF(Kexo_TEND!V4-Kexo_TEND!U4*(1-1/'coût TEND'!$C78)&gt;0,Kexo_TEND!V4-Kexo_TEND!U4*(1-1/'coût TEND'!$C78),0.5)</f>
        <v>152.78150937776854</v>
      </c>
      <c r="W4" s="69">
        <f>IF(Kexo_TEND!W4-Kexo_TEND!V4*(1-1/'coût TEND'!$C78)&gt;0,Kexo_TEND!W4-Kexo_TEND!V4*(1-1/'coût TEND'!$C78),0.5)</f>
        <v>153.55883672736491</v>
      </c>
      <c r="X4" s="69">
        <f>IF(Kexo_TEND!X4-Kexo_TEND!W4*(1-1/'coût TEND'!$C78)&gt;0,Kexo_TEND!X4-Kexo_TEND!W4*(1-1/'coût TEND'!$C78),0.5)</f>
        <v>156.04285752113174</v>
      </c>
      <c r="Y4" s="69">
        <f>IF(Kexo_TEND!Y4-Kexo_TEND!X4*(1-1/'coût TEND'!$C78)&gt;0,Kexo_TEND!Y4-Kexo_TEND!X4*(1-1/'coût TEND'!$C78),0.5)</f>
        <v>156.87707465220001</v>
      </c>
      <c r="Z4" s="69">
        <f>IF(Kexo_TEND!Z4-Kexo_TEND!Y4*(1-1/'coût TEND'!$C78)&gt;0,Kexo_TEND!Z4-Kexo_TEND!Y4*(1-1/'coût TEND'!$C78),0.5)</f>
        <v>157.71129178326828</v>
      </c>
      <c r="AA4" s="69">
        <f>IF(Kexo_TEND!AA4-Kexo_TEND!Z4*(1-1/'coût TEND'!$C78)&gt;0,Kexo_TEND!AA4-Kexo_TEND!Z4*(1-1/'coût TEND'!$C78),0.5)</f>
        <v>158.54550891433655</v>
      </c>
      <c r="AB4" s="69">
        <f>IF(Kexo_TEND!AB4-Kexo_TEND!AA4*(1-1/'coût TEND'!$C78)&gt;0,Kexo_TEND!AB4-Kexo_TEND!AA4*(1-1/'coût TEND'!$C78),0.5)</f>
        <v>159.37972604540573</v>
      </c>
      <c r="AC4" s="69">
        <f>IF(Kexo_TEND!AC4-Kexo_TEND!AB4*(1-1/'coût TEND'!$C78)&gt;0,Kexo_TEND!AC4-Kexo_TEND!AB4*(1-1/'coût TEND'!$C78),0.5)</f>
        <v>1649.993634073222</v>
      </c>
      <c r="AD4" s="69">
        <f>IF(Kexo_TEND!AD4-Kexo_TEND!AC4*(1-1/'coût TEND'!$C78)&gt;0,Kexo_TEND!AD4-Kexo_TEND!AC4*(1-1/'coût TEND'!$C78),0.5)</f>
        <v>1700.4871742341811</v>
      </c>
      <c r="AE4" s="69">
        <f>IF(Kexo_TEND!AE4-Kexo_TEND!AD4*(1-1/'coût TEND'!$C78)&gt;0,Kexo_TEND!AE4-Kexo_TEND!AD4*(1-1/'coût TEND'!$C78),0.5)</f>
        <v>1750.9807143951421</v>
      </c>
      <c r="AF4" s="69">
        <f>IF(Kexo_TEND!AF4-Kexo_TEND!AE4*(1-1/'coût TEND'!$C78)&gt;0,Kexo_TEND!AF4-Kexo_TEND!AE4*(1-1/'coût TEND'!$C78),0.5)</f>
        <v>1801.4742545561021</v>
      </c>
      <c r="AG4" s="69">
        <f>IF(Kexo_TEND!AG4-Kexo_TEND!AF4*(1-1/'coût TEND'!$C78)&gt;0,Kexo_TEND!AG4-Kexo_TEND!AF4*(1-1/'coût TEND'!$C78),0.5)</f>
        <v>1851.9677947170621</v>
      </c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</row>
    <row r="5" spans="1:57" x14ac:dyDescent="0.25">
      <c r="A5" s="57" t="s">
        <v>91</v>
      </c>
      <c r="B5" s="69"/>
      <c r="C5" s="69"/>
      <c r="D5" s="80">
        <f>IF(Kexo_TEND!D5-Kexo_TEND!C5*(1-1/40)&gt;0.5,Kexo_TEND!D5-Kexo_TEND!C5*(1-1/40),0.5)</f>
        <v>3.5799010258527346</v>
      </c>
      <c r="E5" s="80">
        <f>IF(Kexo_TEND!E5-Kexo_TEND!D5*(1-1/40)&gt;0.5,Kexo_TEND!E5-Kexo_TEND!D5*(1-1/40),0.5)</f>
        <v>3.5799010258527346</v>
      </c>
      <c r="F5" s="80">
        <f>IF(Kexo_TEND!F5-Kexo_TEND!E5*(1-1/40)&gt;0.5,Kexo_TEND!F5-Kexo_TEND!E5*(1-1/40),0.5)</f>
        <v>3.5799010258527346</v>
      </c>
      <c r="G5" s="80">
        <f>IF(Kexo_TEND!G5-Kexo_TEND!F5*(1-1/40)&gt;0.5,Kexo_TEND!G5-Kexo_TEND!F5*(1-1/40),0.5)</f>
        <v>3.5799010258527346</v>
      </c>
      <c r="H5" s="80">
        <f>IF(Kexo_TEND!H5-Kexo_TEND!G5*(1-1/40)&gt;0.5,Kexo_TEND!H5-Kexo_TEND!G5*(1-1/40),0.5)</f>
        <v>3.5799010258527346</v>
      </c>
      <c r="I5" s="80">
        <f>IF(Kexo_TEND!I5-Kexo_TEND!H5*(1-1/40)&gt;0.5,Kexo_TEND!I5-Kexo_TEND!H5*(1-1/40),0.5)</f>
        <v>3.5799010258527346</v>
      </c>
      <c r="J5" s="80">
        <f>IF(Kexo_TEND!J5-Kexo_TEND!I5*(1-1/40)&gt;0.5,Kexo_TEND!J5-Kexo_TEND!I5*(1-1/40),0.5)</f>
        <v>3.5799010258527346</v>
      </c>
      <c r="K5" s="80">
        <f>IF(Kexo_TEND!K5-Kexo_TEND!J5*(1-1/40)&gt;0.5,Kexo_TEND!K5-Kexo_TEND!J5*(1-1/40),0.5)</f>
        <v>3.5799010258527346</v>
      </c>
      <c r="L5" s="80">
        <f>IF(Kexo_TEND!L5-Kexo_TEND!K5*(1-1/40)&gt;0.5,Kexo_TEND!L5-Kexo_TEND!K5*(1-1/40),0.5)</f>
        <v>3.5799010258527346</v>
      </c>
      <c r="M5" s="80">
        <f>IF(Kexo_TEND!M5-Kexo_TEND!L5*(1-1/40)&gt;0.5,Kexo_TEND!M5-Kexo_TEND!L5*(1-1/40),0.5)</f>
        <v>3.5799010258527346</v>
      </c>
      <c r="N5" s="80">
        <f>IF(Kexo_TEND!N5-Kexo_TEND!M5*(1-1/40)&gt;0.5,Kexo_TEND!N5-Kexo_TEND!M5*(1-1/40),0.5)</f>
        <v>3.5799010258527346</v>
      </c>
      <c r="O5" s="80">
        <f>IF(Kexo_TEND!O5-Kexo_TEND!N5*(1-1/40)&gt;0.5,Kexo_TEND!O5-Kexo_TEND!N5*(1-1/40),0.5)</f>
        <v>3.5799010258527346</v>
      </c>
      <c r="P5" s="80">
        <f>IF(Kexo_TEND!P5-Kexo_TEND!O5*(1-1/40)&gt;0.5,Kexo_TEND!P5-Kexo_TEND!O5*(1-1/40),0.5)</f>
        <v>3.5799010258527346</v>
      </c>
      <c r="Q5" s="80">
        <f>IF(Kexo_TEND!Q5-Kexo_TEND!P5*(1-1/40)&gt;0.5,Kexo_TEND!Q5-Kexo_TEND!P5*(1-1/40),0.5)</f>
        <v>3.5799010258527346</v>
      </c>
      <c r="R5" s="80">
        <f>IF(Kexo_TEND!R5-Kexo_TEND!Q5*(1-1/40)&gt;0.5,Kexo_TEND!R5-Kexo_TEND!Q5*(1-1/40),0.5)</f>
        <v>3.5799010258527346</v>
      </c>
      <c r="S5" s="80">
        <f>IF(Kexo_TEND!S5-Kexo_TEND!R5*(1-1/40)&gt;0.5,Kexo_TEND!S5-Kexo_TEND!R5*(1-1/40),0.5)</f>
        <v>3.5799010258527346</v>
      </c>
      <c r="T5" s="80">
        <f>IF(Kexo_TEND!T5-Kexo_TEND!S5*(1-1/40)&gt;0.5,Kexo_TEND!T5-Kexo_TEND!S5*(1-1/40),0.5)</f>
        <v>3.5799010258527346</v>
      </c>
      <c r="U5" s="80">
        <f>IF(Kexo_TEND!U5-Kexo_TEND!T5*(1-1/40)&gt;0.5,Kexo_TEND!U5-Kexo_TEND!T5*(1-1/40),0.5)</f>
        <v>3.5799010258527346</v>
      </c>
      <c r="V5" s="80">
        <f>IF(Kexo_TEND!V5-Kexo_TEND!U5*(1-1/40)&gt;0.5,Kexo_TEND!V5-Kexo_TEND!U5*(1-1/40),0.5)</f>
        <v>3.5799010258527346</v>
      </c>
      <c r="W5" s="80">
        <f>IF(Kexo_TEND!W5-Kexo_TEND!V5*(1-1/40)&gt;0.5,Kexo_TEND!W5-Kexo_TEND!V5*(1-1/40),0.5)</f>
        <v>3.5799010258527346</v>
      </c>
      <c r="X5" s="80">
        <f>IF(Kexo_TEND!X5-Kexo_TEND!W5*(1-1/40)&gt;0.5,Kexo_TEND!X5-Kexo_TEND!W5*(1-1/40),0.5)</f>
        <v>3.5799010258527346</v>
      </c>
      <c r="Y5" s="80">
        <f>IF(Kexo_TEND!Y5-Kexo_TEND!X5*(1-1/40)&gt;0.5,Kexo_TEND!Y5-Kexo_TEND!X5*(1-1/40),0.5)</f>
        <v>3.5799010258527346</v>
      </c>
      <c r="Z5" s="80">
        <f>IF(Kexo_TEND!Z5-Kexo_TEND!Y5*(1-1/40)&gt;0.5,Kexo_TEND!Z5-Kexo_TEND!Y5*(1-1/40),0.5)</f>
        <v>3.5799010258527346</v>
      </c>
      <c r="AA5" s="80">
        <f>IF(Kexo_TEND!AA5-Kexo_TEND!Z5*(1-1/40)&gt;0.5,Kexo_TEND!AA5-Kexo_TEND!Z5*(1-1/40),0.5)</f>
        <v>3.5799010258527346</v>
      </c>
      <c r="AB5" s="80">
        <f>IF(Kexo_TEND!AB5-Kexo_TEND!AA5*(1-1/40)&gt;0.5,Kexo_TEND!AB5-Kexo_TEND!AA5*(1-1/40),0.5)</f>
        <v>3.5799010258527346</v>
      </c>
      <c r="AC5" s="80">
        <f>IF(Kexo_TEND!AC5-Kexo_TEND!AB5*(1-1/40)&gt;0.5,Kexo_TEND!AC5-Kexo_TEND!AB5*(1-1/40),0.5)</f>
        <v>3.5799010258527346</v>
      </c>
      <c r="AD5" s="80">
        <f>IF(Kexo_TEND!AD5-Kexo_TEND!AC5*(1-1/40)&gt;0.5,Kexo_TEND!AD5-Kexo_TEND!AC5*(1-1/40),0.5)</f>
        <v>3.5799010258527346</v>
      </c>
      <c r="AE5" s="80">
        <f>IF(Kexo_TEND!AE5-Kexo_TEND!AD5*(1-1/40)&gt;0.5,Kexo_TEND!AE5-Kexo_TEND!AD5*(1-1/40),0.5)</f>
        <v>3.5799010258527346</v>
      </c>
      <c r="AF5" s="80">
        <f>IF(Kexo_TEND!AF5-Kexo_TEND!AE5*(1-1/40)&gt;0.5,Kexo_TEND!AF5-Kexo_TEND!AE5*(1-1/40),0.5)</f>
        <v>3.5799010258527346</v>
      </c>
      <c r="AG5" s="80">
        <f>IF(Kexo_TEND!AG5-Kexo_TEND!AF5*(1-1/40)&gt;0.5,Kexo_TEND!AG5-Kexo_TEND!AF5*(1-1/40),0.5)</f>
        <v>3.5799010258527346</v>
      </c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</row>
    <row r="6" spans="1:57" x14ac:dyDescent="0.25">
      <c r="A6" s="57" t="s">
        <v>92</v>
      </c>
      <c r="B6" s="69"/>
      <c r="C6" s="69"/>
      <c r="D6" s="69">
        <f>Kexo_TEND!D6-Kexo_TEND!C6*(1-1/'coût TEND'!$C38)</f>
        <v>3180.3309714647985</v>
      </c>
      <c r="E6" s="69">
        <f>Kexo_TEND!E6-Kexo_TEND!D6*(1-1/'coût TEND'!$C38)</f>
        <v>3267.2509726190729</v>
      </c>
      <c r="F6" s="69">
        <f>Kexo_TEND!F6-Kexo_TEND!E6*(1-1/'coût TEND'!$C38)</f>
        <v>3354.1709737733436</v>
      </c>
      <c r="G6" s="69">
        <f>Kexo_TEND!G6-Kexo_TEND!F6*(1-1/'coût TEND'!$C38)</f>
        <v>3441.0909749276143</v>
      </c>
      <c r="H6" s="69">
        <f>Kexo_TEND!H6-Kexo_TEND!G6*(1-1/'coût TEND'!$C38)</f>
        <v>3528.0109760818923</v>
      </c>
      <c r="I6" s="69">
        <f>Kexo_TEND!I6-Kexo_TEND!H6*(1-1/'coût TEND'!$C38)</f>
        <v>3131.8824489795952</v>
      </c>
      <c r="J6" s="69">
        <f>Kexo_TEND!J6-Kexo_TEND!I6*(1-1/'coût TEND'!$C38)</f>
        <v>3199.4805090036025</v>
      </c>
      <c r="K6" s="69">
        <f>Kexo_TEND!K6-Kexo_TEND!J6*(1-1/'coût TEND'!$C38)</f>
        <v>3267.0785690276098</v>
      </c>
      <c r="L6" s="69">
        <f>Kexo_TEND!L6-Kexo_TEND!K6*(1-1/'coût TEND'!$C38)</f>
        <v>3334.6766290516243</v>
      </c>
      <c r="M6" s="69">
        <f>Kexo_TEND!M6-Kexo_TEND!L6*(1-1/'coût TEND'!$C38)</f>
        <v>3402.2746890756243</v>
      </c>
      <c r="N6" s="69">
        <f>Kexo_TEND!N6-Kexo_TEND!M6*(1-1/'coût TEND'!$C38)</f>
        <v>3408.8272456808772</v>
      </c>
      <c r="O6" s="69">
        <f>Kexo_TEND!O6-Kexo_TEND!N6*(1-1/'coût TEND'!$C38)</f>
        <v>3473.9834855681402</v>
      </c>
      <c r="P6" s="69">
        <f>Kexo_TEND!P6-Kexo_TEND!O6*(1-1/'coût TEND'!$C38)</f>
        <v>3539.1397254553958</v>
      </c>
      <c r="Q6" s="69">
        <f>Kexo_TEND!Q6-Kexo_TEND!P6*(1-1/'coût TEND'!$C38)</f>
        <v>3604.2959653426587</v>
      </c>
      <c r="R6" s="69">
        <f>Kexo_TEND!R6-Kexo_TEND!Q6*(1-1/'coût TEND'!$C38)</f>
        <v>3669.4522052299289</v>
      </c>
      <c r="S6" s="69">
        <f>Kexo_TEND!S6-Kexo_TEND!R6*(1-1/'coût TEND'!$C38)</f>
        <v>3485.4992879866768</v>
      </c>
      <c r="T6" s="69">
        <f>Kexo_TEND!T6-Kexo_TEND!S6*(1-1/'coût TEND'!$C38)</f>
        <v>3540.6911615887147</v>
      </c>
      <c r="U6" s="69">
        <f>Kexo_TEND!U6-Kexo_TEND!T6*(1-1/'coût TEND'!$C38)</f>
        <v>3595.8830351907527</v>
      </c>
      <c r="V6" s="69">
        <f>Kexo_TEND!V6-Kexo_TEND!U6*(1-1/'coût TEND'!$C38)</f>
        <v>3651.0749087927907</v>
      </c>
      <c r="W6" s="69">
        <f>Kexo_TEND!W6-Kexo_TEND!V6*(1-1/'coût TEND'!$C38)</f>
        <v>3706.2667823948213</v>
      </c>
      <c r="X6" s="69">
        <f>Kexo_TEND!X6-Kexo_TEND!W6*(1-1/'coût TEND'!$C38)</f>
        <v>3716.5800692549237</v>
      </c>
      <c r="Y6" s="69">
        <f>Kexo_TEND!Y6-Kexo_TEND!X6*(1-1/'coût TEND'!$C38)</f>
        <v>3769.9767993872811</v>
      </c>
      <c r="Z6" s="69">
        <f>Kexo_TEND!Z6-Kexo_TEND!Y6*(1-1/'coût TEND'!$C38)</f>
        <v>3823.3735295196457</v>
      </c>
      <c r="AA6" s="69">
        <f>Kexo_TEND!AA6-Kexo_TEND!Z6*(1-1/'coût TEND'!$C38)</f>
        <v>3876.770259652003</v>
      </c>
      <c r="AB6" s="69">
        <f>Kexo_TEND!AB6-Kexo_TEND!AA6*(1-1/'coût TEND'!$C38)</f>
        <v>3930.1669897843603</v>
      </c>
      <c r="AC6" s="69">
        <f>Kexo_TEND!AC6-Kexo_TEND!AB6*(1-1/'coût TEND'!$C38)</f>
        <v>3876.6935770799537</v>
      </c>
      <c r="AD6" s="69">
        <f>Kexo_TEND!AD6-Kexo_TEND!AC6*(1-1/'coût TEND'!$C38)</f>
        <v>3925.8155014988442</v>
      </c>
      <c r="AE6" s="69">
        <f>Kexo_TEND!AE6-Kexo_TEND!AD6*(1-1/'coût TEND'!$C38)</f>
        <v>3974.9374259177421</v>
      </c>
      <c r="AF6" s="69">
        <f>Kexo_TEND!AF6-Kexo_TEND!AE6*(1-1/'coût TEND'!$C38)</f>
        <v>4024.0593503366254</v>
      </c>
      <c r="AG6" s="69">
        <f>Kexo_TEND!AG6-Kexo_TEND!AF6*(1-1/'coût TEND'!$C38)</f>
        <v>4073.1812747555232</v>
      </c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</row>
    <row r="7" spans="1:57" x14ac:dyDescent="0.25">
      <c r="A7" s="57" t="s">
        <v>93</v>
      </c>
      <c r="B7" s="69"/>
      <c r="C7" s="69"/>
      <c r="D7" s="69">
        <f>Kexo_TEND!D7-Kexo_TEND!C7*(1-1/('coût TEND'!$C27))</f>
        <v>1707.8121132962588</v>
      </c>
      <c r="E7" s="69">
        <f>Kexo_TEND!E7-Kexo_TEND!D7*(1-1/('coût TEND'!$C27))</f>
        <v>1761.9795813747314</v>
      </c>
      <c r="F7" s="69">
        <f>Kexo_TEND!F7-Kexo_TEND!E7*(1-1/('coût TEND'!$C27))</f>
        <v>1816.1470494532041</v>
      </c>
      <c r="G7" s="69">
        <f>Kexo_TEND!G7-Kexo_TEND!F7*(1-1/('coût TEND'!$C27))</f>
        <v>1870.3145175316786</v>
      </c>
      <c r="H7" s="69">
        <f>Kexo_TEND!H7-Kexo_TEND!G7*(1-1/('coût TEND'!$C27))</f>
        <v>1924.4819856101494</v>
      </c>
      <c r="I7" s="69">
        <f>Kexo_TEND!I7-Kexo_TEND!H7*(1-1/('coût TEND'!$C27))</f>
        <v>1186.0720484135254</v>
      </c>
      <c r="J7" s="69">
        <f>Kexo_TEND!J7-Kexo_TEND!I7*(1-1/('coût TEND'!$C27))</f>
        <v>1208.5364202809942</v>
      </c>
      <c r="K7" s="69">
        <f>Kexo_TEND!K7-Kexo_TEND!J7*(1-1/('coût TEND'!$C27))</f>
        <v>1231.000792148463</v>
      </c>
      <c r="L7" s="69">
        <f>Kexo_TEND!L7-Kexo_TEND!K7*(1-1/('coût TEND'!$C27))</f>
        <v>1253.4651640159318</v>
      </c>
      <c r="M7" s="69">
        <f>Kexo_TEND!M7-Kexo_TEND!L7*(1-1/('coût TEND'!$C27))</f>
        <v>1275.9295358834061</v>
      </c>
      <c r="N7" s="69">
        <f>Kexo_TEND!N7-Kexo_TEND!M7*(1-1/('coût TEND'!$C27))</f>
        <v>2093.7306692289349</v>
      </c>
      <c r="O7" s="69">
        <f>Kexo_TEND!O7-Kexo_TEND!N7*(1-1/('coût TEND'!$C27))</f>
        <v>2148.0085115555266</v>
      </c>
      <c r="P7" s="69">
        <f>Kexo_TEND!P7-Kexo_TEND!O7*(1-1/('coût TEND'!$C27))</f>
        <v>2202.2863538821184</v>
      </c>
      <c r="Q7" s="69">
        <f>Kexo_TEND!Q7-Kexo_TEND!P7*(1-1/('coût TEND'!$C27))</f>
        <v>2256.5641962087102</v>
      </c>
      <c r="R7" s="69">
        <f>Kexo_TEND!R7-Kexo_TEND!Q7*(1-1/('coût TEND'!$C27))</f>
        <v>2310.8420385352983</v>
      </c>
      <c r="S7" s="69">
        <f>Kexo_TEND!S7-Kexo_TEND!R7*(1-1/('coût TEND'!$C27))</f>
        <v>2250.4846058668772</v>
      </c>
      <c r="T7" s="69">
        <f>Kexo_TEND!T7-Kexo_TEND!S7*(1-1/('coût TEND'!$C27))</f>
        <v>2300.1770371936691</v>
      </c>
      <c r="U7" s="69">
        <f>Kexo_TEND!U7-Kexo_TEND!T7*(1-1/('coût TEND'!$C27))</f>
        <v>2349.8694685204609</v>
      </c>
      <c r="V7" s="69">
        <f>Kexo_TEND!V7-Kexo_TEND!U7*(1-1/('coût TEND'!$C27))</f>
        <v>2399.5618998472492</v>
      </c>
      <c r="W7" s="69">
        <f>Kexo_TEND!W7-Kexo_TEND!V7*(1-1/('coût TEND'!$C27))</f>
        <v>2449.2543311740337</v>
      </c>
      <c r="X7" s="69">
        <f>Kexo_TEND!X7-Kexo_TEND!W7*(1-1/('coût TEND'!$C27))</f>
        <v>2268.4981870538613</v>
      </c>
      <c r="Y7" s="69">
        <f>Kexo_TEND!Y7-Kexo_TEND!X7*(1-1/('coût TEND'!$C27))</f>
        <v>2308.9726753627765</v>
      </c>
      <c r="Z7" s="69">
        <f>Kexo_TEND!Z7-Kexo_TEND!Y7*(1-1/('coût TEND'!$C27))</f>
        <v>2349.447163671688</v>
      </c>
      <c r="AA7" s="69">
        <f>Kexo_TEND!AA7-Kexo_TEND!Z7*(1-1/('coût TEND'!$C27))</f>
        <v>2389.9216519805996</v>
      </c>
      <c r="AB7" s="69">
        <f>Kexo_TEND!AB7-Kexo_TEND!AA7*(1-1/('coût TEND'!$C27))</f>
        <v>2430.3961402895075</v>
      </c>
      <c r="AC7" s="69">
        <f>Kexo_TEND!AC7-Kexo_TEND!AB7*(1-1/('coût TEND'!$C27))</f>
        <v>1674.8594142902512</v>
      </c>
      <c r="AD7" s="69">
        <f>Kexo_TEND!AD7-Kexo_TEND!AC7*(1-1/('coût TEND'!$C27))</f>
        <v>1683.4934540268368</v>
      </c>
      <c r="AE7" s="69">
        <f>Kexo_TEND!AE7-Kexo_TEND!AD7*(1-1/('coût TEND'!$C27))</f>
        <v>1692.1274937634225</v>
      </c>
      <c r="AF7" s="69">
        <f>Kexo_TEND!AF7-Kexo_TEND!AE7*(1-1/('coût TEND'!$C27))</f>
        <v>1700.7615335000082</v>
      </c>
      <c r="AG7" s="69">
        <f>Kexo_TEND!AG7-Kexo_TEND!AF7*(1-1/('coût TEND'!$C27))</f>
        <v>1709.3955732366085</v>
      </c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</row>
    <row r="8" spans="1:57" x14ac:dyDescent="0.25">
      <c r="A8" s="57" t="s">
        <v>94</v>
      </c>
      <c r="B8" s="69"/>
      <c r="C8" s="69"/>
      <c r="D8" s="69">
        <f>Kexo_TEND!D8-Kexo_TEND!C8*(1-1/40)</f>
        <v>1069.8225575626493</v>
      </c>
      <c r="E8" s="69">
        <f>Kexo_TEND!E8-Kexo_TEND!D8*(1-1/40)</f>
        <v>1071.5966669718982</v>
      </c>
      <c r="F8" s="69">
        <f>Kexo_TEND!F8-Kexo_TEND!E8*(1-1/40)</f>
        <v>1073.3707763811544</v>
      </c>
      <c r="G8" s="69">
        <f>Kexo_TEND!G8-Kexo_TEND!F8*(1-1/40)</f>
        <v>1075.1448857904106</v>
      </c>
      <c r="H8" s="69">
        <f>Kexo_TEND!H8-Kexo_TEND!G8*(1-1/40)</f>
        <v>1076.9189951996814</v>
      </c>
      <c r="I8" s="69">
        <f>Kexo_TEND!I8-Kexo_TEND!H8*(1-1/40)</f>
        <v>1156.2320316880432</v>
      </c>
      <c r="J8" s="69">
        <f>Kexo_TEND!J8-Kexo_TEND!I8*(1-1/40)</f>
        <v>1159.9446142742745</v>
      </c>
      <c r="K8" s="69">
        <f>Kexo_TEND!K8-Kexo_TEND!J8*(1-1/40)</f>
        <v>1163.6571968605058</v>
      </c>
      <c r="L8" s="69">
        <f>Kexo_TEND!L8-Kexo_TEND!K8*(1-1/40)</f>
        <v>1167.3697794467444</v>
      </c>
      <c r="M8" s="69">
        <f>Kexo_TEND!M8-Kexo_TEND!L8*(1-1/40)</f>
        <v>1171.0823620329611</v>
      </c>
      <c r="N8" s="69">
        <f>Kexo_TEND!N8-Kexo_TEND!M8*(1-1/40)</f>
        <v>913.19735599235719</v>
      </c>
      <c r="O8" s="69">
        <f>Kexo_TEND!O8-Kexo_TEND!N8*(1-1/40)</f>
        <v>910.36999886292324</v>
      </c>
      <c r="P8" s="69">
        <f>Kexo_TEND!P8-Kexo_TEND!O8*(1-1/40)</f>
        <v>907.54264173348201</v>
      </c>
      <c r="Q8" s="69">
        <f>Kexo_TEND!Q8-Kexo_TEND!P8*(1-1/40)</f>
        <v>904.71528460404079</v>
      </c>
      <c r="R8" s="69">
        <f>Kexo_TEND!R8-Kexo_TEND!Q8*(1-1/40)</f>
        <v>901.88792747462139</v>
      </c>
      <c r="S8" s="69">
        <f>Kexo_TEND!S8-Kexo_TEND!R8*(1-1/40)</f>
        <v>899.06057034517289</v>
      </c>
      <c r="T8" s="69">
        <f>Kexo_TEND!T8-Kexo_TEND!S8*(1-1/40)</f>
        <v>896.23321321573894</v>
      </c>
      <c r="U8" s="69">
        <f>Kexo_TEND!U8-Kexo_TEND!T8*(1-1/40)</f>
        <v>893.40585608629772</v>
      </c>
      <c r="V8" s="69">
        <f>Kexo_TEND!V8-Kexo_TEND!U8*(1-1/40)</f>
        <v>890.57849895686377</v>
      </c>
      <c r="W8" s="69">
        <f>Kexo_TEND!W8-Kexo_TEND!V8*(1-1/40)</f>
        <v>887.75114182740799</v>
      </c>
      <c r="X8" s="69">
        <f>Kexo_TEND!X8-Kexo_TEND!W8*(1-1/40)</f>
        <v>884.92378469797404</v>
      </c>
      <c r="Y8" s="69">
        <f>Kexo_TEND!Y8-Kexo_TEND!X8*(1-1/40)</f>
        <v>882.09642756854009</v>
      </c>
      <c r="Z8" s="69">
        <f>Kexo_TEND!Z8-Kexo_TEND!Y8*(1-1/40)</f>
        <v>879.26907043909887</v>
      </c>
      <c r="AA8" s="69">
        <f>Kexo_TEND!AA8-Kexo_TEND!Z8*(1-1/40)</f>
        <v>876.44171330966492</v>
      </c>
      <c r="AB8" s="69">
        <f>Kexo_TEND!AB8-Kexo_TEND!AA8*(1-1/40)</f>
        <v>873.61435618023825</v>
      </c>
      <c r="AC8" s="69">
        <f>Kexo_TEND!AC8-Kexo_TEND!AB8*(1-1/40)</f>
        <v>870.78699905078975</v>
      </c>
      <c r="AD8" s="69">
        <f>Kexo_TEND!AD8-Kexo_TEND!AC8*(1-1/40)</f>
        <v>867.95964192134852</v>
      </c>
      <c r="AE8" s="69">
        <f>Kexo_TEND!AE8-Kexo_TEND!AD8*(1-1/40)</f>
        <v>865.1322847919073</v>
      </c>
      <c r="AF8" s="69">
        <f>Kexo_TEND!AF8-Kexo_TEND!AE8*(1-1/40)</f>
        <v>862.30492766247335</v>
      </c>
      <c r="AG8" s="69">
        <f>Kexo_TEND!AG8-Kexo_TEND!AF8*(1-1/40)</f>
        <v>859.47757053303212</v>
      </c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</row>
    <row r="9" spans="1:57" x14ac:dyDescent="0.25">
      <c r="A9" s="57" t="s">
        <v>95</v>
      </c>
      <c r="B9" s="69"/>
      <c r="C9" s="69"/>
      <c r="D9" s="69">
        <f>Kexo_TEND!D9-Kexo_TEND!C9*(1-1/20)</f>
        <v>1541.0065078994294</v>
      </c>
      <c r="E9" s="69">
        <f>Kexo_TEND!E9-Kexo_TEND!D9*(1-1/20)</f>
        <v>1602.7851874901116</v>
      </c>
      <c r="F9" s="69">
        <f>Kexo_TEND!F9-Kexo_TEND!E9*(1-1/20)</f>
        <v>1664.5638670807939</v>
      </c>
      <c r="G9" s="69">
        <f>Kexo_TEND!G9-Kexo_TEND!F9*(1-1/20)</f>
        <v>1726.3425466714762</v>
      </c>
      <c r="H9" s="69">
        <f>Kexo_TEND!H9-Kexo_TEND!G9*(1-1/20)</f>
        <v>1788.1212262621593</v>
      </c>
      <c r="I9" s="69">
        <f>Kexo_TEND!I9-Kexo_TEND!H9*(1-1/20)</f>
        <v>1106.3818875918769</v>
      </c>
      <c r="J9" s="69">
        <f>Kexo_TEND!J9-Kexo_TEND!I9*(1-1/20)</f>
        <v>1130.9846662695127</v>
      </c>
      <c r="K9" s="69">
        <f>Kexo_TEND!K9-Kexo_TEND!J9*(1-1/20)</f>
        <v>1155.5874449471467</v>
      </c>
      <c r="L9" s="69">
        <f>Kexo_TEND!L9-Kexo_TEND!K9*(1-1/20)</f>
        <v>1180.1902236247806</v>
      </c>
      <c r="M9" s="69">
        <f>Kexo_TEND!M9-Kexo_TEND!L9*(1-1/20)</f>
        <v>1204.793002302411</v>
      </c>
      <c r="N9" s="69">
        <f>Kexo_TEND!N9-Kexo_TEND!M9*(1-1/20)</f>
        <v>1014.5980429755218</v>
      </c>
      <c r="O9" s="69">
        <f>Kexo_TEND!O9-Kexo_TEND!N9*(1-1/20)</f>
        <v>1028.4609347529295</v>
      </c>
      <c r="P9" s="69">
        <f>Kexo_TEND!P9-Kexo_TEND!O9*(1-1/20)</f>
        <v>1042.3238265303371</v>
      </c>
      <c r="Q9" s="69">
        <f>Kexo_TEND!Q9-Kexo_TEND!P9*(1-1/20)</f>
        <v>1056.1867183077447</v>
      </c>
      <c r="R9" s="69">
        <f>Kexo_TEND!R9-Kexo_TEND!Q9*(1-1/20)</f>
        <v>1070.049610085156</v>
      </c>
      <c r="S9" s="69">
        <f>Kexo_TEND!S9-Kexo_TEND!R9*(1-1/20)</f>
        <v>1875.3711650518599</v>
      </c>
      <c r="T9" s="69">
        <f>Kexo_TEND!T9-Kexo_TEND!S9*(1-1/20)</f>
        <v>1928.8069899887341</v>
      </c>
      <c r="U9" s="69">
        <f>Kexo_TEND!U9-Kexo_TEND!T9*(1-1/20)</f>
        <v>1982.2428149256048</v>
      </c>
      <c r="V9" s="69">
        <f>Kexo_TEND!V9-Kexo_TEND!U9*(1-1/20)</f>
        <v>2035.678639862479</v>
      </c>
      <c r="W9" s="69">
        <f>Kexo_TEND!W9-Kexo_TEND!V9*(1-1/20)</f>
        <v>2089.1144647993533</v>
      </c>
      <c r="X9" s="69">
        <f>Kexo_TEND!X9-Kexo_TEND!W9*(1-1/20)</f>
        <v>1382.1645598873001</v>
      </c>
      <c r="Y9" s="69">
        <f>Kexo_TEND!Y9-Kexo_TEND!X9*(1-1/20)</f>
        <v>1397.5810983317278</v>
      </c>
      <c r="Z9" s="69">
        <f>Kexo_TEND!Z9-Kexo_TEND!Y9*(1-1/20)</f>
        <v>1412.9976367761556</v>
      </c>
      <c r="AA9" s="69">
        <f>Kexo_TEND!AA9-Kexo_TEND!Z9*(1-1/20)</f>
        <v>1428.4141752205796</v>
      </c>
      <c r="AB9" s="69">
        <f>Kexo_TEND!AB9-Kexo_TEND!AA9*(1-1/20)</f>
        <v>1443.830713665011</v>
      </c>
      <c r="AC9" s="69">
        <f>Kexo_TEND!AC9-Kexo_TEND!AB9*(1-1/20)</f>
        <v>1469.9198008716048</v>
      </c>
      <c r="AD9" s="69">
        <f>Kexo_TEND!AD9-Kexo_TEND!AC9*(1-1/20)</f>
        <v>1485.8699667541405</v>
      </c>
      <c r="AE9" s="69">
        <f>Kexo_TEND!AE9-Kexo_TEND!AD9*(1-1/20)</f>
        <v>1501.8201326366761</v>
      </c>
      <c r="AF9" s="69">
        <f>Kexo_TEND!AF9-Kexo_TEND!AE9*(1-1/20)</f>
        <v>1517.7702985192082</v>
      </c>
      <c r="AG9" s="69">
        <f>Kexo_TEND!AG9-Kexo_TEND!AF9*(1-1/20)</f>
        <v>1533.7204644017402</v>
      </c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</row>
    <row r="10" spans="1:57" ht="15.75" thickBot="1" x14ac:dyDescent="0.3"/>
    <row r="11" spans="1:57" ht="26.25" x14ac:dyDescent="0.25">
      <c r="D11" s="41">
        <f>SUM(D2:D9)*1.2</f>
        <v>16344.202055266363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J11" s="91" t="s">
        <v>127</v>
      </c>
      <c r="AK11" s="92"/>
      <c r="AL11" s="91" t="s">
        <v>128</v>
      </c>
      <c r="AM11" s="92"/>
      <c r="AN11" s="91" t="s">
        <v>129</v>
      </c>
      <c r="AO11" s="92"/>
    </row>
    <row r="12" spans="1:57" ht="26.25" x14ac:dyDescent="0.25">
      <c r="A12">
        <v>2021</v>
      </c>
      <c r="B12" s="58"/>
      <c r="C12" s="71" t="s">
        <v>126</v>
      </c>
      <c r="D12" s="56" t="s">
        <v>125</v>
      </c>
      <c r="E12" s="71"/>
      <c r="F12" s="71"/>
      <c r="G12" s="71"/>
      <c r="H12" s="71"/>
      <c r="I12" s="71"/>
      <c r="J12" s="71"/>
      <c r="K12" s="71"/>
      <c r="L12" s="71" t="s">
        <v>126</v>
      </c>
      <c r="M12" s="56" t="s">
        <v>125</v>
      </c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 t="s">
        <v>126</v>
      </c>
      <c r="AG12" s="56" t="s">
        <v>125</v>
      </c>
      <c r="AH12" s="71"/>
      <c r="AI12" s="71"/>
      <c r="AJ12" s="93" t="s">
        <v>126</v>
      </c>
      <c r="AK12" s="94" t="s">
        <v>125</v>
      </c>
      <c r="AL12" s="93" t="s">
        <v>126</v>
      </c>
      <c r="AM12" s="94" t="s">
        <v>125</v>
      </c>
      <c r="AN12" s="93" t="s">
        <v>126</v>
      </c>
      <c r="AO12" s="94" t="s">
        <v>125</v>
      </c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</row>
    <row r="13" spans="1:57" x14ac:dyDescent="0.25">
      <c r="A13" s="57" t="s">
        <v>88</v>
      </c>
      <c r="B13" s="73"/>
      <c r="C13" s="90">
        <f>D2*1.19</f>
        <v>7275.7217944861814</v>
      </c>
      <c r="D13" s="90">
        <f>[6]NUCLEAIRE!$JW$316</f>
        <v>7280.6399999999994</v>
      </c>
      <c r="E13" s="74"/>
      <c r="F13" s="74"/>
      <c r="G13" s="74"/>
      <c r="H13" s="74"/>
      <c r="I13" s="74"/>
      <c r="J13" s="74"/>
      <c r="K13" s="74"/>
      <c r="L13" s="90">
        <f>M2*1.19</f>
        <v>4234.3494632002576</v>
      </c>
      <c r="M13" s="90">
        <f>[6]NUCLEAIRE!$KG$612</f>
        <v>5384.0850731707314</v>
      </c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5"/>
      <c r="Y13" s="75"/>
      <c r="Z13" s="75"/>
      <c r="AA13" s="75"/>
      <c r="AB13" s="75"/>
      <c r="AC13" s="75"/>
      <c r="AD13" s="75"/>
      <c r="AE13" s="75"/>
      <c r="AF13" s="90">
        <f>AG2*1.19</f>
        <v>1358.3768919087909</v>
      </c>
      <c r="AG13" s="90">
        <f>[6]NUCLEAIRE!$LA$612</f>
        <v>300.51422138836773</v>
      </c>
      <c r="AH13" s="75"/>
      <c r="AI13" s="75"/>
      <c r="AJ13" s="95">
        <f>SUM(D2:H2)</f>
        <v>33926.772434118495</v>
      </c>
      <c r="AK13" s="96">
        <f>SUM([6]NUCLEAIRE!$JX$612:$KB$612)</f>
        <v>21239.585466537508</v>
      </c>
      <c r="AL13" s="95">
        <f>SUM(M2:AG2)</f>
        <v>41765.723337404095</v>
      </c>
      <c r="AM13" s="96">
        <f>SUM([6]NUCLEAIRE!$KH$612:$LA$612)</f>
        <v>36527.759729831145</v>
      </c>
      <c r="AN13" s="95">
        <f>SUM(D2:AG2)</f>
        <v>90008.109207917601</v>
      </c>
      <c r="AO13" s="96">
        <f>SUM([6]NUCLEAIRE!$JX$612:$LA$612)</f>
        <v>81663.789293929643</v>
      </c>
      <c r="AP13" s="75"/>
      <c r="AQ13" s="75"/>
      <c r="AR13" s="75"/>
      <c r="AS13" s="75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</row>
    <row r="14" spans="1:57" x14ac:dyDescent="0.25">
      <c r="A14" s="57" t="s">
        <v>89</v>
      </c>
      <c r="B14" s="73"/>
      <c r="C14" s="90">
        <f t="shared" ref="C14:C20" si="1">D3*1.19</f>
        <v>3.6466360000000071</v>
      </c>
      <c r="D14" s="74"/>
      <c r="E14" s="74"/>
      <c r="F14" s="74"/>
      <c r="G14" s="74"/>
      <c r="H14" s="74"/>
      <c r="I14" s="74"/>
      <c r="J14" s="74"/>
      <c r="K14" s="74"/>
      <c r="L14" s="90">
        <f t="shared" ref="L14:L20" si="2">M3*1.19</f>
        <v>3.6466360000000071</v>
      </c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5"/>
      <c r="Y14" s="75"/>
      <c r="Z14" s="75"/>
      <c r="AA14" s="75"/>
      <c r="AB14" s="75"/>
      <c r="AC14" s="75"/>
      <c r="AD14" s="75"/>
      <c r="AE14" s="75"/>
      <c r="AF14" s="90">
        <f t="shared" ref="AF14:AF20" si="3">AG3*1.19</f>
        <v>3.6466360000000071</v>
      </c>
      <c r="AG14" s="74"/>
      <c r="AH14" s="75"/>
      <c r="AI14" s="75"/>
      <c r="AJ14" s="95">
        <f t="shared" ref="AJ14:AJ20" si="4">SUM(D3:H3)</f>
        <v>15.322000000000031</v>
      </c>
      <c r="AK14" s="97"/>
      <c r="AL14" s="95">
        <f t="shared" ref="AL14:AL20" si="5">SUM(M3:AG3)</f>
        <v>64.352400000000131</v>
      </c>
      <c r="AM14" s="99"/>
      <c r="AN14" s="95">
        <f t="shared" ref="AN14:AN20" si="6">SUM(D3:AG3)</f>
        <v>91.932000000000187</v>
      </c>
      <c r="AO14" s="100"/>
      <c r="AP14" s="75"/>
      <c r="AQ14" s="75"/>
      <c r="AR14" s="75"/>
      <c r="AS14" s="75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</row>
    <row r="15" spans="1:57" x14ac:dyDescent="0.25">
      <c r="A15" s="57" t="s">
        <v>90</v>
      </c>
      <c r="B15" s="73"/>
      <c r="C15" s="90">
        <f t="shared" si="1"/>
        <v>0.59499999999999997</v>
      </c>
      <c r="D15" s="89">
        <f>+[6]PRODELEC!$N$2226</f>
        <v>376.49738567366785</v>
      </c>
      <c r="E15" s="74"/>
      <c r="F15" s="74"/>
      <c r="G15" s="74"/>
      <c r="H15" s="74"/>
      <c r="I15" s="74"/>
      <c r="J15" s="74"/>
      <c r="K15" s="74"/>
      <c r="L15" s="90">
        <f t="shared" si="2"/>
        <v>110.6358164700559</v>
      </c>
      <c r="M15" s="89">
        <f>++[6]PRODELEC!$KG$2226</f>
        <v>0</v>
      </c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5"/>
      <c r="Y15" s="75"/>
      <c r="Z15" s="75"/>
      <c r="AA15" s="75"/>
      <c r="AB15" s="75"/>
      <c r="AC15" s="75"/>
      <c r="AD15" s="75"/>
      <c r="AE15" s="75"/>
      <c r="AF15" s="90">
        <f t="shared" si="3"/>
        <v>2203.8416757133036</v>
      </c>
      <c r="AG15" s="89">
        <f>++[6]PRODELEC!$LA$2226</f>
        <v>0</v>
      </c>
      <c r="AH15" s="75"/>
      <c r="AI15" s="75"/>
      <c r="AJ15" s="95">
        <f t="shared" si="4"/>
        <v>2.5</v>
      </c>
      <c r="AK15" s="97">
        <f>SUM([6]PRODELEC!$JX$2226:$KB$2226)</f>
        <v>0</v>
      </c>
      <c r="AL15" s="95">
        <f t="shared" si="5"/>
        <v>11165.986264690431</v>
      </c>
      <c r="AM15" s="96">
        <f>SUM([6]PRODELEC!$KH$2226:$LA$2226)</f>
        <v>0</v>
      </c>
      <c r="AN15" s="95">
        <f t="shared" si="6"/>
        <v>11550.440227487657</v>
      </c>
      <c r="AO15" s="103">
        <f>SUM([6]PRODELEC!$JX$2226:$LA$2226)</f>
        <v>0</v>
      </c>
      <c r="AP15" s="75"/>
      <c r="AQ15" s="75"/>
      <c r="AR15" s="75"/>
      <c r="AS15" s="75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</row>
    <row r="16" spans="1:57" x14ac:dyDescent="0.25">
      <c r="A16" s="57" t="s">
        <v>91</v>
      </c>
      <c r="B16" s="73"/>
      <c r="C16" s="90">
        <f t="shared" si="1"/>
        <v>4.2600822207647537</v>
      </c>
      <c r="D16" s="74"/>
      <c r="E16" s="74"/>
      <c r="F16" s="74"/>
      <c r="G16" s="74"/>
      <c r="H16" s="74"/>
      <c r="I16" s="74"/>
      <c r="J16" s="74"/>
      <c r="K16" s="74"/>
      <c r="L16" s="90">
        <f t="shared" si="2"/>
        <v>4.2600822207647537</v>
      </c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5"/>
      <c r="Y16" s="75"/>
      <c r="Z16" s="75"/>
      <c r="AA16" s="75"/>
      <c r="AB16" s="75"/>
      <c r="AC16" s="75"/>
      <c r="AD16" s="75"/>
      <c r="AE16" s="75"/>
      <c r="AF16" s="90">
        <f t="shared" si="3"/>
        <v>4.2600822207647537</v>
      </c>
      <c r="AG16" s="74"/>
      <c r="AH16" s="75"/>
      <c r="AI16" s="75"/>
      <c r="AJ16" s="95">
        <f t="shared" si="4"/>
        <v>17.899505129263673</v>
      </c>
      <c r="AK16" s="97"/>
      <c r="AL16" s="95">
        <f t="shared" si="5"/>
        <v>75.177921542907427</v>
      </c>
      <c r="AM16" s="99"/>
      <c r="AN16" s="95">
        <f t="shared" si="6"/>
        <v>107.39703077558204</v>
      </c>
      <c r="AO16" s="100"/>
      <c r="AP16" s="75"/>
      <c r="AQ16" s="75"/>
      <c r="AR16" s="75"/>
      <c r="AS16" s="75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</row>
    <row r="17" spans="1:57" x14ac:dyDescent="0.25">
      <c r="A17" s="57" t="s">
        <v>92</v>
      </c>
      <c r="B17" s="73"/>
      <c r="C17" s="90">
        <f t="shared" si="1"/>
        <v>3784.59385604311</v>
      </c>
      <c r="D17" s="90">
        <f>[6]PRODELEC!$N$619+[6]PRODELEC!$N$1188</f>
        <v>3074.4563903529388</v>
      </c>
      <c r="E17" s="74"/>
      <c r="F17" s="74"/>
      <c r="G17" s="74"/>
      <c r="H17" s="74"/>
      <c r="I17" s="74"/>
      <c r="J17" s="74"/>
      <c r="K17" s="74"/>
      <c r="L17" s="90">
        <f t="shared" si="2"/>
        <v>4048.7068799999929</v>
      </c>
      <c r="M17" s="90">
        <f>[6]PRODELEC!$KG$619+[6]PRODELEC!$KG$1188</f>
        <v>2925.4843887459215</v>
      </c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5"/>
      <c r="Y17" s="75"/>
      <c r="Z17" s="75"/>
      <c r="AA17" s="75"/>
      <c r="AB17" s="75"/>
      <c r="AC17" s="75"/>
      <c r="AD17" s="75"/>
      <c r="AE17" s="75"/>
      <c r="AF17" s="90">
        <f t="shared" si="3"/>
        <v>4847.0857169590727</v>
      </c>
      <c r="AG17" s="90">
        <f>[6]PRODELEC!$LA$619+[6]PRODELEC!$LA$1188</f>
        <v>4138.7290918005183</v>
      </c>
      <c r="AH17" s="75"/>
      <c r="AI17" s="75"/>
      <c r="AJ17" s="95">
        <f t="shared" si="4"/>
        <v>16770.854868866722</v>
      </c>
      <c r="AK17" s="98">
        <f>SUM([6]PRODELEC!$JX$619:$KB$619)+SUM([6]PRODELEC!$JX$1188:$KB$1188)</f>
        <v>20459.900081406297</v>
      </c>
      <c r="AL17" s="95">
        <f t="shared" si="5"/>
        <v>78068.943269493291</v>
      </c>
      <c r="AM17" s="98">
        <f>SUM([6]PRODELEC!$KH$619:$LA$619)+SUM([6]PRODELEC!$KH$1188:$LA$1188)</f>
        <v>68629.122621652888</v>
      </c>
      <c r="AN17" s="95">
        <f t="shared" si="6"/>
        <v>107772.91629442244</v>
      </c>
      <c r="AO17" s="98">
        <f>SUM([6]PRODELEC!$JX$619:$LA$619)+SUM([6]PRODELEC!$JX$1188:$LA$1188)</f>
        <v>104689.44975734083</v>
      </c>
      <c r="AP17" s="74"/>
      <c r="AQ17" s="74"/>
      <c r="AR17" s="74"/>
      <c r="AS17" s="74"/>
      <c r="AT17" s="76"/>
      <c r="AU17" s="76"/>
      <c r="AV17" s="76"/>
      <c r="AW17" s="76"/>
      <c r="AX17" s="76"/>
      <c r="AY17" s="78"/>
      <c r="AZ17" s="78"/>
      <c r="BA17" s="78"/>
      <c r="BB17" s="78"/>
      <c r="BC17" s="78"/>
      <c r="BD17" s="78"/>
      <c r="BE17" s="78"/>
    </row>
    <row r="18" spans="1:57" x14ac:dyDescent="0.25">
      <c r="A18" s="57" t="s">
        <v>93</v>
      </c>
      <c r="B18" s="73"/>
      <c r="C18" s="90">
        <f t="shared" si="1"/>
        <v>2032.2964148225478</v>
      </c>
      <c r="D18" s="90">
        <f>SUM([6]PRODELEC!$N$1734:$N$1736)</f>
        <v>2636.463615903976</v>
      </c>
      <c r="E18" s="74"/>
      <c r="F18" s="74"/>
      <c r="G18" s="74"/>
      <c r="H18" s="74"/>
      <c r="I18" s="74"/>
      <c r="J18" s="74"/>
      <c r="K18" s="74"/>
      <c r="L18" s="90">
        <f t="shared" si="2"/>
        <v>1518.3561477012531</v>
      </c>
      <c r="M18" s="90">
        <f>[6]PRODELEC!$KG$1796</f>
        <v>1893.3198547847046</v>
      </c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5"/>
      <c r="Y18" s="75"/>
      <c r="Z18" s="75"/>
      <c r="AA18" s="75"/>
      <c r="AB18" s="75"/>
      <c r="AC18" s="75"/>
      <c r="AD18" s="75"/>
      <c r="AE18" s="75"/>
      <c r="AF18" s="90">
        <f t="shared" si="3"/>
        <v>2034.1807321515639</v>
      </c>
      <c r="AG18" s="90">
        <f>[6]PRODELEC!$LA$1796</f>
        <v>3626.9615298810877</v>
      </c>
      <c r="AH18" s="75"/>
      <c r="AI18" s="75"/>
      <c r="AJ18" s="95">
        <f t="shared" si="4"/>
        <v>9080.7352472660223</v>
      </c>
      <c r="AK18" s="98">
        <f>SUM([6]PRODELEC!$JX$1796:$KB$1796)</f>
        <v>12669.159878414404</v>
      </c>
      <c r="AL18" s="95">
        <f t="shared" si="5"/>
        <v>44244.581935071845</v>
      </c>
      <c r="AM18" s="98">
        <f>SUM([6]PRODELEC!$KH$1796:$LA$1796)</f>
        <v>64525.217657442197</v>
      </c>
      <c r="AN18" s="95">
        <f t="shared" si="6"/>
        <v>58204.391607196783</v>
      </c>
      <c r="AO18" s="98">
        <f>SUM([6]PRODELEC!$JX$1796:$LA$1796)</f>
        <v>87551.579056891293</v>
      </c>
      <c r="AP18" s="74"/>
      <c r="AQ18" s="74"/>
      <c r="AR18" s="74"/>
      <c r="AS18" s="74"/>
      <c r="AT18" s="76"/>
      <c r="AU18" s="76"/>
      <c r="AV18" s="76"/>
      <c r="AW18" s="76"/>
      <c r="AX18" s="76"/>
      <c r="AY18" s="78"/>
      <c r="AZ18" s="78"/>
      <c r="BA18" s="78"/>
      <c r="BB18" s="78"/>
      <c r="BC18" s="78"/>
      <c r="BD18" s="78"/>
      <c r="BE18" s="78"/>
    </row>
    <row r="19" spans="1:57" x14ac:dyDescent="0.25">
      <c r="A19" s="57" t="s">
        <v>94</v>
      </c>
      <c r="B19" s="73"/>
      <c r="C19" s="90">
        <f t="shared" si="1"/>
        <v>1273.0888434995527</v>
      </c>
      <c r="D19" s="82">
        <f>[6]PRODELEC!$N$247</f>
        <v>740.67857917962817</v>
      </c>
      <c r="E19" s="74"/>
      <c r="F19" s="74"/>
      <c r="G19" s="74"/>
      <c r="H19" s="74"/>
      <c r="I19" s="74"/>
      <c r="J19" s="74"/>
      <c r="K19" s="74"/>
      <c r="L19" s="90">
        <f t="shared" si="2"/>
        <v>1393.5880108192237</v>
      </c>
      <c r="M19" s="82">
        <f>[6]PRODELEC!$KG$247</f>
        <v>0</v>
      </c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5"/>
      <c r="Y19" s="75"/>
      <c r="Z19" s="75"/>
      <c r="AA19" s="75"/>
      <c r="AB19" s="75"/>
      <c r="AC19" s="75"/>
      <c r="AD19" s="75"/>
      <c r="AE19" s="75"/>
      <c r="AF19" s="90">
        <f t="shared" si="3"/>
        <v>1022.7783089343081</v>
      </c>
      <c r="AG19" s="82">
        <f>[6]PRODELEC!$LA$247</f>
        <v>0</v>
      </c>
      <c r="AH19" s="75"/>
      <c r="AI19" s="75"/>
      <c r="AJ19" s="95">
        <f t="shared" si="4"/>
        <v>5366.853881905794</v>
      </c>
      <c r="AK19" s="98">
        <f>SUM([6]PRODELEC!$JX$247:$KB$247)</f>
        <v>262.5320704580422</v>
      </c>
      <c r="AL19" s="95">
        <f t="shared" si="5"/>
        <v>18897.831627286934</v>
      </c>
      <c r="AM19" s="98">
        <f>SUM([6]PRODELEC!$KH$247:$LA$247)</f>
        <v>0</v>
      </c>
      <c r="AN19" s="95">
        <f t="shared" si="6"/>
        <v>28911.889131462296</v>
      </c>
      <c r="AO19" s="98">
        <f>SUM([6]PRODELEC!$JX$247:$LA$247)</f>
        <v>262.5320704580422</v>
      </c>
      <c r="AP19" s="74"/>
      <c r="AQ19" s="74"/>
      <c r="AR19" s="74"/>
      <c r="AS19" s="74"/>
      <c r="AT19" s="76"/>
      <c r="AU19" s="76"/>
      <c r="AV19" s="76"/>
      <c r="AW19" s="76"/>
      <c r="AX19" s="76"/>
      <c r="AY19" s="78"/>
      <c r="AZ19" s="78"/>
      <c r="BA19" s="78"/>
      <c r="BB19" s="78"/>
      <c r="BC19" s="78"/>
      <c r="BD19" s="78"/>
      <c r="BE19" s="78"/>
    </row>
    <row r="20" spans="1:57" x14ac:dyDescent="0.25">
      <c r="A20" s="57" t="s">
        <v>95</v>
      </c>
      <c r="B20" s="73"/>
      <c r="C20" s="90">
        <f t="shared" si="1"/>
        <v>1833.7977444003209</v>
      </c>
      <c r="D20" s="90">
        <f>[6]PRODELEC!$N$2163</f>
        <v>172.81430065449953</v>
      </c>
      <c r="E20" s="74"/>
      <c r="F20" s="74"/>
      <c r="G20" s="74"/>
      <c r="H20" s="74"/>
      <c r="I20" s="74"/>
      <c r="J20" s="74"/>
      <c r="K20" s="74"/>
      <c r="L20" s="90">
        <f t="shared" si="2"/>
        <v>1433.703672739869</v>
      </c>
      <c r="M20" s="90">
        <f>[6]PRODELEC!$KG$2163</f>
        <v>0</v>
      </c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5"/>
      <c r="Y20" s="75"/>
      <c r="Z20" s="75"/>
      <c r="AA20" s="75"/>
      <c r="AB20" s="75"/>
      <c r="AC20" s="75"/>
      <c r="AD20" s="75"/>
      <c r="AE20" s="75"/>
      <c r="AF20" s="90">
        <f t="shared" si="3"/>
        <v>1825.1273526380708</v>
      </c>
      <c r="AG20" s="90">
        <f>[6]PRODELEC!$LA$2163</f>
        <v>0</v>
      </c>
      <c r="AH20" s="75"/>
      <c r="AI20" s="75"/>
      <c r="AJ20" s="101">
        <f t="shared" si="4"/>
        <v>8322.8193354039704</v>
      </c>
      <c r="AK20" s="102">
        <f>SUM([6]PRODELEC!$JX$2163:$KB$2163)</f>
        <v>0</v>
      </c>
      <c r="AL20" s="101">
        <f t="shared" si="5"/>
        <v>30901.715056646273</v>
      </c>
      <c r="AM20" s="102">
        <f>SUM([6]PRODELEC!$KH$2163:$LA$2163)</f>
        <v>0</v>
      </c>
      <c r="AN20" s="101">
        <f t="shared" si="6"/>
        <v>43797.678614483557</v>
      </c>
      <c r="AO20" s="102">
        <f>SUM([6]PRODELEC!$JX$2163:$LA$2163)</f>
        <v>0</v>
      </c>
      <c r="AP20" s="75"/>
      <c r="AQ20" s="75"/>
      <c r="AR20" s="75"/>
      <c r="AS20" s="75"/>
      <c r="AT20" s="76"/>
      <c r="AU20" s="76"/>
      <c r="AV20" s="76"/>
      <c r="AW20" s="76"/>
      <c r="AX20" s="76"/>
      <c r="AY20" s="78"/>
      <c r="AZ20" s="78"/>
      <c r="BA20" s="78"/>
      <c r="BB20" s="78"/>
      <c r="BC20" s="78"/>
      <c r="BD20" s="78"/>
      <c r="BE20" s="78"/>
    </row>
    <row r="21" spans="1:57" x14ac:dyDescent="0.25">
      <c r="AI21" t="s">
        <v>130</v>
      </c>
      <c r="AJ21" s="69">
        <f>SUM(AJ13:AJ20)</f>
        <v>73503.757272690273</v>
      </c>
      <c r="AK21" s="69">
        <f t="shared" ref="AK21:AO21" si="7">SUM(AK13:AK20)</f>
        <v>54631.177496816257</v>
      </c>
      <c r="AL21" s="69">
        <f t="shared" si="7"/>
        <v>225184.31181213577</v>
      </c>
      <c r="AM21" s="69">
        <f t="shared" si="7"/>
        <v>169682.10000892624</v>
      </c>
      <c r="AN21" s="69">
        <f t="shared" si="7"/>
        <v>340444.75411374593</v>
      </c>
      <c r="AO21" s="69">
        <f t="shared" si="7"/>
        <v>274167.35017861985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9</vt:i4>
      </vt:variant>
    </vt:vector>
  </HeadingPairs>
  <TitlesOfParts>
    <vt:vector size="20" baseType="lpstr">
      <vt:lpstr>CoutMwh</vt:lpstr>
      <vt:lpstr>capacités</vt:lpstr>
      <vt:lpstr>coût TEND</vt:lpstr>
      <vt:lpstr>coût S2</vt:lpstr>
      <vt:lpstr>CAPEX_MWH_TEND</vt:lpstr>
      <vt:lpstr>OPEX_MWH_TEND</vt:lpstr>
      <vt:lpstr>OPEX_MWH_S2</vt:lpstr>
      <vt:lpstr>Kexo_TEND</vt:lpstr>
      <vt:lpstr>INVexo_TEND</vt:lpstr>
      <vt:lpstr>Kexo_S2</vt:lpstr>
      <vt:lpstr>INVexo_S2</vt:lpstr>
      <vt:lpstr>'coût S2'!_ftn1</vt:lpstr>
      <vt:lpstr>'coût TEND'!_ftn1</vt:lpstr>
      <vt:lpstr>CoutMwh!_ftn1</vt:lpstr>
      <vt:lpstr>'coût S2'!_ftnref1</vt:lpstr>
      <vt:lpstr>'coût TEND'!_ftnref1</vt:lpstr>
      <vt:lpstr>CoutMwh!_ftnref1</vt:lpstr>
      <vt:lpstr>'coût S2'!_ftnref2</vt:lpstr>
      <vt:lpstr>'coût TEND'!_ftnref2</vt:lpstr>
      <vt:lpstr>CoutMwh!_ftnref2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2021-12-13T21:42:16Z</dcterms:created>
  <dcterms:modified xsi:type="dcterms:W3CDTF">2024-03-14T14:39:27Z</dcterms:modified>
</cp:coreProperties>
</file>