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3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4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5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6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7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8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9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10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11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12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13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drawings/drawing14.xml" ContentType="application/vnd.openxmlformats-officedocument.drawing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15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drawings/drawing16.xml" ContentType="application/vnd.openxmlformats-officedocument.drawing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drawings/drawing17.xml" ContentType="application/vnd.openxmlformats-officedocument.drawing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L:\4_Inventaires d'émissions, prospective et évaluation\42_Prospective\421_Scénarios prospectifs DGEC\4215_Scénarios 2023\00 - Docs essentiels RUN3 AMS\AMS run 3\002_Batiments\"/>
    </mc:Choice>
  </mc:AlternateContent>
  <xr:revisionPtr revIDLastSave="0" documentId="13_ncr:1_{8EC78508-FA42-446E-A9E6-4EBE5EC67E64}" xr6:coauthVersionLast="47" xr6:coauthVersionMax="47" xr10:uidLastSave="{00000000-0000-0000-0000-000000000000}"/>
  <bookViews>
    <workbookView xWindow="-28920" yWindow="-11115" windowWidth="29040" windowHeight="15840" tabRatio="893" firstSheet="2" activeTab="3" xr2:uid="{00000000-000D-0000-FFFF-FFFF00000000}"/>
  </bookViews>
  <sheets>
    <sheet name="Feuil1" sheetId="118" r:id="rId1"/>
    <sheet name="Tableau de bord" sheetId="100" r:id="rId2"/>
    <sheet name="Résultats" sheetId="101" r:id="rId3"/>
    <sheet name="Résultats - post traitement" sheetId="119" r:id="rId4"/>
    <sheet name="Init. parc" sheetId="99" r:id="rId5"/>
    <sheet name="Bureaux - AME" sheetId="35" state="hidden" r:id="rId6"/>
    <sheet name="CaHoREs - AME" sheetId="104" state="hidden" r:id="rId7"/>
    <sheet name="Commerce - AME" sheetId="105" state="hidden" r:id="rId8"/>
    <sheet name="Enseignement - AME" sheetId="106" state="hidden" r:id="rId9"/>
    <sheet name="Santé social - AME" sheetId="107" state="hidden" r:id="rId10"/>
    <sheet name="Sport Loisir Culture - AME" sheetId="108" state="hidden" r:id="rId11"/>
    <sheet name="Transport - AME" sheetId="103" state="hidden" r:id="rId12"/>
    <sheet name="Init. énergie" sheetId="98" r:id="rId13"/>
    <sheet name="Bureaux - AMS" sheetId="109" r:id="rId14"/>
    <sheet name="CaHoREs - AMS" sheetId="110" r:id="rId15"/>
    <sheet name="Commerce - AMS" sheetId="111" r:id="rId16"/>
    <sheet name="Enseignement - AMS" sheetId="112" r:id="rId17"/>
    <sheet name="Santé social - AMS" sheetId="113" r:id="rId18"/>
    <sheet name="Sport Loisir Culture - AMS" sheetId="114" r:id="rId19"/>
    <sheet name="Transport - AMS" sheetId="115" r:id="rId20"/>
    <sheet name="Hors chauffage - AMS" sheetId="117" r:id="rId21"/>
    <sheet name="Hors chauffage - AME" sheetId="116" state="hidden" r:id="rId22"/>
    <sheet name="Sources" sheetId="102" r:id="rId23"/>
  </sheets>
  <definedNames>
    <definedName name="_xlnm.Print_Area" localSheetId="5">'Bureaux - AME'!$C$1:$O$178</definedName>
    <definedName name="_xlnm.Print_Area" localSheetId="13">'Bureaux - AMS'!$C$1:$O$176</definedName>
    <definedName name="_xlnm.Print_Area" localSheetId="6">'CaHoREs - AME'!$C$1:$O$176</definedName>
    <definedName name="_xlnm.Print_Area" localSheetId="14">'CaHoREs - AMS'!$C$1:$O$176</definedName>
    <definedName name="_xlnm.Print_Area" localSheetId="7">'Commerce - AME'!$C$1:$O$176</definedName>
    <definedName name="_xlnm.Print_Area" localSheetId="15">'Commerce - AMS'!$C$1:$O$176</definedName>
    <definedName name="_xlnm.Print_Area" localSheetId="8">'Enseignement - AME'!$C$1:$O$176</definedName>
    <definedName name="_xlnm.Print_Area" localSheetId="16">'Enseignement - AMS'!$C$1:$O$176</definedName>
    <definedName name="_xlnm.Print_Area" localSheetId="9">'Santé social - AME'!$C$1:$O$176</definedName>
    <definedName name="_xlnm.Print_Area" localSheetId="17">'Santé social - AMS'!$C$1:$O$176</definedName>
    <definedName name="_xlnm.Print_Area" localSheetId="10">'Sport Loisir Culture - AME'!$C$1:$O$176</definedName>
    <definedName name="_xlnm.Print_Area" localSheetId="18">'Sport Loisir Culture - AMS'!$C$1:$O$176</definedName>
    <definedName name="_xlnm.Print_Area" localSheetId="11">'Transport - AME'!$C$1:$O$176</definedName>
    <definedName name="_xlnm.Print_Area" localSheetId="19">'Transport - AMS'!$C$1:$O$176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83" i="119" l="1"/>
  <c r="AA183" i="119"/>
  <c r="AB183" i="119"/>
  <c r="Z184" i="119"/>
  <c r="AA184" i="119"/>
  <c r="AB184" i="119"/>
  <c r="Z185" i="119"/>
  <c r="AA185" i="119"/>
  <c r="AB185" i="119"/>
  <c r="Z186" i="119"/>
  <c r="AA186" i="119"/>
  <c r="AB186" i="119"/>
  <c r="Z187" i="119"/>
  <c r="AA187" i="119"/>
  <c r="AB187" i="119"/>
  <c r="Z188" i="119"/>
  <c r="AA188" i="119"/>
  <c r="AB188" i="119"/>
  <c r="Z190" i="119"/>
  <c r="Z191" i="119"/>
  <c r="Z192" i="119"/>
  <c r="AA181" i="119"/>
  <c r="AB181" i="119"/>
  <c r="Z181" i="119"/>
  <c r="Y181" i="119"/>
  <c r="Y192" i="119" s="1"/>
  <c r="Y184" i="119"/>
  <c r="Y185" i="119"/>
  <c r="Y191" i="119"/>
  <c r="Y183" i="119"/>
  <c r="Y177" i="119"/>
  <c r="Y190" i="119" l="1"/>
  <c r="Y188" i="119"/>
  <c r="Y187" i="119"/>
  <c r="Y186" i="119"/>
  <c r="AD156" i="119" l="1"/>
  <c r="K46" i="115"/>
  <c r="J46" i="115"/>
  <c r="K52" i="114"/>
  <c r="K46" i="114"/>
  <c r="J46" i="114"/>
  <c r="K46" i="113"/>
  <c r="J46" i="113"/>
  <c r="K46" i="112"/>
  <c r="J46" i="112"/>
  <c r="K46" i="111"/>
  <c r="I46" i="111"/>
  <c r="J46" i="111"/>
  <c r="K46" i="110"/>
  <c r="J46" i="110"/>
  <c r="K46" i="109"/>
  <c r="J46" i="109"/>
  <c r="I81" i="117"/>
  <c r="H81" i="117"/>
  <c r="G81" i="117"/>
  <c r="F81" i="117"/>
  <c r="E81" i="117"/>
  <c r="D81" i="117"/>
  <c r="C81" i="117"/>
  <c r="C84" i="117"/>
  <c r="I84" i="117" s="1"/>
  <c r="I83" i="117"/>
  <c r="H83" i="117"/>
  <c r="G83" i="117"/>
  <c r="F83" i="117"/>
  <c r="E83" i="117"/>
  <c r="D83" i="117"/>
  <c r="C83" i="117"/>
  <c r="H82" i="117"/>
  <c r="G82" i="117"/>
  <c r="F82" i="117"/>
  <c r="D82" i="117"/>
  <c r="Z179" i="119"/>
  <c r="Z164" i="119"/>
  <c r="Z67" i="119"/>
  <c r="AA67" i="119"/>
  <c r="AB67" i="119"/>
  <c r="G84" i="117" l="1"/>
  <c r="E84" i="117"/>
  <c r="L162" i="119"/>
  <c r="K162" i="119"/>
  <c r="J162" i="119"/>
  <c r="I162" i="119"/>
  <c r="Z161" i="119"/>
  <c r="Z176" i="119" s="1"/>
  <c r="Y161" i="119"/>
  <c r="Y176" i="119" s="1"/>
  <c r="L161" i="119"/>
  <c r="K161" i="119"/>
  <c r="J161" i="119"/>
  <c r="I161" i="119"/>
  <c r="Y160" i="119"/>
  <c r="Y175" i="119" s="1"/>
  <c r="L160" i="119"/>
  <c r="K160" i="119"/>
  <c r="J160" i="119"/>
  <c r="I160" i="119"/>
  <c r="AB159" i="119"/>
  <c r="AB174" i="119" s="1"/>
  <c r="AA159" i="119"/>
  <c r="AA174" i="119" s="1"/>
  <c r="Z159" i="119"/>
  <c r="Z174" i="119" s="1"/>
  <c r="Y159" i="119"/>
  <c r="Y174" i="119" s="1"/>
  <c r="L159" i="119"/>
  <c r="K159" i="119"/>
  <c r="J159" i="119"/>
  <c r="I159" i="119"/>
  <c r="AB158" i="119"/>
  <c r="AB173" i="119" s="1"/>
  <c r="AA158" i="119"/>
  <c r="AA173" i="119" s="1"/>
  <c r="Z158" i="119"/>
  <c r="Z173" i="119" s="1"/>
  <c r="Y158" i="119"/>
  <c r="Y173" i="119" s="1"/>
  <c r="L158" i="119"/>
  <c r="K158" i="119"/>
  <c r="J158" i="119"/>
  <c r="I158" i="119"/>
  <c r="AB157" i="119"/>
  <c r="AB172" i="119" s="1"/>
  <c r="AA157" i="119"/>
  <c r="AA172" i="119" s="1"/>
  <c r="Z157" i="119"/>
  <c r="Z172" i="119" s="1"/>
  <c r="Y157" i="119"/>
  <c r="Y172" i="119" s="1"/>
  <c r="L157" i="119"/>
  <c r="K157" i="119"/>
  <c r="J157" i="119"/>
  <c r="I157" i="119"/>
  <c r="Y156" i="119"/>
  <c r="L156" i="119"/>
  <c r="K156" i="119"/>
  <c r="J156" i="119"/>
  <c r="I156" i="119"/>
  <c r="AB155" i="119"/>
  <c r="AA155" i="119"/>
  <c r="Z155" i="119"/>
  <c r="Y155" i="119"/>
  <c r="Y170" i="119" s="1"/>
  <c r="AJ136" i="119"/>
  <c r="AK134" i="119"/>
  <c r="AL134" i="119" s="1"/>
  <c r="AK133" i="119"/>
  <c r="AL133" i="119" s="1"/>
  <c r="AK132" i="119"/>
  <c r="AL132" i="119" s="1"/>
  <c r="AK131" i="119"/>
  <c r="AL131" i="119" s="1"/>
  <c r="AK130" i="119"/>
  <c r="AL130" i="119" s="1"/>
  <c r="AK128" i="119"/>
  <c r="AL128" i="119" s="1"/>
  <c r="AL127" i="119"/>
  <c r="E120" i="119"/>
  <c r="D120" i="119"/>
  <c r="C120" i="119"/>
  <c r="C30" i="119" s="1"/>
  <c r="B120" i="119"/>
  <c r="B30" i="119" s="1"/>
  <c r="E118" i="119"/>
  <c r="D118" i="119"/>
  <c r="C118" i="119"/>
  <c r="B118" i="119"/>
  <c r="E117" i="119"/>
  <c r="D117" i="119"/>
  <c r="C117" i="119"/>
  <c r="B117" i="119"/>
  <c r="E116" i="119"/>
  <c r="D116" i="119"/>
  <c r="C116" i="119"/>
  <c r="B116" i="119"/>
  <c r="E115" i="119"/>
  <c r="D115" i="119"/>
  <c r="C115" i="119"/>
  <c r="B115" i="119"/>
  <c r="E114" i="119"/>
  <c r="D114" i="119"/>
  <c r="C114" i="119"/>
  <c r="B114" i="119"/>
  <c r="Z99" i="119"/>
  <c r="Y99" i="119"/>
  <c r="E99" i="119"/>
  <c r="D99" i="119"/>
  <c r="C99" i="119"/>
  <c r="B99" i="119"/>
  <c r="Y98" i="119"/>
  <c r="E98" i="119"/>
  <c r="D98" i="119"/>
  <c r="C98" i="119"/>
  <c r="B98" i="119"/>
  <c r="AB97" i="119"/>
  <c r="AA97" i="119"/>
  <c r="Z97" i="119"/>
  <c r="Y97" i="119"/>
  <c r="E97" i="119"/>
  <c r="D97" i="119"/>
  <c r="C97" i="119"/>
  <c r="B97" i="119"/>
  <c r="AB96" i="119"/>
  <c r="AA96" i="119"/>
  <c r="Z96" i="119"/>
  <c r="Y96" i="119"/>
  <c r="E96" i="119"/>
  <c r="D96" i="119"/>
  <c r="C96" i="119"/>
  <c r="B96" i="119"/>
  <c r="AB95" i="119"/>
  <c r="AA95" i="119"/>
  <c r="Z95" i="119"/>
  <c r="Y95" i="119"/>
  <c r="E95" i="119"/>
  <c r="D95" i="119"/>
  <c r="C95" i="119"/>
  <c r="B95" i="119"/>
  <c r="Y94" i="119"/>
  <c r="E94" i="119"/>
  <c r="D94" i="119"/>
  <c r="C94" i="119"/>
  <c r="B94" i="119"/>
  <c r="AB93" i="119"/>
  <c r="AA93" i="119"/>
  <c r="Z93" i="119"/>
  <c r="Y93" i="119"/>
  <c r="E93" i="119"/>
  <c r="D93" i="119"/>
  <c r="C93" i="119"/>
  <c r="B93" i="119"/>
  <c r="Y87" i="119"/>
  <c r="E87" i="119"/>
  <c r="D87" i="119"/>
  <c r="C87" i="119"/>
  <c r="B87" i="119"/>
  <c r="Y86" i="119"/>
  <c r="E86" i="119"/>
  <c r="D86" i="119"/>
  <c r="C86" i="119"/>
  <c r="B86" i="119"/>
  <c r="Y85" i="119"/>
  <c r="E85" i="119"/>
  <c r="D85" i="119"/>
  <c r="C85" i="119"/>
  <c r="B85" i="119"/>
  <c r="Y84" i="119"/>
  <c r="E84" i="119"/>
  <c r="D84" i="119"/>
  <c r="C84" i="119"/>
  <c r="B84" i="119"/>
  <c r="Y83" i="119"/>
  <c r="E83" i="119"/>
  <c r="D83" i="119"/>
  <c r="C83" i="119"/>
  <c r="B83" i="119"/>
  <c r="Y82" i="119"/>
  <c r="E82" i="119"/>
  <c r="D82" i="119"/>
  <c r="C82" i="119"/>
  <c r="B82" i="119"/>
  <c r="Y81" i="119"/>
  <c r="E81" i="119"/>
  <c r="D81" i="119"/>
  <c r="C81" i="119"/>
  <c r="B81" i="119"/>
  <c r="Y65" i="119"/>
  <c r="E63" i="119"/>
  <c r="E40" i="119" s="1"/>
  <c r="E137" i="119" s="1"/>
  <c r="D63" i="119"/>
  <c r="D40" i="119" s="1"/>
  <c r="D137" i="119" s="1"/>
  <c r="C63" i="119"/>
  <c r="B63" i="119"/>
  <c r="Y64" i="119"/>
  <c r="E62" i="119"/>
  <c r="D62" i="119"/>
  <c r="C62" i="119"/>
  <c r="B62" i="119"/>
  <c r="Y63" i="119"/>
  <c r="E61" i="119"/>
  <c r="D61" i="119"/>
  <c r="C61" i="119"/>
  <c r="B61" i="119"/>
  <c r="Y62" i="119"/>
  <c r="E60" i="119"/>
  <c r="E38" i="119" s="1"/>
  <c r="E135" i="119" s="1"/>
  <c r="D60" i="119"/>
  <c r="D38" i="119" s="1"/>
  <c r="D135" i="119" s="1"/>
  <c r="C60" i="119"/>
  <c r="C38" i="119" s="1"/>
  <c r="C135" i="119" s="1"/>
  <c r="B60" i="119"/>
  <c r="B38" i="119" s="1"/>
  <c r="B135" i="119" s="1"/>
  <c r="Y61" i="119"/>
  <c r="E59" i="119"/>
  <c r="D59" i="119"/>
  <c r="C59" i="119"/>
  <c r="B59" i="119"/>
  <c r="Y58" i="119"/>
  <c r="E58" i="119"/>
  <c r="D58" i="119"/>
  <c r="D36" i="119" s="1"/>
  <c r="D133" i="119" s="1"/>
  <c r="C58" i="119"/>
  <c r="C36" i="119" s="1"/>
  <c r="C133" i="119" s="1"/>
  <c r="B58" i="119"/>
  <c r="Y57" i="119"/>
  <c r="E57" i="119"/>
  <c r="E35" i="119" s="1"/>
  <c r="D57" i="119"/>
  <c r="D35" i="119" s="1"/>
  <c r="C57" i="119"/>
  <c r="B57" i="119"/>
  <c r="E36" i="119"/>
  <c r="E133" i="119" s="1"/>
  <c r="E30" i="119"/>
  <c r="D30" i="119"/>
  <c r="AC22" i="119"/>
  <c r="AB22" i="119"/>
  <c r="AA22" i="119"/>
  <c r="Z22" i="119"/>
  <c r="F22" i="119"/>
  <c r="E22" i="119"/>
  <c r="D22" i="119"/>
  <c r="C22" i="119"/>
  <c r="AC21" i="119"/>
  <c r="AB21" i="119"/>
  <c r="AA21" i="119"/>
  <c r="Z21" i="119"/>
  <c r="F21" i="119"/>
  <c r="E21" i="119"/>
  <c r="D21" i="119"/>
  <c r="C21" i="119"/>
  <c r="AC20" i="119"/>
  <c r="AB20" i="119"/>
  <c r="AA20" i="119"/>
  <c r="Z20" i="119"/>
  <c r="F20" i="119"/>
  <c r="E20" i="119"/>
  <c r="D20" i="119"/>
  <c r="C20" i="119"/>
  <c r="AC19" i="119"/>
  <c r="AB19" i="119"/>
  <c r="AA19" i="119"/>
  <c r="Z19" i="119"/>
  <c r="F19" i="119"/>
  <c r="E19" i="119"/>
  <c r="D19" i="119"/>
  <c r="C19" i="119"/>
  <c r="AC18" i="119"/>
  <c r="AB18" i="119"/>
  <c r="AA18" i="119"/>
  <c r="Z18" i="119"/>
  <c r="F18" i="119"/>
  <c r="E18" i="119"/>
  <c r="D18" i="119"/>
  <c r="C18" i="119"/>
  <c r="AC17" i="119"/>
  <c r="AB17" i="119"/>
  <c r="AA17" i="119"/>
  <c r="Z17" i="119"/>
  <c r="F17" i="119"/>
  <c r="E17" i="119"/>
  <c r="D17" i="119"/>
  <c r="C17" i="119"/>
  <c r="AC16" i="119"/>
  <c r="AB16" i="119"/>
  <c r="AA16" i="119"/>
  <c r="Z16" i="119"/>
  <c r="F16" i="119"/>
  <c r="E16" i="119"/>
  <c r="D16" i="119"/>
  <c r="C16" i="119"/>
  <c r="AC15" i="119"/>
  <c r="AB15" i="119"/>
  <c r="AA15" i="119"/>
  <c r="Z15" i="119"/>
  <c r="F15" i="119"/>
  <c r="E15" i="119"/>
  <c r="D15" i="119"/>
  <c r="C15" i="119"/>
  <c r="AC14" i="119"/>
  <c r="AB14" i="119"/>
  <c r="AA14" i="119"/>
  <c r="Z14" i="119"/>
  <c r="F14" i="119"/>
  <c r="E14" i="119"/>
  <c r="D14" i="119"/>
  <c r="C14" i="119"/>
  <c r="AC13" i="119"/>
  <c r="AB13" i="119"/>
  <c r="AA13" i="119"/>
  <c r="Z13" i="119"/>
  <c r="F13" i="119"/>
  <c r="E13" i="119"/>
  <c r="D13" i="119"/>
  <c r="C13" i="119"/>
  <c r="AC12" i="119"/>
  <c r="AB12" i="119"/>
  <c r="AA12" i="119"/>
  <c r="Z12" i="119"/>
  <c r="F12" i="119"/>
  <c r="E12" i="119"/>
  <c r="D12" i="119"/>
  <c r="C12" i="119"/>
  <c r="AC11" i="119"/>
  <c r="AB11" i="119"/>
  <c r="AA11" i="119"/>
  <c r="Z11" i="119"/>
  <c r="F11" i="119"/>
  <c r="E11" i="119"/>
  <c r="D11" i="119"/>
  <c r="C11" i="119"/>
  <c r="AC10" i="119"/>
  <c r="AB10" i="119"/>
  <c r="AA10" i="119"/>
  <c r="Z10" i="119"/>
  <c r="F10" i="119"/>
  <c r="E10" i="119"/>
  <c r="D10" i="119"/>
  <c r="C10" i="119"/>
  <c r="AC9" i="119"/>
  <c r="AB9" i="119"/>
  <c r="AA9" i="119"/>
  <c r="Z9" i="119"/>
  <c r="F9" i="119"/>
  <c r="E9" i="119"/>
  <c r="D9" i="119"/>
  <c r="C9" i="119"/>
  <c r="H84" i="117" l="1"/>
  <c r="F84" i="117"/>
  <c r="D84" i="117"/>
  <c r="D123" i="119"/>
  <c r="B35" i="119"/>
  <c r="C39" i="119"/>
  <c r="C136" i="119" s="1"/>
  <c r="B88" i="119"/>
  <c r="B89" i="119" s="1"/>
  <c r="Y100" i="119"/>
  <c r="Y101" i="119" s="1"/>
  <c r="B37" i="119"/>
  <c r="B134" i="119" s="1"/>
  <c r="C88" i="119"/>
  <c r="C89" i="119" s="1"/>
  <c r="E39" i="119"/>
  <c r="E136" i="119" s="1"/>
  <c r="D37" i="119"/>
  <c r="D134" i="119" s="1"/>
  <c r="E88" i="119"/>
  <c r="E89" i="119" s="1"/>
  <c r="E37" i="119"/>
  <c r="E134" i="119" s="1"/>
  <c r="D88" i="119"/>
  <c r="AB23" i="119"/>
  <c r="AC23" i="119"/>
  <c r="C35" i="119"/>
  <c r="C132" i="119" s="1"/>
  <c r="AB24" i="119"/>
  <c r="E24" i="119"/>
  <c r="C37" i="119"/>
  <c r="C134" i="119" s="1"/>
  <c r="C40" i="119"/>
  <c r="C137" i="119" s="1"/>
  <c r="B100" i="119"/>
  <c r="B101" i="119" s="1"/>
  <c r="B123" i="119"/>
  <c r="AD157" i="119"/>
  <c r="E123" i="119"/>
  <c r="C23" i="119"/>
  <c r="E64" i="119"/>
  <c r="E29" i="119" s="1"/>
  <c r="E31" i="119" s="1"/>
  <c r="D39" i="119"/>
  <c r="D136" i="119" s="1"/>
  <c r="D24" i="119"/>
  <c r="AD158" i="119"/>
  <c r="E23" i="119"/>
  <c r="F24" i="119"/>
  <c r="C100" i="119"/>
  <c r="C101" i="119" s="1"/>
  <c r="C123" i="119"/>
  <c r="Y88" i="119"/>
  <c r="Y89" i="119" s="1"/>
  <c r="AD159" i="119"/>
  <c r="C24" i="119"/>
  <c r="D23" i="119"/>
  <c r="AC24" i="119"/>
  <c r="AC25" i="119" s="1"/>
  <c r="Z23" i="119"/>
  <c r="D100" i="119"/>
  <c r="D101" i="119" s="1"/>
  <c r="AD161" i="119"/>
  <c r="AK136" i="119"/>
  <c r="Z24" i="119"/>
  <c r="AA24" i="119"/>
  <c r="AA25" i="119" s="1"/>
  <c r="B40" i="119"/>
  <c r="B137" i="119" s="1"/>
  <c r="F23" i="119"/>
  <c r="AA23" i="119"/>
  <c r="B36" i="119"/>
  <c r="B133" i="119" s="1"/>
  <c r="B39" i="119"/>
  <c r="B136" i="119" s="1"/>
  <c r="E100" i="119"/>
  <c r="B132" i="119"/>
  <c r="AL136" i="119"/>
  <c r="D44" i="119"/>
  <c r="D132" i="119"/>
  <c r="D41" i="119"/>
  <c r="D89" i="119"/>
  <c r="J164" i="119"/>
  <c r="N158" i="119" s="1"/>
  <c r="L164" i="119"/>
  <c r="P160" i="119" s="1"/>
  <c r="K164" i="119"/>
  <c r="O156" i="119" s="1"/>
  <c r="Z170" i="119"/>
  <c r="AA170" i="119"/>
  <c r="Y166" i="119"/>
  <c r="AB170" i="119"/>
  <c r="I164" i="119"/>
  <c r="M160" i="119" s="1"/>
  <c r="B64" i="119"/>
  <c r="C64" i="119"/>
  <c r="E132" i="119"/>
  <c r="AD155" i="119"/>
  <c r="Y171" i="119"/>
  <c r="Y38" i="119"/>
  <c r="Y135" i="119" s="1"/>
  <c r="D64" i="119"/>
  <c r="Y69" i="119"/>
  <c r="C87" i="117"/>
  <c r="D76" i="117"/>
  <c r="D74" i="117"/>
  <c r="E74" i="117" s="1"/>
  <c r="F74" i="117" s="1"/>
  <c r="G74" i="117" s="1"/>
  <c r="H74" i="117" s="1"/>
  <c r="I74" i="117" s="1"/>
  <c r="F37" i="100" a="1"/>
  <c r="F37" i="100" s="1"/>
  <c r="E101" i="119" l="1"/>
  <c r="C41" i="119"/>
  <c r="O160" i="119"/>
  <c r="E41" i="119"/>
  <c r="E65" i="119"/>
  <c r="E44" i="119"/>
  <c r="O161" i="119"/>
  <c r="N161" i="119"/>
  <c r="C44" i="119"/>
  <c r="P158" i="119"/>
  <c r="P157" i="119"/>
  <c r="B44" i="119"/>
  <c r="B41" i="119"/>
  <c r="B42" i="119" s="1"/>
  <c r="Y70" i="119"/>
  <c r="Y29" i="119"/>
  <c r="N160" i="119"/>
  <c r="D138" i="119"/>
  <c r="D139" i="119"/>
  <c r="M161" i="119"/>
  <c r="O159" i="119"/>
  <c r="P161" i="119"/>
  <c r="P159" i="119"/>
  <c r="P156" i="119"/>
  <c r="C29" i="119"/>
  <c r="C31" i="119" s="1"/>
  <c r="C65" i="119"/>
  <c r="C139" i="119"/>
  <c r="C138" i="119"/>
  <c r="M158" i="119"/>
  <c r="M157" i="119"/>
  <c r="M156" i="119"/>
  <c r="D29" i="119"/>
  <c r="D31" i="119" s="1"/>
  <c r="D65" i="119"/>
  <c r="M159" i="119"/>
  <c r="O157" i="119"/>
  <c r="B139" i="119"/>
  <c r="B138" i="119"/>
  <c r="N156" i="119"/>
  <c r="N157" i="119"/>
  <c r="B29" i="119"/>
  <c r="B31" i="119" s="1"/>
  <c r="B65" i="119"/>
  <c r="O158" i="119"/>
  <c r="N159" i="119"/>
  <c r="E138" i="119"/>
  <c r="E139" i="119"/>
  <c r="Y175" i="101"/>
  <c r="Y168" i="101"/>
  <c r="Y169" i="101"/>
  <c r="Y170" i="101"/>
  <c r="Y171" i="101"/>
  <c r="Y172" i="101"/>
  <c r="Y173" i="101"/>
  <c r="Y167" i="101"/>
  <c r="D42" i="119" l="1"/>
  <c r="E42" i="119"/>
  <c r="C42" i="119"/>
  <c r="E143" i="119"/>
  <c r="C143" i="119"/>
  <c r="D143" i="119"/>
  <c r="C27" i="116"/>
  <c r="C24" i="116" l="1"/>
  <c r="E6" i="116"/>
  <c r="N20" i="99" l="1"/>
  <c r="O20" i="99"/>
  <c r="P20" i="99"/>
  <c r="N21" i="99"/>
  <c r="O21" i="99"/>
  <c r="P21" i="99"/>
  <c r="N22" i="99"/>
  <c r="O22" i="99"/>
  <c r="P22" i="99"/>
  <c r="N23" i="99"/>
  <c r="O23" i="99"/>
  <c r="P23" i="99"/>
  <c r="N24" i="99"/>
  <c r="O24" i="99"/>
  <c r="P24" i="99"/>
  <c r="N25" i="99"/>
  <c r="O25" i="99"/>
  <c r="P25" i="99"/>
  <c r="N26" i="99"/>
  <c r="O26" i="99"/>
  <c r="P26" i="99"/>
  <c r="N27" i="99"/>
  <c r="O27" i="99"/>
  <c r="P27" i="99"/>
  <c r="J35" i="113"/>
  <c r="K34" i="115"/>
  <c r="K34" i="113"/>
  <c r="K35" i="113"/>
  <c r="H34" i="113"/>
  <c r="J23" i="117"/>
  <c r="H23" i="117"/>
  <c r="D23" i="117"/>
  <c r="F29" i="117"/>
  <c r="H29" i="117"/>
  <c r="F31" i="117"/>
  <c r="H31" i="117"/>
  <c r="F33" i="117"/>
  <c r="G33" i="117"/>
  <c r="H33" i="117"/>
  <c r="J56" i="117"/>
  <c r="J57" i="117"/>
  <c r="J58" i="117"/>
  <c r="J59" i="117"/>
  <c r="J61" i="117"/>
  <c r="J55" i="117"/>
  <c r="Q35" i="117"/>
  <c r="R35" i="117"/>
  <c r="S35" i="117"/>
  <c r="P35" i="117"/>
  <c r="F23" i="117"/>
  <c r="I34" i="115"/>
  <c r="H34" i="115"/>
  <c r="I34" i="114"/>
  <c r="J34" i="114"/>
  <c r="K34" i="114"/>
  <c r="H34" i="114"/>
  <c r="E23" i="117" l="1"/>
  <c r="C79" i="117"/>
  <c r="C85" i="117"/>
  <c r="G23" i="117"/>
  <c r="G79" i="117"/>
  <c r="G85" i="117"/>
  <c r="I85" i="117"/>
  <c r="I79" i="117"/>
  <c r="I77" i="117" s="1"/>
  <c r="E79" i="117"/>
  <c r="E77" i="117" s="1"/>
  <c r="E85" i="117"/>
  <c r="J34" i="115"/>
  <c r="J34" i="113"/>
  <c r="I35" i="113"/>
  <c r="I34" i="113"/>
  <c r="J60" i="117"/>
  <c r="I23" i="117"/>
  <c r="I17" i="117"/>
  <c r="H17" i="117"/>
  <c r="F79" i="117" l="1"/>
  <c r="F85" i="117"/>
  <c r="G76" i="117"/>
  <c r="G77" i="117" s="1"/>
  <c r="H76" i="117"/>
  <c r="F76" i="117"/>
  <c r="H79" i="117"/>
  <c r="H85" i="117"/>
  <c r="C77" i="117"/>
  <c r="C75" i="117"/>
  <c r="D79" i="117"/>
  <c r="D77" i="117" s="1"/>
  <c r="D85" i="117"/>
  <c r="F77" i="109"/>
  <c r="I46" i="115"/>
  <c r="I46" i="114"/>
  <c r="I46" i="113"/>
  <c r="I46" i="112"/>
  <c r="I46" i="110"/>
  <c r="I46" i="109"/>
  <c r="H77" i="109"/>
  <c r="H77" i="111"/>
  <c r="H77" i="112"/>
  <c r="H77" i="113"/>
  <c r="H77" i="114"/>
  <c r="H77" i="115"/>
  <c r="H77" i="110"/>
  <c r="G77" i="109"/>
  <c r="G77" i="111"/>
  <c r="G77" i="112"/>
  <c r="G77" i="113"/>
  <c r="G77" i="114"/>
  <c r="G77" i="115"/>
  <c r="G77" i="110"/>
  <c r="F41" i="100" a="1"/>
  <c r="F41" i="100" s="1"/>
  <c r="F77" i="115" s="1"/>
  <c r="E41" i="100"/>
  <c r="E37" i="100"/>
  <c r="K61" i="111"/>
  <c r="H34" i="35"/>
  <c r="H36" i="35" s="1"/>
  <c r="H9" i="35" s="1"/>
  <c r="J40" i="116"/>
  <c r="D33" i="116"/>
  <c r="J37" i="116"/>
  <c r="I37" i="116"/>
  <c r="H37" i="116"/>
  <c r="G37" i="116"/>
  <c r="F37" i="116"/>
  <c r="E37" i="116"/>
  <c r="D37" i="116"/>
  <c r="J35" i="116"/>
  <c r="I35" i="116"/>
  <c r="H35" i="116"/>
  <c r="G35" i="116"/>
  <c r="F35" i="116"/>
  <c r="E35" i="116"/>
  <c r="D35" i="116"/>
  <c r="E33" i="116"/>
  <c r="F33" i="116"/>
  <c r="G33" i="116"/>
  <c r="H33" i="116"/>
  <c r="I33" i="116"/>
  <c r="J33" i="116"/>
  <c r="F52" i="100" a="1"/>
  <c r="F52" i="100" s="1"/>
  <c r="F56" i="100" a="1"/>
  <c r="F56" i="100" s="1"/>
  <c r="U52" i="100" a="1"/>
  <c r="U52" i="100" s="1"/>
  <c r="U56" i="100" a="1"/>
  <c r="U56" i="100" s="1"/>
  <c r="AJ52" i="100" a="1"/>
  <c r="AJ52" i="100" s="1"/>
  <c r="AJ56" i="100" a="1"/>
  <c r="AJ56" i="100" s="1"/>
  <c r="F77" i="117" l="1"/>
  <c r="C78" i="117"/>
  <c r="D78" i="117" s="1"/>
  <c r="E78" i="117" s="1"/>
  <c r="F78" i="117" s="1"/>
  <c r="H77" i="117"/>
  <c r="F77" i="114"/>
  <c r="F77" i="113"/>
  <c r="F77" i="111"/>
  <c r="F77" i="112"/>
  <c r="F77" i="110"/>
  <c r="G17" i="117"/>
  <c r="D75" i="117" l="1"/>
  <c r="E75" i="117"/>
  <c r="G78" i="117"/>
  <c r="F75" i="117"/>
  <c r="J149" i="106"/>
  <c r="K50" i="35"/>
  <c r="H78" i="117" l="1"/>
  <c r="G75" i="117"/>
  <c r="H83" i="116"/>
  <c r="G83" i="116"/>
  <c r="F83" i="116"/>
  <c r="D83" i="116"/>
  <c r="I78" i="117" l="1"/>
  <c r="I75" i="117" s="1"/>
  <c r="H75" i="117"/>
  <c r="D128" i="116"/>
  <c r="E128" i="116" s="1"/>
  <c r="F128" i="116" s="1"/>
  <c r="G128" i="116" s="1"/>
  <c r="H128" i="116" s="1"/>
  <c r="I128" i="116" s="1"/>
  <c r="G129" i="116"/>
  <c r="F129" i="116" s="1"/>
  <c r="C131" i="116"/>
  <c r="C132" i="116"/>
  <c r="H129" i="116" l="1"/>
  <c r="N4" i="99" l="1"/>
  <c r="O4" i="99"/>
  <c r="P4" i="99"/>
  <c r="N5" i="99"/>
  <c r="O5" i="99"/>
  <c r="P5" i="99"/>
  <c r="N6" i="99"/>
  <c r="O6" i="99"/>
  <c r="P6" i="99"/>
  <c r="N7" i="99"/>
  <c r="O7" i="99"/>
  <c r="P7" i="99"/>
  <c r="N8" i="99"/>
  <c r="O8" i="99"/>
  <c r="P8" i="99"/>
  <c r="N9" i="99"/>
  <c r="O9" i="99"/>
  <c r="P9" i="99"/>
  <c r="N10" i="99"/>
  <c r="O10" i="99"/>
  <c r="P10" i="99"/>
  <c r="N11" i="99"/>
  <c r="O11" i="99"/>
  <c r="P11" i="99"/>
  <c r="J95" i="98" l="1"/>
  <c r="G81" i="98"/>
  <c r="F81" i="98"/>
  <c r="E81" i="98"/>
  <c r="I81" i="98" s="1"/>
  <c r="J81" i="98" s="1"/>
  <c r="K81" i="98" s="1"/>
  <c r="L81" i="98" s="1"/>
  <c r="D81" i="98"/>
  <c r="C81" i="98"/>
  <c r="B81" i="98"/>
  <c r="I77" i="98"/>
  <c r="J77" i="98" s="1"/>
  <c r="K77" i="98" s="1"/>
  <c r="L77" i="98" s="1"/>
  <c r="I78" i="98"/>
  <c r="J78" i="98" s="1"/>
  <c r="K78" i="98" s="1"/>
  <c r="L78" i="98" s="1"/>
  <c r="I79" i="98"/>
  <c r="J79" i="98" s="1"/>
  <c r="K79" i="98" s="1"/>
  <c r="L79" i="98" s="1"/>
  <c r="I80" i="98"/>
  <c r="J80" i="98" s="1"/>
  <c r="K80" i="98" s="1"/>
  <c r="L80" i="98" s="1"/>
  <c r="I94" i="98"/>
  <c r="J94" i="98" s="1"/>
  <c r="I95" i="98" l="1"/>
  <c r="B148" i="116" l="1"/>
  <c r="B142" i="116"/>
  <c r="J149" i="116"/>
  <c r="I149" i="116" s="1"/>
  <c r="J148" i="116"/>
  <c r="J146" i="116"/>
  <c r="J145" i="116"/>
  <c r="C135" i="116" s="1"/>
  <c r="D135" i="116" s="1"/>
  <c r="E135" i="116" s="1"/>
  <c r="F135" i="116" s="1"/>
  <c r="G135" i="116" s="1"/>
  <c r="H135" i="116" s="1"/>
  <c r="I135" i="116" s="1"/>
  <c r="J144" i="116"/>
  <c r="C133" i="116" s="1"/>
  <c r="J142" i="116"/>
  <c r="C129" i="116" s="1"/>
  <c r="C134" i="116" l="1"/>
  <c r="B153" i="116" s="1"/>
  <c r="C143" i="116"/>
  <c r="E131" i="116" s="1"/>
  <c r="D143" i="116"/>
  <c r="G131" i="116" s="1"/>
  <c r="E143" i="116"/>
  <c r="I131" i="116" s="1"/>
  <c r="D154" i="116" l="1"/>
  <c r="G134" i="116" s="1"/>
  <c r="C154" i="116"/>
  <c r="E134" i="116" s="1"/>
  <c r="F134" i="116" s="1"/>
  <c r="E154" i="116"/>
  <c r="I134" i="116" s="1"/>
  <c r="H131" i="116"/>
  <c r="F131" i="116"/>
  <c r="D131" i="116"/>
  <c r="E149" i="116"/>
  <c r="I132" i="116" s="1"/>
  <c r="D149" i="116"/>
  <c r="G132" i="116" s="1"/>
  <c r="C149" i="116"/>
  <c r="E132" i="116" s="1"/>
  <c r="D134" i="116" l="1"/>
  <c r="H132" i="116"/>
  <c r="H134" i="116"/>
  <c r="F132" i="116"/>
  <c r="D132" i="116"/>
  <c r="B130" i="98" l="1"/>
  <c r="B124" i="98" l="1"/>
  <c r="B113" i="98"/>
  <c r="K50" i="104" l="1"/>
  <c r="O12" i="99" l="1"/>
  <c r="O13" i="99" s="1"/>
  <c r="K12" i="99"/>
  <c r="J12" i="99"/>
  <c r="I12" i="99"/>
  <c r="F12" i="99"/>
  <c r="I27" i="116" s="1"/>
  <c r="E12" i="99"/>
  <c r="G27" i="116" s="1"/>
  <c r="D12" i="99"/>
  <c r="C12" i="99"/>
  <c r="O14" i="99" l="1"/>
  <c r="H27" i="116"/>
  <c r="P12" i="99"/>
  <c r="P13" i="99" s="1"/>
  <c r="P14" i="99" s="1"/>
  <c r="N12" i="99"/>
  <c r="N13" i="99" s="1"/>
  <c r="N14" i="99" s="1"/>
  <c r="E13" i="99"/>
  <c r="F13" i="99"/>
  <c r="D13" i="99"/>
  <c r="E27" i="116"/>
  <c r="E28" i="98"/>
  <c r="B28" i="98"/>
  <c r="C73" i="98"/>
  <c r="B73" i="98"/>
  <c r="C64" i="98"/>
  <c r="B64" i="98"/>
  <c r="C55" i="98"/>
  <c r="B55" i="98"/>
  <c r="C37" i="98"/>
  <c r="B37" i="98"/>
  <c r="C28" i="98"/>
  <c r="C19" i="98"/>
  <c r="B19" i="98"/>
  <c r="C10" i="98"/>
  <c r="B10" i="98"/>
  <c r="F27" i="116" l="1"/>
  <c r="D27" i="116"/>
  <c r="J77" i="105" l="1"/>
  <c r="J77" i="106"/>
  <c r="J77" i="107"/>
  <c r="J77" i="108"/>
  <c r="J77" i="103"/>
  <c r="J77" i="104"/>
  <c r="I77" i="105"/>
  <c r="I77" i="106"/>
  <c r="I77" i="107"/>
  <c r="I77" i="108"/>
  <c r="I77" i="103"/>
  <c r="I77" i="104"/>
  <c r="H77" i="105"/>
  <c r="H77" i="106"/>
  <c r="H77" i="107"/>
  <c r="H77" i="108"/>
  <c r="H77" i="103"/>
  <c r="H77" i="104"/>
  <c r="J77" i="35"/>
  <c r="I77" i="35"/>
  <c r="H77" i="35"/>
  <c r="H73" i="35"/>
  <c r="AI56" i="100"/>
  <c r="T56" i="100"/>
  <c r="E56" i="100"/>
  <c r="AI52" i="100"/>
  <c r="T52" i="100"/>
  <c r="E52" i="100"/>
  <c r="M6" i="100"/>
  <c r="I17" i="116" l="1"/>
  <c r="G17" i="116"/>
  <c r="H17" i="116"/>
  <c r="M43" i="112"/>
  <c r="C137" i="116" l="1"/>
  <c r="E132" i="117"/>
  <c r="I132" i="117"/>
  <c r="C132" i="117"/>
  <c r="N16" i="98"/>
  <c r="O16" i="98" s="1"/>
  <c r="I61" i="111" l="1"/>
  <c r="J61" i="111"/>
  <c r="K62" i="111"/>
  <c r="K63" i="111"/>
  <c r="K65" i="111"/>
  <c r="J61" i="112"/>
  <c r="K62" i="112"/>
  <c r="J63" i="112"/>
  <c r="K63" i="112"/>
  <c r="J65" i="112"/>
  <c r="J61" i="113"/>
  <c r="K62" i="113"/>
  <c r="K63" i="113"/>
  <c r="J65" i="113"/>
  <c r="K62" i="114"/>
  <c r="K63" i="114"/>
  <c r="J65" i="114"/>
  <c r="J61" i="115"/>
  <c r="J62" i="115"/>
  <c r="K62" i="115"/>
  <c r="K63" i="115"/>
  <c r="J65" i="115"/>
  <c r="I61" i="110"/>
  <c r="J61" i="110"/>
  <c r="K61" i="110"/>
  <c r="K62" i="110"/>
  <c r="K63" i="110"/>
  <c r="I65" i="110"/>
  <c r="J65" i="110"/>
  <c r="K65" i="110"/>
  <c r="K59" i="111"/>
  <c r="K59" i="112"/>
  <c r="K59" i="113"/>
  <c r="K59" i="114"/>
  <c r="K59" i="115"/>
  <c r="K59" i="110"/>
  <c r="J59" i="111"/>
  <c r="J59" i="112"/>
  <c r="J59" i="113"/>
  <c r="J59" i="114"/>
  <c r="J59" i="115"/>
  <c r="J59" i="110"/>
  <c r="I59" i="111"/>
  <c r="I59" i="112"/>
  <c r="I59" i="113"/>
  <c r="I59" i="114"/>
  <c r="I59" i="115"/>
  <c r="I59" i="110"/>
  <c r="I59" i="109"/>
  <c r="I61" i="109"/>
  <c r="J61" i="109"/>
  <c r="K61" i="109"/>
  <c r="K62" i="109"/>
  <c r="I63" i="109"/>
  <c r="J63" i="109"/>
  <c r="K63" i="109"/>
  <c r="I65" i="109"/>
  <c r="J65" i="109"/>
  <c r="K65" i="109"/>
  <c r="J59" i="109"/>
  <c r="K59" i="109"/>
  <c r="C130" i="98" l="1"/>
  <c r="C129" i="98"/>
  <c r="C124" i="98"/>
  <c r="C123" i="98"/>
  <c r="C122" i="98"/>
  <c r="C121" i="98"/>
  <c r="C120" i="98"/>
  <c r="C119" i="98"/>
  <c r="C118" i="98"/>
  <c r="C108" i="98"/>
  <c r="C109" i="98"/>
  <c r="C110" i="98"/>
  <c r="C111" i="98"/>
  <c r="C112" i="98"/>
  <c r="C113" i="98"/>
  <c r="C107" i="98"/>
  <c r="Q40" i="98"/>
  <c r="Q39" i="98"/>
  <c r="Q37" i="98"/>
  <c r="Q36" i="98"/>
  <c r="Q35" i="98"/>
  <c r="I34" i="112"/>
  <c r="J34" i="112"/>
  <c r="K34" i="112"/>
  <c r="H34" i="112"/>
  <c r="I34" i="111"/>
  <c r="J34" i="111"/>
  <c r="K34" i="111"/>
  <c r="H34" i="111"/>
  <c r="I34" i="110"/>
  <c r="J34" i="110"/>
  <c r="K34" i="110"/>
  <c r="H34" i="110"/>
  <c r="I34" i="109"/>
  <c r="J34" i="109"/>
  <c r="K34" i="109"/>
  <c r="H34" i="109"/>
  <c r="G34" i="109" s="1"/>
  <c r="C89" i="116" l="1"/>
  <c r="C86" i="116"/>
  <c r="C84" i="116" s="1"/>
  <c r="C56" i="116"/>
  <c r="C53" i="116"/>
  <c r="D112" i="98"/>
  <c r="C58" i="116"/>
  <c r="D51" i="117"/>
  <c r="D120" i="98"/>
  <c r="D121" i="98"/>
  <c r="D111" i="98"/>
  <c r="D110" i="98"/>
  <c r="D108" i="98"/>
  <c r="D107" i="98"/>
  <c r="D109" i="98"/>
  <c r="D118" i="98"/>
  <c r="C91" i="116"/>
  <c r="D119" i="98"/>
  <c r="D25" i="117"/>
  <c r="D113" i="98"/>
  <c r="D122" i="98"/>
  <c r="C29" i="116"/>
  <c r="C26" i="116" s="1"/>
  <c r="D124" i="98"/>
  <c r="D123" i="98"/>
  <c r="H7" i="109"/>
  <c r="C82" i="116" l="1"/>
  <c r="C88" i="116"/>
  <c r="C55" i="116"/>
  <c r="C52" i="116"/>
  <c r="D52" i="116" s="1"/>
  <c r="E26" i="116"/>
  <c r="G26" i="116"/>
  <c r="I26" i="116"/>
  <c r="G40" i="116"/>
  <c r="D36" i="117"/>
  <c r="I40" i="116"/>
  <c r="E40" i="116"/>
  <c r="F40" i="116"/>
  <c r="H40" i="116"/>
  <c r="D40" i="116"/>
  <c r="C23" i="116"/>
  <c r="D23" i="116" l="1"/>
  <c r="E23" i="116" s="1"/>
  <c r="F23" i="116" s="1"/>
  <c r="G23" i="116" s="1"/>
  <c r="H23" i="116" s="1"/>
  <c r="I23" i="116" s="1"/>
  <c r="C85" i="116"/>
  <c r="D85" i="116" s="1"/>
  <c r="E85" i="116" s="1"/>
  <c r="F85" i="116" s="1"/>
  <c r="G85" i="116" s="1"/>
  <c r="H85" i="116" s="1"/>
  <c r="I85" i="116" s="1"/>
  <c r="E88" i="116"/>
  <c r="D88" i="116" s="1"/>
  <c r="G88" i="116"/>
  <c r="I88" i="116"/>
  <c r="E52" i="116"/>
  <c r="I55" i="116"/>
  <c r="G55" i="116"/>
  <c r="E55" i="116"/>
  <c r="D55" i="116" s="1"/>
  <c r="H26" i="116"/>
  <c r="F26" i="116"/>
  <c r="D26" i="116"/>
  <c r="L28" i="117"/>
  <c r="Q41" i="98"/>
  <c r="H55" i="116" l="1"/>
  <c r="F88" i="116"/>
  <c r="H88" i="116"/>
  <c r="F55" i="116"/>
  <c r="F52" i="116"/>
  <c r="G125" i="117"/>
  <c r="F125" i="117" s="1"/>
  <c r="F132" i="117" s="1"/>
  <c r="D132" i="117"/>
  <c r="G52" i="116" l="1"/>
  <c r="H125" i="117"/>
  <c r="H132" i="117" s="1"/>
  <c r="G132" i="117"/>
  <c r="E24" i="100"/>
  <c r="I24" i="100"/>
  <c r="I25" i="100"/>
  <c r="I28" i="100" s="1"/>
  <c r="E13" i="100"/>
  <c r="E27" i="100" l="1"/>
  <c r="J73" i="35" s="1"/>
  <c r="I73" i="35"/>
  <c r="H52" i="116"/>
  <c r="M16" i="100"/>
  <c r="M10" i="100"/>
  <c r="M9" i="100"/>
  <c r="M8" i="100"/>
  <c r="I27" i="100"/>
  <c r="I52" i="116" l="1"/>
  <c r="C50" i="99"/>
  <c r="K151" i="115" l="1"/>
  <c r="P17" i="98" l="1"/>
  <c r="N17" i="98" s="1"/>
  <c r="O17" i="98" s="1"/>
  <c r="N21" i="98"/>
  <c r="O21" i="98" s="1"/>
  <c r="N20" i="98"/>
  <c r="O20" i="98" s="1"/>
  <c r="N10" i="98" l="1"/>
  <c r="O10" i="98" s="1"/>
  <c r="N6" i="98"/>
  <c r="O6" i="98" s="1"/>
  <c r="N9" i="98"/>
  <c r="O9" i="98" s="1"/>
  <c r="I24" i="116" l="1"/>
  <c r="G24" i="116"/>
  <c r="E24" i="116"/>
  <c r="J49" i="117"/>
  <c r="E25" i="100"/>
  <c r="E28" i="100" s="1"/>
  <c r="I89" i="116" l="1"/>
  <c r="I56" i="116"/>
  <c r="I53" i="116"/>
  <c r="I86" i="116"/>
  <c r="I84" i="116" s="1"/>
  <c r="I82" i="116" s="1"/>
  <c r="E89" i="116"/>
  <c r="E86" i="116"/>
  <c r="E84" i="116" s="1"/>
  <c r="E82" i="116" s="1"/>
  <c r="E91" i="116" s="1"/>
  <c r="E56" i="116"/>
  <c r="E53" i="116"/>
  <c r="G53" i="116"/>
  <c r="G89" i="116"/>
  <c r="G56" i="116"/>
  <c r="G86" i="116"/>
  <c r="G84" i="116" s="1"/>
  <c r="G82" i="116" s="1"/>
  <c r="D49" i="117"/>
  <c r="D48" i="117" s="1"/>
  <c r="C48" i="117" s="1"/>
  <c r="D22" i="117"/>
  <c r="C22" i="117" s="1"/>
  <c r="H49" i="117"/>
  <c r="F49" i="117"/>
  <c r="H24" i="116"/>
  <c r="F24" i="116"/>
  <c r="D24" i="116"/>
  <c r="G114" i="117"/>
  <c r="F114" i="117"/>
  <c r="E114" i="117"/>
  <c r="D114" i="117"/>
  <c r="G113" i="117"/>
  <c r="F113" i="117"/>
  <c r="E113" i="117"/>
  <c r="D113" i="117"/>
  <c r="C64" i="117"/>
  <c r="C65" i="117" s="1"/>
  <c r="C66" i="117" s="1"/>
  <c r="C67" i="117" s="1"/>
  <c r="C68" i="117" s="1"/>
  <c r="C69" i="117" s="1"/>
  <c r="C56" i="117"/>
  <c r="C57" i="117" s="1"/>
  <c r="C58" i="117" s="1"/>
  <c r="C59" i="117" s="1"/>
  <c r="C60" i="117" s="1"/>
  <c r="C61" i="117" s="1"/>
  <c r="F63" i="117"/>
  <c r="E47" i="117"/>
  <c r="F47" i="117" s="1"/>
  <c r="G47" i="117" s="1"/>
  <c r="H47" i="117" s="1"/>
  <c r="I47" i="117" s="1"/>
  <c r="J47" i="117" s="1"/>
  <c r="C37" i="117"/>
  <c r="C38" i="117" s="1"/>
  <c r="C39" i="117" s="1"/>
  <c r="C40" i="117" s="1"/>
  <c r="C41" i="117" s="1"/>
  <c r="C42" i="117" s="1"/>
  <c r="C29" i="117"/>
  <c r="C30" i="117" s="1"/>
  <c r="C31" i="117" s="1"/>
  <c r="C32" i="117" s="1"/>
  <c r="C33" i="117" s="1"/>
  <c r="C34" i="117" s="1"/>
  <c r="F36" i="117"/>
  <c r="E21" i="117"/>
  <c r="F21" i="117" s="1"/>
  <c r="G21" i="117" s="1"/>
  <c r="H21" i="117" s="1"/>
  <c r="I21" i="117" s="1"/>
  <c r="J21" i="117" s="1"/>
  <c r="AJ136" i="101"/>
  <c r="D86" i="116" l="1"/>
  <c r="D84" i="116" s="1"/>
  <c r="D82" i="116" s="1"/>
  <c r="D53" i="116"/>
  <c r="D56" i="116"/>
  <c r="D89" i="116"/>
  <c r="F89" i="116"/>
  <c r="F56" i="116"/>
  <c r="F53" i="116"/>
  <c r="F86" i="116"/>
  <c r="F84" i="116" s="1"/>
  <c r="F82" i="116" s="1"/>
  <c r="H89" i="116"/>
  <c r="H53" i="116"/>
  <c r="H56" i="116"/>
  <c r="H86" i="116"/>
  <c r="H84" i="116" s="1"/>
  <c r="H82" i="116" s="1"/>
  <c r="I49" i="117"/>
  <c r="G49" i="117"/>
  <c r="E49" i="117"/>
  <c r="D63" i="117"/>
  <c r="E6" i="117" s="1"/>
  <c r="Y114" i="119" s="1"/>
  <c r="Y40" i="119" s="1"/>
  <c r="Y137" i="119" s="1"/>
  <c r="E63" i="117"/>
  <c r="H63" i="117"/>
  <c r="E36" i="117"/>
  <c r="G63" i="117"/>
  <c r="J36" i="117"/>
  <c r="E11" i="117" s="1"/>
  <c r="H36" i="117"/>
  <c r="I36" i="117"/>
  <c r="E10" i="117" s="1"/>
  <c r="G36" i="117"/>
  <c r="Y77" i="101"/>
  <c r="Y118" i="101" l="1"/>
  <c r="Y118" i="119"/>
  <c r="Y37" i="119" s="1"/>
  <c r="Y134" i="119" s="1"/>
  <c r="Y119" i="101"/>
  <c r="Y119" i="119"/>
  <c r="E7" i="117"/>
  <c r="Y114" i="101"/>
  <c r="E8" i="117"/>
  <c r="E9" i="117"/>
  <c r="Y116" i="101" l="1"/>
  <c r="Y116" i="119"/>
  <c r="Y35" i="119" s="1"/>
  <c r="Y132" i="119" s="1"/>
  <c r="Y117" i="101"/>
  <c r="Y117" i="119"/>
  <c r="Y39" i="119" s="1"/>
  <c r="Y136" i="119" s="1"/>
  <c r="Y115" i="101"/>
  <c r="Y115" i="119"/>
  <c r="Y36" i="119" s="1"/>
  <c r="Y133" i="119" s="1"/>
  <c r="E5" i="117"/>
  <c r="Y120" i="119" s="1"/>
  <c r="AK130" i="101"/>
  <c r="AL130" i="101" s="1"/>
  <c r="AK131" i="101"/>
  <c r="AL131" i="101" s="1"/>
  <c r="AK132" i="101"/>
  <c r="AL132" i="101" s="1"/>
  <c r="AK133" i="101"/>
  <c r="AL133" i="101" s="1"/>
  <c r="AK134" i="101"/>
  <c r="AL134" i="101" s="1"/>
  <c r="AK128" i="101"/>
  <c r="AL128" i="101" s="1"/>
  <c r="AL127" i="101"/>
  <c r="D118" i="116"/>
  <c r="G119" i="116"/>
  <c r="F119" i="116"/>
  <c r="E119" i="116"/>
  <c r="D119" i="116"/>
  <c r="G118" i="116"/>
  <c r="F118" i="116"/>
  <c r="E118" i="116"/>
  <c r="D81" i="116"/>
  <c r="E81" i="116" s="1"/>
  <c r="F81" i="116" s="1"/>
  <c r="G81" i="116" s="1"/>
  <c r="H81" i="116" s="1"/>
  <c r="I81" i="116" s="1"/>
  <c r="C71" i="116"/>
  <c r="C72" i="116" s="1"/>
  <c r="C73" i="116" s="1"/>
  <c r="C74" i="116" s="1"/>
  <c r="C75" i="116" s="1"/>
  <c r="C76" i="116" s="1"/>
  <c r="C63" i="116"/>
  <c r="C64" i="116" s="1"/>
  <c r="C65" i="116" s="1"/>
  <c r="C66" i="116" s="1"/>
  <c r="C67" i="116" s="1"/>
  <c r="C68" i="116" s="1"/>
  <c r="H71" i="116"/>
  <c r="D51" i="116"/>
  <c r="E51" i="116" s="1"/>
  <c r="F51" i="116" s="1"/>
  <c r="G51" i="116" s="1"/>
  <c r="H51" i="116" s="1"/>
  <c r="I51" i="116" s="1"/>
  <c r="C41" i="116"/>
  <c r="C42" i="116" s="1"/>
  <c r="C43" i="116" s="1"/>
  <c r="C44" i="116" s="1"/>
  <c r="C45" i="116" s="1"/>
  <c r="C46" i="116" s="1"/>
  <c r="C33" i="116"/>
  <c r="C34" i="116" s="1"/>
  <c r="C35" i="116" s="1"/>
  <c r="C36" i="116" s="1"/>
  <c r="C37" i="116" s="1"/>
  <c r="C38" i="116" s="1"/>
  <c r="D21" i="116"/>
  <c r="E21" i="116" s="1"/>
  <c r="F21" i="116" s="1"/>
  <c r="G21" i="116" s="1"/>
  <c r="H21" i="116" s="1"/>
  <c r="I21" i="116" s="1"/>
  <c r="Y30" i="119" l="1"/>
  <c r="Y31" i="119" s="1"/>
  <c r="Y123" i="119"/>
  <c r="Y41" i="119"/>
  <c r="Y42" i="119" s="1"/>
  <c r="Y140" i="119"/>
  <c r="Y138" i="119"/>
  <c r="Y139" i="119"/>
  <c r="Y120" i="101"/>
  <c r="E14" i="117"/>
  <c r="AK136" i="101"/>
  <c r="AL136" i="101"/>
  <c r="F70" i="116"/>
  <c r="E70" i="116"/>
  <c r="H70" i="116"/>
  <c r="D70" i="116"/>
  <c r="G70" i="116"/>
  <c r="I137" i="116"/>
  <c r="J137" i="116" s="1"/>
  <c r="E137" i="116"/>
  <c r="D71" i="116"/>
  <c r="E71" i="116"/>
  <c r="F71" i="116"/>
  <c r="G71" i="116"/>
  <c r="G137" i="116" l="1"/>
  <c r="Y30" i="101"/>
  <c r="D137" i="116"/>
  <c r="F137" i="116"/>
  <c r="H137" i="116" l="1"/>
  <c r="I35" i="110" l="1"/>
  <c r="J35" i="110"/>
  <c r="K35" i="110"/>
  <c r="I35" i="111"/>
  <c r="J35" i="111"/>
  <c r="K35" i="111"/>
  <c r="I35" i="112"/>
  <c r="J35" i="112"/>
  <c r="K35" i="112"/>
  <c r="I35" i="114"/>
  <c r="J35" i="114"/>
  <c r="K35" i="114"/>
  <c r="I35" i="115"/>
  <c r="J35" i="115"/>
  <c r="K35" i="115"/>
  <c r="J35" i="109"/>
  <c r="K35" i="109"/>
  <c r="I35" i="109"/>
  <c r="N28" i="99" l="1"/>
  <c r="N29" i="99" s="1"/>
  <c r="N30" i="99" s="1"/>
  <c r="F13" i="100"/>
  <c r="G13" i="100"/>
  <c r="H13" i="100"/>
  <c r="J13" i="100"/>
  <c r="K13" i="100"/>
  <c r="L13" i="100"/>
  <c r="F24" i="100" l="1"/>
  <c r="H147" i="110"/>
  <c r="H168" i="110" s="1"/>
  <c r="H148" i="110"/>
  <c r="H149" i="110"/>
  <c r="H150" i="110"/>
  <c r="H151" i="110"/>
  <c r="H152" i="110"/>
  <c r="H173" i="110" s="1"/>
  <c r="H147" i="104"/>
  <c r="H148" i="104"/>
  <c r="H149" i="104"/>
  <c r="H150" i="104"/>
  <c r="I150" i="104" s="1"/>
  <c r="J150" i="104" s="1"/>
  <c r="K150" i="104" s="1"/>
  <c r="H151" i="104"/>
  <c r="I151" i="104" s="1"/>
  <c r="J151" i="104" s="1"/>
  <c r="K151" i="104" s="1"/>
  <c r="H152" i="104"/>
  <c r="H146" i="110"/>
  <c r="H167" i="110" s="1"/>
  <c r="H146" i="104"/>
  <c r="I146" i="104" s="1"/>
  <c r="J146" i="104" s="1"/>
  <c r="K146" i="104" s="1"/>
  <c r="J151" i="114"/>
  <c r="H147" i="109"/>
  <c r="H148" i="109"/>
  <c r="H149" i="109"/>
  <c r="H150" i="109"/>
  <c r="H151" i="109"/>
  <c r="H172" i="109" s="1"/>
  <c r="H152" i="109"/>
  <c r="H147" i="35"/>
  <c r="H148" i="35"/>
  <c r="H149" i="35"/>
  <c r="J149" i="35" s="1"/>
  <c r="K149" i="35" s="1"/>
  <c r="H150" i="35"/>
  <c r="I150" i="35" s="1"/>
  <c r="J150" i="35" s="1"/>
  <c r="K150" i="35" s="1"/>
  <c r="H151" i="35"/>
  <c r="H152" i="35"/>
  <c r="H146" i="109"/>
  <c r="H146" i="35"/>
  <c r="I146" i="35" s="1"/>
  <c r="J146" i="35" s="1"/>
  <c r="K146" i="35" s="1"/>
  <c r="H73" i="109"/>
  <c r="G73" i="109"/>
  <c r="H152" i="115"/>
  <c r="H173" i="115" s="1"/>
  <c r="H151" i="115"/>
  <c r="H150" i="115"/>
  <c r="H171" i="115" s="1"/>
  <c r="H149" i="115"/>
  <c r="I149" i="115" s="1"/>
  <c r="H148" i="115"/>
  <c r="J148" i="115" s="1"/>
  <c r="H147" i="115"/>
  <c r="H168" i="115" s="1"/>
  <c r="H146" i="115"/>
  <c r="H167" i="115" s="1"/>
  <c r="H87" i="115"/>
  <c r="H86" i="115"/>
  <c r="H85" i="115"/>
  <c r="H84" i="115"/>
  <c r="H83" i="115"/>
  <c r="H82" i="115"/>
  <c r="H81" i="115"/>
  <c r="F73" i="115"/>
  <c r="H51" i="115"/>
  <c r="H50" i="115"/>
  <c r="H49" i="115"/>
  <c r="H48" i="115"/>
  <c r="H47" i="115"/>
  <c r="H46" i="115"/>
  <c r="H45" i="115"/>
  <c r="K8" i="115"/>
  <c r="AC21" i="101" s="1"/>
  <c r="J8" i="115"/>
  <c r="AB21" i="101" s="1"/>
  <c r="K7" i="115"/>
  <c r="J7" i="115"/>
  <c r="I7" i="115"/>
  <c r="H36" i="115"/>
  <c r="H9" i="115" s="1"/>
  <c r="Z22" i="101" s="1"/>
  <c r="H8" i="115"/>
  <c r="Z21" i="101" s="1"/>
  <c r="H152" i="114"/>
  <c r="H173" i="114" s="1"/>
  <c r="H151" i="114"/>
  <c r="H172" i="114" s="1"/>
  <c r="H150" i="114"/>
  <c r="H171" i="114" s="1"/>
  <c r="H149" i="114"/>
  <c r="I149" i="114" s="1"/>
  <c r="I151" i="114" s="1"/>
  <c r="H148" i="114"/>
  <c r="H169" i="114" s="1"/>
  <c r="H147" i="114"/>
  <c r="H146" i="114"/>
  <c r="H167" i="114" s="1"/>
  <c r="H87" i="114"/>
  <c r="H86" i="114"/>
  <c r="H85" i="114"/>
  <c r="H84" i="114"/>
  <c r="H83" i="114"/>
  <c r="H82" i="114"/>
  <c r="H81" i="114"/>
  <c r="F73" i="114"/>
  <c r="H51" i="114"/>
  <c r="H50" i="114"/>
  <c r="H49" i="114"/>
  <c r="H48" i="114"/>
  <c r="H47" i="114"/>
  <c r="H46" i="114"/>
  <c r="H45" i="114"/>
  <c r="I8" i="114"/>
  <c r="AA19" i="101" s="1"/>
  <c r="K7" i="114"/>
  <c r="H36" i="114"/>
  <c r="H9" i="114" s="1"/>
  <c r="Z20" i="101" s="1"/>
  <c r="H8" i="114"/>
  <c r="Z19" i="101" s="1"/>
  <c r="H152" i="113"/>
  <c r="H173" i="113" s="1"/>
  <c r="H151" i="113"/>
  <c r="H150" i="113"/>
  <c r="H171" i="113" s="1"/>
  <c r="H149" i="113"/>
  <c r="H170" i="113" s="1"/>
  <c r="H148" i="113"/>
  <c r="H147" i="113"/>
  <c r="H168" i="113" s="1"/>
  <c r="H146" i="113"/>
  <c r="H167" i="113" s="1"/>
  <c r="H87" i="113"/>
  <c r="H86" i="113"/>
  <c r="H85" i="113"/>
  <c r="H84" i="113"/>
  <c r="H83" i="113"/>
  <c r="H82" i="113"/>
  <c r="H81" i="113"/>
  <c r="F73" i="113"/>
  <c r="H51" i="113"/>
  <c r="H50" i="113"/>
  <c r="H49" i="113"/>
  <c r="H48" i="113"/>
  <c r="H47" i="113"/>
  <c r="G47" i="113" s="1"/>
  <c r="H46" i="113"/>
  <c r="H45" i="113"/>
  <c r="K8" i="113"/>
  <c r="AC17" i="101" s="1"/>
  <c r="I8" i="113"/>
  <c r="AA17" i="101" s="1"/>
  <c r="K7" i="113"/>
  <c r="I7" i="113"/>
  <c r="H8" i="113"/>
  <c r="Z17" i="101" s="1"/>
  <c r="H152" i="112"/>
  <c r="H173" i="112" s="1"/>
  <c r="H151" i="112"/>
  <c r="H172" i="112" s="1"/>
  <c r="H150" i="112"/>
  <c r="I150" i="112" s="1"/>
  <c r="H149" i="112"/>
  <c r="H148" i="112"/>
  <c r="H147" i="112"/>
  <c r="H168" i="112" s="1"/>
  <c r="H146" i="112"/>
  <c r="H167" i="112" s="1"/>
  <c r="H87" i="112"/>
  <c r="H86" i="112"/>
  <c r="H85" i="112"/>
  <c r="H84" i="112"/>
  <c r="H83" i="112"/>
  <c r="H82" i="112"/>
  <c r="H81" i="112"/>
  <c r="F73" i="112"/>
  <c r="H51" i="112"/>
  <c r="H50" i="112"/>
  <c r="H49" i="112"/>
  <c r="H48" i="112"/>
  <c r="H47" i="112"/>
  <c r="G47" i="112" s="1"/>
  <c r="H46" i="112"/>
  <c r="H45" i="112"/>
  <c r="K8" i="112"/>
  <c r="AC15" i="101" s="1"/>
  <c r="K7" i="112"/>
  <c r="J7" i="112"/>
  <c r="I7" i="112"/>
  <c r="G34" i="112"/>
  <c r="G36" i="112" s="1"/>
  <c r="J8" i="112"/>
  <c r="AB15" i="101" s="1"/>
  <c r="H8" i="112"/>
  <c r="Z15" i="101" s="1"/>
  <c r="H152" i="111"/>
  <c r="H173" i="111" s="1"/>
  <c r="H151" i="111"/>
  <c r="H150" i="111"/>
  <c r="H171" i="111" s="1"/>
  <c r="H149" i="111"/>
  <c r="I149" i="111" s="1"/>
  <c r="J149" i="111" s="1"/>
  <c r="K149" i="111" s="1"/>
  <c r="H148" i="111"/>
  <c r="H147" i="111"/>
  <c r="H146" i="111"/>
  <c r="H87" i="111"/>
  <c r="H86" i="111"/>
  <c r="H85" i="111"/>
  <c r="H84" i="111"/>
  <c r="H83" i="111"/>
  <c r="H82" i="111"/>
  <c r="H81" i="111"/>
  <c r="F73" i="111"/>
  <c r="H51" i="111"/>
  <c r="H50" i="111"/>
  <c r="H49" i="111"/>
  <c r="H48" i="111"/>
  <c r="H47" i="111"/>
  <c r="H46" i="111"/>
  <c r="H45" i="111"/>
  <c r="G45" i="111" s="1"/>
  <c r="K8" i="111"/>
  <c r="AC13" i="101" s="1"/>
  <c r="J8" i="111"/>
  <c r="AB13" i="101" s="1"/>
  <c r="I8" i="111"/>
  <c r="AA13" i="101" s="1"/>
  <c r="I7" i="111"/>
  <c r="H36" i="111"/>
  <c r="H8" i="111"/>
  <c r="Z13" i="101" s="1"/>
  <c r="H172" i="110"/>
  <c r="H171" i="110"/>
  <c r="I151" i="110"/>
  <c r="H169" i="110"/>
  <c r="H87" i="110"/>
  <c r="H86" i="110"/>
  <c r="H85" i="110"/>
  <c r="H84" i="110"/>
  <c r="H83" i="110"/>
  <c r="H82" i="110"/>
  <c r="H81" i="110"/>
  <c r="F73" i="110"/>
  <c r="H51" i="110"/>
  <c r="H50" i="110"/>
  <c r="H49" i="110"/>
  <c r="H48" i="110"/>
  <c r="H47" i="110"/>
  <c r="H46" i="110"/>
  <c r="H45" i="110"/>
  <c r="K7" i="110"/>
  <c r="I7" i="110"/>
  <c r="H36" i="110"/>
  <c r="H9" i="110" s="1"/>
  <c r="Z12" i="101" s="1"/>
  <c r="H8" i="110"/>
  <c r="Z11" i="101" s="1"/>
  <c r="J7" i="110"/>
  <c r="H169" i="109"/>
  <c r="J148" i="109"/>
  <c r="H168" i="109"/>
  <c r="H87" i="109"/>
  <c r="H86" i="109"/>
  <c r="H85" i="109"/>
  <c r="H84" i="109"/>
  <c r="H83" i="109"/>
  <c r="H82" i="109"/>
  <c r="H81" i="109"/>
  <c r="F73" i="109"/>
  <c r="H51" i="109"/>
  <c r="H50" i="109"/>
  <c r="H49" i="109"/>
  <c r="H48" i="109"/>
  <c r="H47" i="109"/>
  <c r="H46" i="109"/>
  <c r="H45" i="109"/>
  <c r="K8" i="109"/>
  <c r="AC9" i="101" s="1"/>
  <c r="I8" i="109"/>
  <c r="AA9" i="101" s="1"/>
  <c r="K7" i="109"/>
  <c r="H8" i="109"/>
  <c r="Z9" i="101" s="1"/>
  <c r="K50" i="103"/>
  <c r="K50" i="108"/>
  <c r="K50" i="107"/>
  <c r="K50" i="106"/>
  <c r="K64" i="105"/>
  <c r="K50" i="105"/>
  <c r="J60" i="112" l="1"/>
  <c r="I60" i="115"/>
  <c r="J60" i="113"/>
  <c r="I60" i="113"/>
  <c r="I60" i="109"/>
  <c r="J60" i="109"/>
  <c r="I60" i="110"/>
  <c r="J60" i="110"/>
  <c r="J60" i="111"/>
  <c r="I60" i="111"/>
  <c r="I60" i="114"/>
  <c r="J60" i="114"/>
  <c r="H102" i="115"/>
  <c r="H103" i="112"/>
  <c r="H104" i="112"/>
  <c r="H104" i="115"/>
  <c r="H101" i="113"/>
  <c r="H105" i="115"/>
  <c r="H106" i="112"/>
  <c r="H106" i="115"/>
  <c r="H103" i="109"/>
  <c r="H103" i="110"/>
  <c r="H101" i="111"/>
  <c r="H101" i="114"/>
  <c r="H104" i="109"/>
  <c r="H104" i="110"/>
  <c r="H104" i="113"/>
  <c r="H102" i="114"/>
  <c r="H102" i="110"/>
  <c r="H105" i="109"/>
  <c r="H105" i="110"/>
  <c r="H103" i="111"/>
  <c r="H105" i="113"/>
  <c r="H103" i="114"/>
  <c r="H106" i="109"/>
  <c r="H104" i="114"/>
  <c r="H107" i="110"/>
  <c r="H107" i="113"/>
  <c r="H106" i="114"/>
  <c r="H106" i="110"/>
  <c r="H107" i="109"/>
  <c r="H101" i="115"/>
  <c r="J60" i="115"/>
  <c r="I60" i="112"/>
  <c r="G46" i="111"/>
  <c r="Z23" i="101"/>
  <c r="I49" i="112"/>
  <c r="I63" i="112" s="1"/>
  <c r="H62" i="110"/>
  <c r="G62" i="110" s="1"/>
  <c r="H61" i="111"/>
  <c r="G61" i="111" s="1"/>
  <c r="G49" i="114"/>
  <c r="H61" i="115"/>
  <c r="G61" i="115" s="1"/>
  <c r="J49" i="110"/>
  <c r="J63" i="110" s="1"/>
  <c r="H62" i="111"/>
  <c r="K151" i="111"/>
  <c r="K153" i="111" s="1"/>
  <c r="H64" i="114"/>
  <c r="G64" i="114" s="1"/>
  <c r="H62" i="115"/>
  <c r="G62" i="115" s="1"/>
  <c r="G50" i="110"/>
  <c r="H63" i="111"/>
  <c r="G63" i="111" s="1"/>
  <c r="J49" i="115"/>
  <c r="J63" i="115" s="1"/>
  <c r="H65" i="110"/>
  <c r="G65" i="110" s="1"/>
  <c r="H64" i="115"/>
  <c r="G64" i="115" s="1"/>
  <c r="G48" i="109"/>
  <c r="H171" i="109"/>
  <c r="G51" i="109"/>
  <c r="H64" i="109"/>
  <c r="G64" i="109" s="1"/>
  <c r="G51" i="111"/>
  <c r="G45" i="113"/>
  <c r="H65" i="115"/>
  <c r="G65" i="115" s="1"/>
  <c r="H64" i="111"/>
  <c r="G64" i="111" s="1"/>
  <c r="G48" i="112"/>
  <c r="G50" i="112"/>
  <c r="H61" i="113"/>
  <c r="G61" i="113" s="1"/>
  <c r="H59" i="114"/>
  <c r="G59" i="114" s="1"/>
  <c r="G45" i="110"/>
  <c r="J48" i="113"/>
  <c r="J62" i="113" s="1"/>
  <c r="G46" i="114"/>
  <c r="G51" i="112"/>
  <c r="G47" i="114"/>
  <c r="H59" i="115"/>
  <c r="G59" i="115" s="1"/>
  <c r="G47" i="110"/>
  <c r="H60" i="111"/>
  <c r="G50" i="113"/>
  <c r="H62" i="114"/>
  <c r="G62" i="114" s="1"/>
  <c r="G46" i="115"/>
  <c r="H60" i="115"/>
  <c r="G60" i="115" s="1"/>
  <c r="H171" i="112"/>
  <c r="H7" i="112"/>
  <c r="I36" i="111"/>
  <c r="I36" i="115"/>
  <c r="I9" i="115" s="1"/>
  <c r="AA22" i="101" s="1"/>
  <c r="K36" i="111"/>
  <c r="K9" i="111" s="1"/>
  <c r="AC14" i="101" s="1"/>
  <c r="H59" i="113"/>
  <c r="G59" i="113" s="1"/>
  <c r="I150" i="113"/>
  <c r="I149" i="113"/>
  <c r="J149" i="113" s="1"/>
  <c r="J151" i="113" s="1"/>
  <c r="G50" i="111"/>
  <c r="G48" i="113"/>
  <c r="G49" i="111"/>
  <c r="G50" i="109"/>
  <c r="G47" i="111"/>
  <c r="H60" i="112"/>
  <c r="G60" i="112" s="1"/>
  <c r="H63" i="112"/>
  <c r="H63" i="115"/>
  <c r="G63" i="115" s="1"/>
  <c r="G46" i="109"/>
  <c r="H60" i="109"/>
  <c r="H63" i="109"/>
  <c r="G63" i="109" s="1"/>
  <c r="H60" i="110"/>
  <c r="H107" i="111"/>
  <c r="G45" i="115"/>
  <c r="G49" i="112"/>
  <c r="G47" i="109"/>
  <c r="H65" i="114"/>
  <c r="I49" i="110"/>
  <c r="I63" i="110" s="1"/>
  <c r="G46" i="110"/>
  <c r="H101" i="112"/>
  <c r="H61" i="109"/>
  <c r="H52" i="111"/>
  <c r="I49" i="111"/>
  <c r="I63" i="111" s="1"/>
  <c r="I48" i="113"/>
  <c r="I62" i="113" s="1"/>
  <c r="H62" i="113"/>
  <c r="I49" i="114"/>
  <c r="I63" i="114" s="1"/>
  <c r="G49" i="115"/>
  <c r="J151" i="115"/>
  <c r="J153" i="115" s="1"/>
  <c r="H64" i="113"/>
  <c r="G64" i="113" s="1"/>
  <c r="I49" i="115"/>
  <c r="I63" i="115" s="1"/>
  <c r="G49" i="109"/>
  <c r="H61" i="110"/>
  <c r="I48" i="112"/>
  <c r="I62" i="112" s="1"/>
  <c r="H61" i="112"/>
  <c r="G61" i="112" s="1"/>
  <c r="G51" i="114"/>
  <c r="H103" i="115"/>
  <c r="H169" i="115"/>
  <c r="J48" i="112"/>
  <c r="J62" i="112" s="1"/>
  <c r="J49" i="111"/>
  <c r="J63" i="111" s="1"/>
  <c r="H102" i="109"/>
  <c r="H64" i="112"/>
  <c r="G64" i="112" s="1"/>
  <c r="H102" i="112"/>
  <c r="H59" i="111"/>
  <c r="G59" i="111" s="1"/>
  <c r="H170" i="111"/>
  <c r="H153" i="112"/>
  <c r="H153" i="113"/>
  <c r="H107" i="115"/>
  <c r="I151" i="115"/>
  <c r="I153" i="115" s="1"/>
  <c r="G46" i="112"/>
  <c r="H61" i="114"/>
  <c r="I48" i="110"/>
  <c r="I62" i="110" s="1"/>
  <c r="I48" i="115"/>
  <c r="I62" i="115" s="1"/>
  <c r="G48" i="110"/>
  <c r="J48" i="111"/>
  <c r="J62" i="111" s="1"/>
  <c r="H105" i="112"/>
  <c r="G48" i="115"/>
  <c r="J48" i="110"/>
  <c r="J62" i="110" s="1"/>
  <c r="K36" i="110"/>
  <c r="J36" i="114"/>
  <c r="H7" i="110"/>
  <c r="I36" i="112"/>
  <c r="G34" i="114"/>
  <c r="G36" i="114" s="1"/>
  <c r="H7" i="115"/>
  <c r="H36" i="112"/>
  <c r="H9" i="112" s="1"/>
  <c r="Z16" i="101" s="1"/>
  <c r="G34" i="115"/>
  <c r="G36" i="115" s="1"/>
  <c r="H7" i="114"/>
  <c r="J7" i="114"/>
  <c r="K8" i="110"/>
  <c r="AC11" i="101" s="1"/>
  <c r="J36" i="112"/>
  <c r="I8" i="112"/>
  <c r="AA15" i="101" s="1"/>
  <c r="I153" i="110"/>
  <c r="K151" i="110"/>
  <c r="K153" i="110" s="1"/>
  <c r="J151" i="110"/>
  <c r="J153" i="110" s="1"/>
  <c r="K153" i="115"/>
  <c r="H101" i="109"/>
  <c r="J7" i="111"/>
  <c r="J36" i="111"/>
  <c r="H59" i="109"/>
  <c r="I7" i="109"/>
  <c r="I36" i="109"/>
  <c r="I150" i="109"/>
  <c r="J150" i="109" s="1"/>
  <c r="J7" i="109"/>
  <c r="J36" i="109"/>
  <c r="H65" i="109"/>
  <c r="H9" i="111"/>
  <c r="Z14" i="101" s="1"/>
  <c r="G36" i="109"/>
  <c r="H36" i="109"/>
  <c r="H173" i="109"/>
  <c r="K36" i="109"/>
  <c r="H62" i="109"/>
  <c r="J48" i="109"/>
  <c r="J62" i="109" s="1"/>
  <c r="I8" i="110"/>
  <c r="AA11" i="101" s="1"/>
  <c r="I36" i="110"/>
  <c r="H52" i="109"/>
  <c r="G45" i="109"/>
  <c r="I48" i="109"/>
  <c r="I62" i="109" s="1"/>
  <c r="J8" i="110"/>
  <c r="AB11" i="101" s="1"/>
  <c r="H102" i="111"/>
  <c r="H172" i="111"/>
  <c r="H170" i="110"/>
  <c r="H174" i="110" s="1"/>
  <c r="I148" i="109"/>
  <c r="J36" i="110"/>
  <c r="K7" i="111"/>
  <c r="H153" i="110"/>
  <c r="H104" i="111"/>
  <c r="H52" i="112"/>
  <c r="G45" i="112"/>
  <c r="H59" i="112"/>
  <c r="G34" i="110"/>
  <c r="G36" i="110" s="1"/>
  <c r="G49" i="110"/>
  <c r="H63" i="110"/>
  <c r="G48" i="111"/>
  <c r="H52" i="110"/>
  <c r="H65" i="111"/>
  <c r="J65" i="111"/>
  <c r="H105" i="111"/>
  <c r="I48" i="111"/>
  <c r="I62" i="111" s="1"/>
  <c r="I65" i="111"/>
  <c r="H106" i="111"/>
  <c r="I151" i="111"/>
  <c r="I153" i="111" s="1"/>
  <c r="H169" i="111"/>
  <c r="J151" i="111"/>
  <c r="H64" i="110"/>
  <c r="G34" i="111"/>
  <c r="G36" i="111" s="1"/>
  <c r="H7" i="111"/>
  <c r="J8" i="109"/>
  <c r="AB9" i="101" s="1"/>
  <c r="H101" i="110"/>
  <c r="H153" i="111"/>
  <c r="H65" i="112"/>
  <c r="H103" i="113"/>
  <c r="H168" i="111"/>
  <c r="H167" i="111"/>
  <c r="K36" i="112"/>
  <c r="J8" i="113"/>
  <c r="AB17" i="101" s="1"/>
  <c r="G51" i="110"/>
  <c r="H62" i="112"/>
  <c r="H107" i="112"/>
  <c r="H63" i="113"/>
  <c r="J63" i="113"/>
  <c r="I49" i="113"/>
  <c r="I63" i="113" s="1"/>
  <c r="G49" i="113"/>
  <c r="H168" i="114"/>
  <c r="H59" i="110"/>
  <c r="H169" i="112"/>
  <c r="H60" i="113"/>
  <c r="H52" i="113"/>
  <c r="G46" i="113"/>
  <c r="H170" i="112"/>
  <c r="I149" i="112"/>
  <c r="I151" i="112" s="1"/>
  <c r="G34" i="113"/>
  <c r="G36" i="113" s="1"/>
  <c r="H7" i="113"/>
  <c r="H36" i="113"/>
  <c r="G51" i="113"/>
  <c r="H65" i="113"/>
  <c r="J150" i="112"/>
  <c r="J7" i="113"/>
  <c r="J36" i="113"/>
  <c r="H102" i="113"/>
  <c r="H106" i="113"/>
  <c r="I48" i="114"/>
  <c r="I62" i="114" s="1"/>
  <c r="G48" i="114"/>
  <c r="K8" i="114"/>
  <c r="AC19" i="101" s="1"/>
  <c r="J48" i="114"/>
  <c r="J62" i="114" s="1"/>
  <c r="H52" i="114"/>
  <c r="H63" i="114"/>
  <c r="H105" i="114"/>
  <c r="H169" i="113"/>
  <c r="K36" i="114"/>
  <c r="I36" i="113"/>
  <c r="G45" i="114"/>
  <c r="J49" i="114"/>
  <c r="J63" i="114" s="1"/>
  <c r="K36" i="113"/>
  <c r="H107" i="114"/>
  <c r="J8" i="114"/>
  <c r="AB19" i="101" s="1"/>
  <c r="I7" i="114"/>
  <c r="I36" i="114"/>
  <c r="H60" i="114"/>
  <c r="H52" i="115"/>
  <c r="H172" i="115"/>
  <c r="G47" i="115"/>
  <c r="G50" i="115"/>
  <c r="H153" i="115"/>
  <c r="J36" i="115"/>
  <c r="H170" i="115"/>
  <c r="G50" i="114"/>
  <c r="K36" i="115"/>
  <c r="H172" i="113"/>
  <c r="H153" i="114"/>
  <c r="H170" i="114"/>
  <c r="G51" i="115"/>
  <c r="I8" i="115"/>
  <c r="AA21" i="101" s="1"/>
  <c r="K64" i="111" l="1"/>
  <c r="K60" i="111"/>
  <c r="G60" i="111"/>
  <c r="K60" i="114"/>
  <c r="K60" i="110"/>
  <c r="K60" i="109"/>
  <c r="K60" i="115"/>
  <c r="K60" i="112"/>
  <c r="K60" i="113"/>
  <c r="K149" i="113"/>
  <c r="K151" i="113" s="1"/>
  <c r="J153" i="113"/>
  <c r="G61" i="110"/>
  <c r="H174" i="114"/>
  <c r="AC23" i="101"/>
  <c r="AA23" i="101"/>
  <c r="I9" i="111"/>
  <c r="AA14" i="101" s="1"/>
  <c r="AB23" i="101"/>
  <c r="H183" i="109"/>
  <c r="H181" i="109"/>
  <c r="H184" i="109"/>
  <c r="K9" i="110"/>
  <c r="AC12" i="101" s="1"/>
  <c r="I9" i="112"/>
  <c r="AA16" i="101" s="1"/>
  <c r="J9" i="112"/>
  <c r="AB16" i="101" s="1"/>
  <c r="J9" i="114"/>
  <c r="AB20" i="101" s="1"/>
  <c r="R162" i="109"/>
  <c r="G61" i="114"/>
  <c r="G62" i="111"/>
  <c r="H182" i="109"/>
  <c r="I50" i="111"/>
  <c r="I151" i="113"/>
  <c r="I153" i="113" s="1"/>
  <c r="H186" i="109"/>
  <c r="J64" i="110"/>
  <c r="H187" i="109"/>
  <c r="H185" i="109"/>
  <c r="K183" i="109"/>
  <c r="K185" i="109"/>
  <c r="K187" i="109"/>
  <c r="K181" i="109"/>
  <c r="J187" i="109"/>
  <c r="J181" i="109"/>
  <c r="I187" i="109"/>
  <c r="I183" i="109"/>
  <c r="I182" i="109"/>
  <c r="I185" i="109"/>
  <c r="I181" i="109"/>
  <c r="I50" i="110"/>
  <c r="G52" i="111"/>
  <c r="H174" i="115"/>
  <c r="I50" i="112"/>
  <c r="H174" i="113"/>
  <c r="J64" i="112"/>
  <c r="G60" i="110"/>
  <c r="I50" i="114"/>
  <c r="I50" i="109"/>
  <c r="I64" i="109" s="1"/>
  <c r="G65" i="114"/>
  <c r="G63" i="112"/>
  <c r="J185" i="109"/>
  <c r="J182" i="109"/>
  <c r="G60" i="109"/>
  <c r="G52" i="112"/>
  <c r="G62" i="113"/>
  <c r="I50" i="113"/>
  <c r="G52" i="109"/>
  <c r="G61" i="109"/>
  <c r="J183" i="109"/>
  <c r="G52" i="110"/>
  <c r="J64" i="111"/>
  <c r="H174" i="112"/>
  <c r="K151" i="114"/>
  <c r="K153" i="114" s="1"/>
  <c r="I50" i="115"/>
  <c r="I64" i="115" s="1"/>
  <c r="I66" i="115" s="1"/>
  <c r="J64" i="115"/>
  <c r="J66" i="115" s="1"/>
  <c r="K9" i="115"/>
  <c r="AC22" i="101" s="1"/>
  <c r="I9" i="114"/>
  <c r="AA20" i="101" s="1"/>
  <c r="G52" i="113"/>
  <c r="G59" i="112"/>
  <c r="J9" i="110"/>
  <c r="AB12" i="101" s="1"/>
  <c r="J149" i="112"/>
  <c r="J151" i="112" s="1"/>
  <c r="G52" i="115"/>
  <c r="I153" i="112"/>
  <c r="G62" i="112"/>
  <c r="J9" i="109"/>
  <c r="AB10" i="101" s="1"/>
  <c r="G66" i="115"/>
  <c r="G65" i="113"/>
  <c r="I9" i="110"/>
  <c r="AA12" i="101" s="1"/>
  <c r="G65" i="112"/>
  <c r="J153" i="111"/>
  <c r="K9" i="114"/>
  <c r="AC20" i="101" s="1"/>
  <c r="H9" i="113"/>
  <c r="Z18" i="101" s="1"/>
  <c r="G60" i="113"/>
  <c r="K9" i="112"/>
  <c r="AC16" i="101" s="1"/>
  <c r="G63" i="110"/>
  <c r="J9" i="113"/>
  <c r="AB18" i="101" s="1"/>
  <c r="H174" i="111"/>
  <c r="G52" i="114"/>
  <c r="G63" i="114"/>
  <c r="H127" i="109"/>
  <c r="H114" i="109"/>
  <c r="H123" i="109"/>
  <c r="H116" i="109"/>
  <c r="H112" i="109"/>
  <c r="H125" i="109"/>
  <c r="H9" i="109"/>
  <c r="Z10" i="101" s="1"/>
  <c r="H124" i="109"/>
  <c r="H111" i="109"/>
  <c r="H122" i="109"/>
  <c r="H113" i="109"/>
  <c r="H117" i="109"/>
  <c r="H128" i="109"/>
  <c r="H115" i="109"/>
  <c r="H126" i="109"/>
  <c r="H167" i="109"/>
  <c r="H153" i="109"/>
  <c r="G59" i="110"/>
  <c r="G63" i="113"/>
  <c r="G59" i="109"/>
  <c r="K9" i="113"/>
  <c r="AC18" i="101" s="1"/>
  <c r="G64" i="110"/>
  <c r="H170" i="109"/>
  <c r="I149" i="109"/>
  <c r="J9" i="111"/>
  <c r="AB14" i="101" s="1"/>
  <c r="J9" i="115"/>
  <c r="AB22" i="101" s="1"/>
  <c r="G60" i="114"/>
  <c r="I153" i="114"/>
  <c r="G65" i="111"/>
  <c r="K9" i="109"/>
  <c r="AC10" i="101" s="1"/>
  <c r="G65" i="109"/>
  <c r="I9" i="109"/>
  <c r="AA10" i="101" s="1"/>
  <c r="I9" i="113"/>
  <c r="AA18" i="101" s="1"/>
  <c r="G62" i="109"/>
  <c r="K66" i="111" l="1"/>
  <c r="K52" i="111"/>
  <c r="J66" i="111"/>
  <c r="G66" i="111"/>
  <c r="K64" i="109"/>
  <c r="K52" i="109"/>
  <c r="K64" i="110"/>
  <c r="K66" i="110" s="1"/>
  <c r="K52" i="110"/>
  <c r="K64" i="113"/>
  <c r="K66" i="113" s="1"/>
  <c r="K52" i="113"/>
  <c r="K66" i="114"/>
  <c r="K182" i="109"/>
  <c r="K52" i="115"/>
  <c r="K64" i="115"/>
  <c r="K66" i="115" s="1"/>
  <c r="K64" i="112"/>
  <c r="K66" i="112" s="1"/>
  <c r="K52" i="112"/>
  <c r="I52" i="111"/>
  <c r="I64" i="111"/>
  <c r="I69" i="111" s="1"/>
  <c r="H133" i="109"/>
  <c r="H13" i="109" s="1"/>
  <c r="I69" i="115"/>
  <c r="J52" i="113"/>
  <c r="J64" i="113"/>
  <c r="J66" i="113" s="1"/>
  <c r="I55" i="113"/>
  <c r="I66" i="113"/>
  <c r="J52" i="112"/>
  <c r="I55" i="110"/>
  <c r="I64" i="110"/>
  <c r="I69" i="110" s="1"/>
  <c r="J52" i="109"/>
  <c r="J64" i="109"/>
  <c r="H188" i="109"/>
  <c r="I52" i="110"/>
  <c r="AC24" i="101"/>
  <c r="AC25" i="101" s="1"/>
  <c r="Z24" i="101"/>
  <c r="AB24" i="101"/>
  <c r="AA24" i="101"/>
  <c r="AA25" i="101" s="1"/>
  <c r="I52" i="113"/>
  <c r="I184" i="109"/>
  <c r="G66" i="114"/>
  <c r="J52" i="115"/>
  <c r="K153" i="113"/>
  <c r="I55" i="112"/>
  <c r="J52" i="110"/>
  <c r="J153" i="112"/>
  <c r="J52" i="111"/>
  <c r="J52" i="114"/>
  <c r="I52" i="112"/>
  <c r="I52" i="114"/>
  <c r="I55" i="114"/>
  <c r="I55" i="111"/>
  <c r="I55" i="109"/>
  <c r="J66" i="110"/>
  <c r="I52" i="109"/>
  <c r="I66" i="112"/>
  <c r="I66" i="109"/>
  <c r="I69" i="114"/>
  <c r="I151" i="109"/>
  <c r="I153" i="109" s="1"/>
  <c r="I55" i="115"/>
  <c r="H174" i="109"/>
  <c r="I52" i="115"/>
  <c r="H138" i="109"/>
  <c r="H18" i="109" s="1"/>
  <c r="H139" i="109"/>
  <c r="H19" i="109" s="1"/>
  <c r="H134" i="109"/>
  <c r="H14" i="109" s="1"/>
  <c r="H137" i="109"/>
  <c r="H17" i="109" s="1"/>
  <c r="H136" i="109"/>
  <c r="H16" i="109" s="1"/>
  <c r="G66" i="112"/>
  <c r="J153" i="114"/>
  <c r="J149" i="109"/>
  <c r="J184" i="109" s="1"/>
  <c r="H135" i="109"/>
  <c r="H15" i="109" s="1"/>
  <c r="K149" i="112"/>
  <c r="H129" i="109"/>
  <c r="H118" i="109"/>
  <c r="G66" i="110"/>
  <c r="G66" i="109"/>
  <c r="G66" i="113"/>
  <c r="I82" i="114" l="1"/>
  <c r="I84" i="114"/>
  <c r="I86" i="114"/>
  <c r="I87" i="114"/>
  <c r="I83" i="114"/>
  <c r="I85" i="114"/>
  <c r="I81" i="114"/>
  <c r="I82" i="113"/>
  <c r="I86" i="113"/>
  <c r="I87" i="113"/>
  <c r="I83" i="113"/>
  <c r="I84" i="113"/>
  <c r="I85" i="113"/>
  <c r="I81" i="113"/>
  <c r="I85" i="115"/>
  <c r="I81" i="115"/>
  <c r="I84" i="115"/>
  <c r="I82" i="115"/>
  <c r="I83" i="115"/>
  <c r="I87" i="115"/>
  <c r="I86" i="115"/>
  <c r="I81" i="111"/>
  <c r="I83" i="111"/>
  <c r="I82" i="111"/>
  <c r="I84" i="111"/>
  <c r="I85" i="111"/>
  <c r="I86" i="111"/>
  <c r="I87" i="111"/>
  <c r="I87" i="112"/>
  <c r="I82" i="112"/>
  <c r="I83" i="112"/>
  <c r="I84" i="112"/>
  <c r="I81" i="112"/>
  <c r="I85" i="112"/>
  <c r="I86" i="112"/>
  <c r="I84" i="109"/>
  <c r="I87" i="109"/>
  <c r="I82" i="109"/>
  <c r="I83" i="109"/>
  <c r="I81" i="109"/>
  <c r="I85" i="109"/>
  <c r="I86" i="109"/>
  <c r="I84" i="110"/>
  <c r="I85" i="110"/>
  <c r="I86" i="110"/>
  <c r="I87" i="110"/>
  <c r="I81" i="110"/>
  <c r="I83" i="110"/>
  <c r="I82" i="110"/>
  <c r="J66" i="109"/>
  <c r="K66" i="109"/>
  <c r="I66" i="111"/>
  <c r="I66" i="110"/>
  <c r="J66" i="114"/>
  <c r="I186" i="109"/>
  <c r="I188" i="109" s="1"/>
  <c r="K151" i="112"/>
  <c r="K153" i="112" s="1"/>
  <c r="J151" i="109"/>
  <c r="J186" i="109" s="1"/>
  <c r="K149" i="109"/>
  <c r="K184" i="109" s="1"/>
  <c r="J66" i="112"/>
  <c r="I69" i="112"/>
  <c r="I69" i="109"/>
  <c r="I66" i="114"/>
  <c r="I69" i="113"/>
  <c r="H140" i="109"/>
  <c r="J188" i="109" l="1"/>
  <c r="J153" i="109"/>
  <c r="K151" i="109"/>
  <c r="K186" i="109" s="1"/>
  <c r="H20" i="109"/>
  <c r="K188" i="109" l="1"/>
  <c r="K153" i="109"/>
  <c r="H73" i="103" l="1"/>
  <c r="H73" i="108"/>
  <c r="H73" i="107"/>
  <c r="H73" i="106"/>
  <c r="H73" i="105"/>
  <c r="H73" i="104"/>
  <c r="H147" i="103" l="1"/>
  <c r="H148" i="103"/>
  <c r="H149" i="103"/>
  <c r="K149" i="103" s="1"/>
  <c r="H150" i="103"/>
  <c r="I150" i="103" s="1"/>
  <c r="J150" i="103" s="1"/>
  <c r="K150" i="103" s="1"/>
  <c r="H151" i="103"/>
  <c r="H152" i="103"/>
  <c r="H146" i="103"/>
  <c r="I146" i="103" s="1"/>
  <c r="J146" i="103" s="1"/>
  <c r="K146" i="103" s="1"/>
  <c r="H147" i="108"/>
  <c r="H148" i="108"/>
  <c r="H149" i="108"/>
  <c r="K149" i="108" s="1"/>
  <c r="H150" i="108"/>
  <c r="I150" i="108" s="1"/>
  <c r="J150" i="108" s="1"/>
  <c r="K150" i="108" s="1"/>
  <c r="H151" i="108"/>
  <c r="I151" i="108" s="1"/>
  <c r="J151" i="108" s="1"/>
  <c r="K151" i="108" s="1"/>
  <c r="H152" i="108"/>
  <c r="H146" i="108"/>
  <c r="H147" i="107"/>
  <c r="H148" i="107"/>
  <c r="I148" i="107" s="1"/>
  <c r="J148" i="107" s="1"/>
  <c r="K148" i="107" s="1"/>
  <c r="H149" i="107"/>
  <c r="I149" i="107" s="1"/>
  <c r="J149" i="107" s="1"/>
  <c r="K149" i="107" s="1"/>
  <c r="H150" i="107"/>
  <c r="I150" i="107" s="1"/>
  <c r="J150" i="107" s="1"/>
  <c r="K150" i="107" s="1"/>
  <c r="H151" i="107"/>
  <c r="I151" i="107" s="1"/>
  <c r="J151" i="107" s="1"/>
  <c r="K151" i="107" s="1"/>
  <c r="H152" i="107"/>
  <c r="H146" i="107"/>
  <c r="H147" i="106"/>
  <c r="H148" i="106"/>
  <c r="H149" i="106"/>
  <c r="K149" i="106" s="1"/>
  <c r="H150" i="106"/>
  <c r="I150" i="106" s="1"/>
  <c r="J150" i="106" s="1"/>
  <c r="K150" i="106" s="1"/>
  <c r="H151" i="106"/>
  <c r="I151" i="106" s="1"/>
  <c r="J151" i="106" s="1"/>
  <c r="K151" i="106" s="1"/>
  <c r="H152" i="106"/>
  <c r="H146" i="106"/>
  <c r="H147" i="105"/>
  <c r="H148" i="105"/>
  <c r="I148" i="105" s="1"/>
  <c r="J148" i="105" s="1"/>
  <c r="K148" i="105" s="1"/>
  <c r="H149" i="105"/>
  <c r="K149" i="105" s="1"/>
  <c r="H150" i="105"/>
  <c r="I150" i="105" s="1"/>
  <c r="J150" i="105" s="1"/>
  <c r="K150" i="105" s="1"/>
  <c r="H151" i="105"/>
  <c r="I151" i="105" s="1"/>
  <c r="H152" i="105"/>
  <c r="H146" i="105"/>
  <c r="I146" i="105" s="1"/>
  <c r="J146" i="105" s="1"/>
  <c r="K146" i="105" s="1"/>
  <c r="H82" i="103"/>
  <c r="H102" i="103" s="1"/>
  <c r="H83" i="103"/>
  <c r="H103" i="103" s="1"/>
  <c r="H84" i="103"/>
  <c r="H85" i="103"/>
  <c r="H86" i="103"/>
  <c r="H87" i="103"/>
  <c r="G87" i="103" s="1"/>
  <c r="G107" i="103" s="1"/>
  <c r="H81" i="103"/>
  <c r="H82" i="108"/>
  <c r="H102" i="108" s="1"/>
  <c r="H83" i="108"/>
  <c r="G83" i="108" s="1"/>
  <c r="H84" i="108"/>
  <c r="H104" i="108" s="1"/>
  <c r="H85" i="108"/>
  <c r="G85" i="108" s="1"/>
  <c r="H86" i="108"/>
  <c r="H106" i="108" s="1"/>
  <c r="H87" i="108"/>
  <c r="G87" i="108" s="1"/>
  <c r="H81" i="108"/>
  <c r="G81" i="108" s="1"/>
  <c r="H82" i="107"/>
  <c r="G82" i="107" s="1"/>
  <c r="H83" i="107"/>
  <c r="H103" i="107" s="1"/>
  <c r="H84" i="107"/>
  <c r="G84" i="107" s="1"/>
  <c r="H85" i="107"/>
  <c r="H105" i="107" s="1"/>
  <c r="H86" i="107"/>
  <c r="H106" i="107" s="1"/>
  <c r="H87" i="107"/>
  <c r="H107" i="107" s="1"/>
  <c r="H81" i="107"/>
  <c r="H101" i="107" s="1"/>
  <c r="H82" i="106"/>
  <c r="H102" i="106" s="1"/>
  <c r="H83" i="106"/>
  <c r="H103" i="106" s="1"/>
  <c r="H84" i="106"/>
  <c r="G84" i="106" s="1"/>
  <c r="H85" i="106"/>
  <c r="H105" i="106" s="1"/>
  <c r="H86" i="106"/>
  <c r="G86" i="106" s="1"/>
  <c r="H87" i="106"/>
  <c r="H81" i="106"/>
  <c r="H101" i="106" s="1"/>
  <c r="H82" i="105"/>
  <c r="G82" i="105" s="1"/>
  <c r="H83" i="105"/>
  <c r="H103" i="105" s="1"/>
  <c r="H84" i="105"/>
  <c r="H104" i="105" s="1"/>
  <c r="H85" i="105"/>
  <c r="H105" i="105" s="1"/>
  <c r="H86" i="105"/>
  <c r="H87" i="105"/>
  <c r="G87" i="105" s="1"/>
  <c r="H81" i="105"/>
  <c r="H101" i="105" s="1"/>
  <c r="H82" i="104"/>
  <c r="G82" i="104" s="1"/>
  <c r="H83" i="104"/>
  <c r="H103" i="104" s="1"/>
  <c r="H84" i="104"/>
  <c r="H104" i="104" s="1"/>
  <c r="H85" i="104"/>
  <c r="H86" i="104"/>
  <c r="H106" i="104" s="1"/>
  <c r="H87" i="104"/>
  <c r="H81" i="104"/>
  <c r="G81" i="104" s="1"/>
  <c r="H46" i="103"/>
  <c r="H47" i="103"/>
  <c r="H61" i="103" s="1"/>
  <c r="G61" i="103" s="1"/>
  <c r="H48" i="103"/>
  <c r="J48" i="103" s="1"/>
  <c r="H49" i="103"/>
  <c r="J49" i="103" s="1"/>
  <c r="H50" i="103"/>
  <c r="G50" i="103" s="1"/>
  <c r="H51" i="103"/>
  <c r="H45" i="103"/>
  <c r="G45" i="103" s="1"/>
  <c r="H46" i="108"/>
  <c r="H60" i="108" s="1"/>
  <c r="K64" i="108" s="1"/>
  <c r="H47" i="108"/>
  <c r="H48" i="108"/>
  <c r="H62" i="108" s="1"/>
  <c r="H49" i="108"/>
  <c r="H50" i="108"/>
  <c r="H51" i="108"/>
  <c r="J51" i="108" s="1"/>
  <c r="H45" i="108"/>
  <c r="J45" i="108" s="1"/>
  <c r="H46" i="107"/>
  <c r="J46" i="107" s="1"/>
  <c r="H47" i="107"/>
  <c r="H61" i="107" s="1"/>
  <c r="H48" i="107"/>
  <c r="J48" i="107" s="1"/>
  <c r="H49" i="107"/>
  <c r="J49" i="107" s="1"/>
  <c r="H50" i="107"/>
  <c r="H64" i="107" s="1"/>
  <c r="H51" i="107"/>
  <c r="G51" i="107" s="1"/>
  <c r="H45" i="107"/>
  <c r="H46" i="106"/>
  <c r="H47" i="106"/>
  <c r="H48" i="106"/>
  <c r="H62" i="106" s="1"/>
  <c r="J62" i="106" s="1"/>
  <c r="H49" i="106"/>
  <c r="H50" i="106"/>
  <c r="H51" i="106"/>
  <c r="J51" i="106" s="1"/>
  <c r="H45" i="106"/>
  <c r="J45" i="106" s="1"/>
  <c r="H46" i="105"/>
  <c r="J46" i="105" s="1"/>
  <c r="H47" i="105"/>
  <c r="H48" i="105"/>
  <c r="J48" i="105" s="1"/>
  <c r="H49" i="105"/>
  <c r="J49" i="105" s="1"/>
  <c r="H50" i="105"/>
  <c r="J50" i="105" s="1"/>
  <c r="H51" i="105"/>
  <c r="H45" i="105"/>
  <c r="H46" i="104"/>
  <c r="I46" i="104" s="1"/>
  <c r="H47" i="104"/>
  <c r="H48" i="104"/>
  <c r="G48" i="104" s="1"/>
  <c r="H49" i="104"/>
  <c r="H63" i="104" s="1"/>
  <c r="H50" i="104"/>
  <c r="H51" i="104"/>
  <c r="H45" i="104"/>
  <c r="G45" i="104" s="1"/>
  <c r="J35" i="103"/>
  <c r="K35" i="103"/>
  <c r="I35" i="103"/>
  <c r="I34" i="103"/>
  <c r="J34" i="103"/>
  <c r="J7" i="103" s="1"/>
  <c r="K34" i="103"/>
  <c r="K7" i="103" s="1"/>
  <c r="H34" i="103"/>
  <c r="G34" i="103" s="1"/>
  <c r="G36" i="103" s="1"/>
  <c r="J35" i="108"/>
  <c r="J8" i="108" s="1"/>
  <c r="E19" i="101" s="1"/>
  <c r="K35" i="108"/>
  <c r="I35" i="108"/>
  <c r="I8" i="108" s="1"/>
  <c r="D19" i="101" s="1"/>
  <c r="I34" i="108"/>
  <c r="I7" i="108" s="1"/>
  <c r="J34" i="108"/>
  <c r="J7" i="108" s="1"/>
  <c r="K34" i="108"/>
  <c r="K7" i="108" s="1"/>
  <c r="H34" i="108"/>
  <c r="J35" i="107"/>
  <c r="K35" i="107"/>
  <c r="K8" i="107" s="1"/>
  <c r="F17" i="101" s="1"/>
  <c r="I35" i="107"/>
  <c r="I34" i="107"/>
  <c r="I7" i="107" s="1"/>
  <c r="J34" i="107"/>
  <c r="J7" i="107" s="1"/>
  <c r="K34" i="107"/>
  <c r="K7" i="107" s="1"/>
  <c r="H34" i="107"/>
  <c r="G34" i="107" s="1"/>
  <c r="G36" i="107" s="1"/>
  <c r="J35" i="106"/>
  <c r="J8" i="106" s="1"/>
  <c r="E15" i="101" s="1"/>
  <c r="K35" i="106"/>
  <c r="K8" i="106" s="1"/>
  <c r="F15" i="101" s="1"/>
  <c r="I35" i="106"/>
  <c r="I8" i="106" s="1"/>
  <c r="D15" i="101" s="1"/>
  <c r="I34" i="106"/>
  <c r="I7" i="106" s="1"/>
  <c r="J34" i="106"/>
  <c r="J7" i="106" s="1"/>
  <c r="K34" i="106"/>
  <c r="K7" i="106" s="1"/>
  <c r="H34" i="106"/>
  <c r="H36" i="106" s="1"/>
  <c r="J35" i="105"/>
  <c r="K35" i="105"/>
  <c r="K8" i="105" s="1"/>
  <c r="F13" i="101" s="1"/>
  <c r="I35" i="105"/>
  <c r="I8" i="105" s="1"/>
  <c r="D13" i="101" s="1"/>
  <c r="I34" i="105"/>
  <c r="I7" i="105" s="1"/>
  <c r="J34" i="105"/>
  <c r="K34" i="105"/>
  <c r="H34" i="105"/>
  <c r="G34" i="105" s="1"/>
  <c r="G36" i="105" s="1"/>
  <c r="J35" i="104"/>
  <c r="J8" i="104" s="1"/>
  <c r="E11" i="101" s="1"/>
  <c r="K35" i="104"/>
  <c r="K8" i="104" s="1"/>
  <c r="F11" i="101" s="1"/>
  <c r="I35" i="104"/>
  <c r="I8" i="104" s="1"/>
  <c r="D11" i="101" s="1"/>
  <c r="I34" i="104"/>
  <c r="I7" i="104" s="1"/>
  <c r="J34" i="104"/>
  <c r="J7" i="104" s="1"/>
  <c r="K34" i="104"/>
  <c r="K7" i="104" s="1"/>
  <c r="H34" i="104"/>
  <c r="H36" i="104" s="1"/>
  <c r="H8" i="104"/>
  <c r="C11" i="101" s="1"/>
  <c r="K52" i="108"/>
  <c r="J49" i="108"/>
  <c r="G49" i="108"/>
  <c r="H8" i="108"/>
  <c r="C19" i="101" s="1"/>
  <c r="K52" i="107"/>
  <c r="H8" i="107"/>
  <c r="C17" i="101" s="1"/>
  <c r="H107" i="106"/>
  <c r="K52" i="106"/>
  <c r="H173" i="106"/>
  <c r="H172" i="106"/>
  <c r="J49" i="106"/>
  <c r="H8" i="106"/>
  <c r="C15" i="101" s="1"/>
  <c r="G84" i="105"/>
  <c r="G104" i="105" s="1"/>
  <c r="H102" i="105"/>
  <c r="K66" i="105"/>
  <c r="K52" i="105"/>
  <c r="H8" i="105"/>
  <c r="C13" i="101" s="1"/>
  <c r="H173" i="104"/>
  <c r="H107" i="104"/>
  <c r="H105" i="104"/>
  <c r="G87" i="104"/>
  <c r="G86" i="104"/>
  <c r="G106" i="104" s="1"/>
  <c r="G85" i="104"/>
  <c r="K52" i="104"/>
  <c r="J48" i="104"/>
  <c r="H173" i="103"/>
  <c r="H170" i="103"/>
  <c r="H107" i="103"/>
  <c r="H105" i="103"/>
  <c r="H104" i="103"/>
  <c r="G86" i="103"/>
  <c r="G85" i="103"/>
  <c r="G84" i="103"/>
  <c r="G104" i="103" s="1"/>
  <c r="G81" i="103"/>
  <c r="G101" i="103" s="1"/>
  <c r="H62" i="103"/>
  <c r="G62" i="103" s="1"/>
  <c r="K52" i="103"/>
  <c r="H8" i="103"/>
  <c r="C21" i="101" s="1"/>
  <c r="K66" i="108" l="1"/>
  <c r="C23" i="101"/>
  <c r="I46" i="106"/>
  <c r="J46" i="106"/>
  <c r="K153" i="107"/>
  <c r="H7" i="103"/>
  <c r="H106" i="106"/>
  <c r="H65" i="108"/>
  <c r="I65" i="108" s="1"/>
  <c r="G82" i="108"/>
  <c r="G85" i="105"/>
  <c r="G105" i="105" s="1"/>
  <c r="G47" i="103"/>
  <c r="G87" i="107"/>
  <c r="G107" i="107" s="1"/>
  <c r="G48" i="103"/>
  <c r="I153" i="107"/>
  <c r="J46" i="108"/>
  <c r="H9" i="106"/>
  <c r="C16" i="101" s="1"/>
  <c r="G83" i="103"/>
  <c r="G103" i="103" s="1"/>
  <c r="G49" i="105"/>
  <c r="I49" i="105"/>
  <c r="G84" i="104"/>
  <c r="G104" i="104" s="1"/>
  <c r="H63" i="105"/>
  <c r="I63" i="105" s="1"/>
  <c r="G46" i="108"/>
  <c r="J48" i="108"/>
  <c r="G49" i="104"/>
  <c r="I49" i="104"/>
  <c r="J49" i="104"/>
  <c r="H7" i="107"/>
  <c r="H60" i="104"/>
  <c r="G82" i="106"/>
  <c r="G102" i="106" s="1"/>
  <c r="G49" i="103"/>
  <c r="G84" i="108"/>
  <c r="G104" i="108" s="1"/>
  <c r="I49" i="103"/>
  <c r="G47" i="107"/>
  <c r="H36" i="107"/>
  <c r="H59" i="106"/>
  <c r="J59" i="106" s="1"/>
  <c r="J46" i="104"/>
  <c r="G85" i="107"/>
  <c r="G105" i="107" s="1"/>
  <c r="I48" i="106"/>
  <c r="J48" i="106"/>
  <c r="G83" i="105"/>
  <c r="G103" i="105" s="1"/>
  <c r="H168" i="105"/>
  <c r="J36" i="103"/>
  <c r="H65" i="106"/>
  <c r="J65" i="106" s="1"/>
  <c r="J36" i="105"/>
  <c r="I45" i="106"/>
  <c r="J7" i="105"/>
  <c r="G51" i="104"/>
  <c r="H168" i="106"/>
  <c r="I36" i="107"/>
  <c r="H7" i="105"/>
  <c r="H107" i="105"/>
  <c r="H101" i="104"/>
  <c r="I36" i="105"/>
  <c r="H36" i="103"/>
  <c r="J36" i="107"/>
  <c r="J8" i="107"/>
  <c r="E17" i="101" s="1"/>
  <c r="I36" i="103"/>
  <c r="I36" i="104"/>
  <c r="I8" i="107"/>
  <c r="D17" i="101" s="1"/>
  <c r="J36" i="104"/>
  <c r="H173" i="105"/>
  <c r="I45" i="103"/>
  <c r="H60" i="105"/>
  <c r="J60" i="105" s="1"/>
  <c r="G83" i="106"/>
  <c r="G103" i="106" s="1"/>
  <c r="G48" i="107"/>
  <c r="G82" i="103"/>
  <c r="G102" i="103" s="1"/>
  <c r="G83" i="104"/>
  <c r="G103" i="104" s="1"/>
  <c r="G46" i="105"/>
  <c r="G50" i="107"/>
  <c r="I46" i="105"/>
  <c r="G81" i="105"/>
  <c r="G101" i="105" s="1"/>
  <c r="I51" i="106"/>
  <c r="H173" i="107"/>
  <c r="I61" i="103"/>
  <c r="I51" i="103"/>
  <c r="H102" i="104"/>
  <c r="G86" i="108"/>
  <c r="G106" i="108" s="1"/>
  <c r="H65" i="103"/>
  <c r="G65" i="103" s="1"/>
  <c r="G51" i="103"/>
  <c r="H7" i="104"/>
  <c r="G34" i="104"/>
  <c r="G36" i="104" s="1"/>
  <c r="H7" i="106"/>
  <c r="G34" i="106"/>
  <c r="G36" i="106" s="1"/>
  <c r="H7" i="108"/>
  <c r="G34" i="108"/>
  <c r="G36" i="108" s="1"/>
  <c r="G86" i="107"/>
  <c r="G106" i="107" s="1"/>
  <c r="H102" i="107"/>
  <c r="H171" i="103"/>
  <c r="H52" i="107"/>
  <c r="G45" i="107"/>
  <c r="K36" i="103"/>
  <c r="K36" i="107"/>
  <c r="K36" i="106"/>
  <c r="G104" i="106"/>
  <c r="I36" i="106"/>
  <c r="H169" i="106"/>
  <c r="J36" i="106"/>
  <c r="I50" i="106"/>
  <c r="H61" i="106"/>
  <c r="H64" i="106"/>
  <c r="G87" i="106"/>
  <c r="G104" i="107"/>
  <c r="J50" i="106"/>
  <c r="G106" i="106"/>
  <c r="G107" i="108"/>
  <c r="J60" i="108"/>
  <c r="I60" i="108"/>
  <c r="G60" i="108"/>
  <c r="G45" i="106"/>
  <c r="G48" i="106"/>
  <c r="G51" i="106"/>
  <c r="G85" i="106"/>
  <c r="H104" i="106"/>
  <c r="H172" i="107"/>
  <c r="I62" i="108"/>
  <c r="G62" i="108"/>
  <c r="J62" i="108"/>
  <c r="H167" i="106"/>
  <c r="H170" i="106"/>
  <c r="G62" i="106"/>
  <c r="H153" i="106"/>
  <c r="I62" i="106"/>
  <c r="H171" i="108"/>
  <c r="G46" i="106"/>
  <c r="G49" i="106"/>
  <c r="G81" i="106"/>
  <c r="H104" i="107"/>
  <c r="G103" i="108"/>
  <c r="I49" i="106"/>
  <c r="H60" i="106"/>
  <c r="H63" i="106"/>
  <c r="H169" i="107"/>
  <c r="H167" i="108"/>
  <c r="H52" i="106"/>
  <c r="G102" i="107"/>
  <c r="G47" i="106"/>
  <c r="G50" i="106"/>
  <c r="G105" i="108"/>
  <c r="G61" i="107"/>
  <c r="G64" i="107"/>
  <c r="H153" i="108"/>
  <c r="H52" i="108"/>
  <c r="G101" i="108"/>
  <c r="K8" i="108"/>
  <c r="F19" i="101" s="1"/>
  <c r="F23" i="101" s="1"/>
  <c r="I46" i="108"/>
  <c r="I49" i="108"/>
  <c r="H63" i="108"/>
  <c r="H101" i="108"/>
  <c r="H103" i="108"/>
  <c r="H105" i="108"/>
  <c r="H107" i="108"/>
  <c r="H173" i="108"/>
  <c r="H36" i="108"/>
  <c r="G47" i="108"/>
  <c r="G50" i="108"/>
  <c r="I45" i="107"/>
  <c r="I48" i="107"/>
  <c r="H59" i="107"/>
  <c r="H62" i="107"/>
  <c r="H65" i="107"/>
  <c r="G83" i="107"/>
  <c r="I36" i="108"/>
  <c r="J45" i="107"/>
  <c r="J36" i="108"/>
  <c r="H61" i="108"/>
  <c r="H64" i="108"/>
  <c r="G46" i="107"/>
  <c r="G49" i="107"/>
  <c r="G81" i="107"/>
  <c r="K36" i="108"/>
  <c r="G102" i="108"/>
  <c r="G45" i="108"/>
  <c r="G48" i="108"/>
  <c r="G51" i="108"/>
  <c r="I46" i="107"/>
  <c r="I49" i="107"/>
  <c r="H60" i="107"/>
  <c r="H63" i="107"/>
  <c r="I45" i="108"/>
  <c r="I48" i="108"/>
  <c r="H59" i="108"/>
  <c r="G47" i="104"/>
  <c r="H61" i="104"/>
  <c r="G101" i="104"/>
  <c r="H106" i="105"/>
  <c r="G86" i="105"/>
  <c r="G105" i="104"/>
  <c r="G107" i="105"/>
  <c r="H169" i="105"/>
  <c r="H170" i="104"/>
  <c r="H168" i="104"/>
  <c r="K7" i="105"/>
  <c r="K36" i="105"/>
  <c r="J63" i="104"/>
  <c r="G63" i="104"/>
  <c r="H167" i="105"/>
  <c r="I63" i="104"/>
  <c r="H9" i="104"/>
  <c r="C12" i="101" s="1"/>
  <c r="G107" i="104"/>
  <c r="G102" i="104"/>
  <c r="K36" i="104"/>
  <c r="G50" i="104"/>
  <c r="H64" i="104"/>
  <c r="J8" i="105"/>
  <c r="E13" i="101" s="1"/>
  <c r="E23" i="101" s="1"/>
  <c r="H52" i="104"/>
  <c r="H172" i="105"/>
  <c r="H52" i="105"/>
  <c r="H36" i="105"/>
  <c r="G47" i="105"/>
  <c r="G50" i="105"/>
  <c r="H153" i="105"/>
  <c r="I48" i="104"/>
  <c r="H59" i="104"/>
  <c r="H62" i="104"/>
  <c r="H65" i="104"/>
  <c r="J45" i="104"/>
  <c r="I50" i="105"/>
  <c r="H61" i="105"/>
  <c r="H64" i="105"/>
  <c r="G46" i="104"/>
  <c r="G102" i="105"/>
  <c r="I45" i="104"/>
  <c r="G45" i="105"/>
  <c r="G48" i="105"/>
  <c r="G51" i="105"/>
  <c r="H171" i="105"/>
  <c r="I48" i="105"/>
  <c r="I51" i="105"/>
  <c r="H59" i="105"/>
  <c r="H62" i="105"/>
  <c r="H65" i="105"/>
  <c r="J45" i="105"/>
  <c r="J52" i="105" s="1"/>
  <c r="G106" i="103"/>
  <c r="I8" i="103"/>
  <c r="D21" i="101" s="1"/>
  <c r="H59" i="103"/>
  <c r="H63" i="103"/>
  <c r="G46" i="103"/>
  <c r="H172" i="103"/>
  <c r="J62" i="103"/>
  <c r="I62" i="103"/>
  <c r="I7" i="103"/>
  <c r="J50" i="103"/>
  <c r="J46" i="103"/>
  <c r="H60" i="103"/>
  <c r="G105" i="103"/>
  <c r="J8" i="103"/>
  <c r="E21" i="101" s="1"/>
  <c r="H101" i="103"/>
  <c r="K8" i="103"/>
  <c r="F21" i="101" s="1"/>
  <c r="I48" i="103"/>
  <c r="H64" i="103"/>
  <c r="H106" i="103"/>
  <c r="I46" i="103"/>
  <c r="H52" i="103"/>
  <c r="J45" i="103"/>
  <c r="M21" i="100"/>
  <c r="F25" i="100"/>
  <c r="G25" i="100"/>
  <c r="H25" i="100"/>
  <c r="J25" i="100"/>
  <c r="K25" i="100"/>
  <c r="L25" i="100"/>
  <c r="G24" i="100"/>
  <c r="H24" i="100"/>
  <c r="J24" i="100"/>
  <c r="K24" i="100"/>
  <c r="L24" i="100"/>
  <c r="K35" i="35"/>
  <c r="K8" i="35" s="1"/>
  <c r="F9" i="101" s="1"/>
  <c r="J35" i="35"/>
  <c r="J8" i="35" s="1"/>
  <c r="E9" i="101" s="1"/>
  <c r="I35" i="35"/>
  <c r="I8" i="35" s="1"/>
  <c r="D9" i="101" s="1"/>
  <c r="K34" i="35"/>
  <c r="J34" i="35"/>
  <c r="I34" i="35"/>
  <c r="D23" i="101" l="1"/>
  <c r="M24" i="100"/>
  <c r="G63" i="105"/>
  <c r="J65" i="108"/>
  <c r="G65" i="108"/>
  <c r="J63" i="105"/>
  <c r="K64" i="103"/>
  <c r="K64" i="107"/>
  <c r="J52" i="108"/>
  <c r="I60" i="104"/>
  <c r="I9" i="104"/>
  <c r="D12" i="101" s="1"/>
  <c r="J9" i="107"/>
  <c r="E18" i="101" s="1"/>
  <c r="H9" i="103"/>
  <c r="C22" i="101" s="1"/>
  <c r="J9" i="103"/>
  <c r="E22" i="101" s="1"/>
  <c r="I9" i="105"/>
  <c r="D14" i="101" s="1"/>
  <c r="K9" i="106"/>
  <c r="F16" i="101" s="1"/>
  <c r="I9" i="107"/>
  <c r="D18" i="101" s="1"/>
  <c r="K9" i="107"/>
  <c r="F18" i="101" s="1"/>
  <c r="J9" i="104"/>
  <c r="E12" i="101" s="1"/>
  <c r="K9" i="103"/>
  <c r="F22" i="101" s="1"/>
  <c r="H9" i="107"/>
  <c r="C18" i="101" s="1"/>
  <c r="H180" i="107"/>
  <c r="I9" i="103"/>
  <c r="D22" i="101" s="1"/>
  <c r="J9" i="105"/>
  <c r="E14" i="101" s="1"/>
  <c r="G60" i="104"/>
  <c r="G59" i="106"/>
  <c r="I59" i="106"/>
  <c r="G60" i="105"/>
  <c r="I60" i="105"/>
  <c r="I65" i="106"/>
  <c r="G65" i="106"/>
  <c r="G52" i="103"/>
  <c r="M20" i="100"/>
  <c r="M19" i="100"/>
  <c r="M12" i="100"/>
  <c r="D17" i="116" s="1"/>
  <c r="M13" i="100"/>
  <c r="D17" i="117" s="1"/>
  <c r="H28" i="100"/>
  <c r="G73" i="112"/>
  <c r="G73" i="115"/>
  <c r="L28" i="100"/>
  <c r="H73" i="115" s="1"/>
  <c r="G73" i="114"/>
  <c r="K28" i="100"/>
  <c r="H73" i="114" s="1"/>
  <c r="G73" i="113"/>
  <c r="J28" i="100"/>
  <c r="H73" i="113" s="1"/>
  <c r="J36" i="35"/>
  <c r="G52" i="107"/>
  <c r="I65" i="103"/>
  <c r="J65" i="103"/>
  <c r="G34" i="35"/>
  <c r="G36" i="35" s="1"/>
  <c r="K36" i="35"/>
  <c r="G73" i="111"/>
  <c r="G28" i="100"/>
  <c r="H73" i="111" s="1"/>
  <c r="F28" i="100"/>
  <c r="H73" i="110" s="1"/>
  <c r="G73" i="110"/>
  <c r="J27" i="100"/>
  <c r="J73" i="107" s="1"/>
  <c r="K179" i="107" s="1"/>
  <c r="I73" i="107"/>
  <c r="H27" i="100"/>
  <c r="I73" i="106"/>
  <c r="G27" i="100"/>
  <c r="J73" i="105" s="1"/>
  <c r="J123" i="105" s="1"/>
  <c r="I73" i="105"/>
  <c r="F27" i="100"/>
  <c r="J73" i="104" s="1"/>
  <c r="I126" i="104" s="1"/>
  <c r="I73" i="104"/>
  <c r="K27" i="100"/>
  <c r="J73" i="108" s="1"/>
  <c r="I73" i="108"/>
  <c r="L27" i="100"/>
  <c r="J73" i="103" s="1"/>
  <c r="I124" i="103" s="1"/>
  <c r="I73" i="103"/>
  <c r="K153" i="106"/>
  <c r="J52" i="103"/>
  <c r="I52" i="106"/>
  <c r="J52" i="104"/>
  <c r="I52" i="103"/>
  <c r="H55" i="108"/>
  <c r="I52" i="108"/>
  <c r="J52" i="106"/>
  <c r="H55" i="105"/>
  <c r="I52" i="104"/>
  <c r="G52" i="104"/>
  <c r="I55" i="108"/>
  <c r="J52" i="107"/>
  <c r="H169" i="108"/>
  <c r="H172" i="108"/>
  <c r="G52" i="106"/>
  <c r="G107" i="106"/>
  <c r="H167" i="107"/>
  <c r="H153" i="107"/>
  <c r="H171" i="107"/>
  <c r="J59" i="107"/>
  <c r="I59" i="107"/>
  <c r="G59" i="107"/>
  <c r="I59" i="108"/>
  <c r="G59" i="108"/>
  <c r="J59" i="108"/>
  <c r="J122" i="108" s="1"/>
  <c r="I63" i="107"/>
  <c r="G63" i="107"/>
  <c r="J63" i="107"/>
  <c r="I52" i="107"/>
  <c r="I55" i="107"/>
  <c r="H168" i="108"/>
  <c r="G64" i="106"/>
  <c r="G61" i="106"/>
  <c r="J62" i="107"/>
  <c r="I62" i="107"/>
  <c r="G62" i="107"/>
  <c r="I60" i="107"/>
  <c r="G60" i="107"/>
  <c r="J60" i="107"/>
  <c r="J64" i="108"/>
  <c r="I64" i="108"/>
  <c r="G64" i="108"/>
  <c r="G61" i="108"/>
  <c r="H170" i="108"/>
  <c r="J63" i="106"/>
  <c r="I63" i="106"/>
  <c r="G63" i="106"/>
  <c r="I55" i="106"/>
  <c r="I9" i="106"/>
  <c r="D16" i="101" s="1"/>
  <c r="J60" i="106"/>
  <c r="I60" i="106"/>
  <c r="G60" i="106"/>
  <c r="K9" i="108"/>
  <c r="F20" i="101" s="1"/>
  <c r="H170" i="107"/>
  <c r="H171" i="106"/>
  <c r="H174" i="106" s="1"/>
  <c r="H168" i="107"/>
  <c r="J9" i="108"/>
  <c r="E20" i="101" s="1"/>
  <c r="I9" i="108"/>
  <c r="D20" i="101" s="1"/>
  <c r="H9" i="108"/>
  <c r="C20" i="101" s="1"/>
  <c r="J63" i="108"/>
  <c r="I63" i="108"/>
  <c r="G63" i="108"/>
  <c r="G101" i="106"/>
  <c r="H55" i="106"/>
  <c r="J9" i="106"/>
  <c r="E16" i="101" s="1"/>
  <c r="G101" i="107"/>
  <c r="H55" i="107"/>
  <c r="G103" i="107"/>
  <c r="G52" i="108"/>
  <c r="J65" i="107"/>
  <c r="I65" i="107"/>
  <c r="G65" i="107"/>
  <c r="G105" i="106"/>
  <c r="H172" i="104"/>
  <c r="J61" i="105"/>
  <c r="I61" i="105"/>
  <c r="G61" i="105"/>
  <c r="H55" i="104"/>
  <c r="K9" i="105"/>
  <c r="F14" i="101" s="1"/>
  <c r="G52" i="105"/>
  <c r="G64" i="104"/>
  <c r="H167" i="104"/>
  <c r="H153" i="104"/>
  <c r="H9" i="105"/>
  <c r="C14" i="101" s="1"/>
  <c r="I55" i="105"/>
  <c r="I52" i="105"/>
  <c r="J65" i="104"/>
  <c r="I65" i="104"/>
  <c r="G65" i="104"/>
  <c r="J62" i="104"/>
  <c r="I62" i="104"/>
  <c r="G62" i="104"/>
  <c r="I55" i="104"/>
  <c r="J59" i="104"/>
  <c r="I59" i="104"/>
  <c r="G59" i="104"/>
  <c r="K9" i="104"/>
  <c r="F12" i="101" s="1"/>
  <c r="G61" i="104"/>
  <c r="H170" i="105"/>
  <c r="H174" i="105" s="1"/>
  <c r="I65" i="105"/>
  <c r="G65" i="105"/>
  <c r="J65" i="105"/>
  <c r="H171" i="104"/>
  <c r="I62" i="105"/>
  <c r="G62" i="105"/>
  <c r="J62" i="105"/>
  <c r="H169" i="104"/>
  <c r="I59" i="105"/>
  <c r="G59" i="105"/>
  <c r="J59" i="105"/>
  <c r="J64" i="105"/>
  <c r="I64" i="105"/>
  <c r="G64" i="105"/>
  <c r="G106" i="105"/>
  <c r="H153" i="103"/>
  <c r="H167" i="103"/>
  <c r="K153" i="103"/>
  <c r="G64" i="103"/>
  <c r="H55" i="103"/>
  <c r="J60" i="103"/>
  <c r="I60" i="103"/>
  <c r="I123" i="103" s="1"/>
  <c r="G60" i="103"/>
  <c r="J63" i="103"/>
  <c r="J126" i="103" s="1"/>
  <c r="I63" i="103"/>
  <c r="I126" i="103" s="1"/>
  <c r="G63" i="103"/>
  <c r="J59" i="103"/>
  <c r="I59" i="103"/>
  <c r="G59" i="103"/>
  <c r="H168" i="103"/>
  <c r="I55" i="103"/>
  <c r="H169" i="103"/>
  <c r="M25" i="100"/>
  <c r="E17" i="117" s="1"/>
  <c r="M15" i="100"/>
  <c r="M17" i="100"/>
  <c r="I36" i="35"/>
  <c r="E17" i="116"/>
  <c r="K7" i="35"/>
  <c r="J7" i="35"/>
  <c r="I7" i="35"/>
  <c r="K52" i="35"/>
  <c r="J128" i="35" l="1"/>
  <c r="J123" i="35"/>
  <c r="J124" i="35"/>
  <c r="I128" i="35"/>
  <c r="I124" i="35"/>
  <c r="K126" i="35"/>
  <c r="K125" i="35"/>
  <c r="K128" i="35"/>
  <c r="K124" i="35"/>
  <c r="K122" i="35"/>
  <c r="K123" i="35"/>
  <c r="J181" i="104"/>
  <c r="K183" i="107"/>
  <c r="I122" i="103"/>
  <c r="J122" i="103"/>
  <c r="H186" i="107"/>
  <c r="J128" i="103"/>
  <c r="I125" i="103"/>
  <c r="I128" i="103"/>
  <c r="H182" i="105"/>
  <c r="J126" i="104"/>
  <c r="G113" i="108"/>
  <c r="K122" i="108"/>
  <c r="K126" i="108"/>
  <c r="K128" i="108"/>
  <c r="K123" i="108"/>
  <c r="K125" i="108"/>
  <c r="J124" i="108"/>
  <c r="I124" i="108"/>
  <c r="K124" i="108"/>
  <c r="H185" i="107"/>
  <c r="K182" i="107"/>
  <c r="H181" i="107"/>
  <c r="H183" i="104"/>
  <c r="K122" i="104"/>
  <c r="I124" i="104"/>
  <c r="K123" i="104"/>
  <c r="J124" i="104"/>
  <c r="K124" i="104"/>
  <c r="K125" i="104"/>
  <c r="K126" i="104"/>
  <c r="K128" i="104"/>
  <c r="H182" i="107"/>
  <c r="H181" i="108"/>
  <c r="H182" i="104"/>
  <c r="J125" i="108"/>
  <c r="H183" i="107"/>
  <c r="J126" i="105"/>
  <c r="G126" i="105"/>
  <c r="K128" i="105"/>
  <c r="K124" i="105"/>
  <c r="K126" i="105"/>
  <c r="K122" i="105"/>
  <c r="K123" i="105"/>
  <c r="K125" i="105"/>
  <c r="H185" i="105"/>
  <c r="H179" i="107"/>
  <c r="I125" i="108"/>
  <c r="H181" i="105"/>
  <c r="J128" i="108"/>
  <c r="I128" i="108"/>
  <c r="I181" i="104"/>
  <c r="H186" i="105"/>
  <c r="J123" i="108"/>
  <c r="I126" i="105"/>
  <c r="H184" i="107"/>
  <c r="K125" i="107"/>
  <c r="K122" i="107"/>
  <c r="K126" i="107"/>
  <c r="K128" i="107"/>
  <c r="K124" i="107"/>
  <c r="I124" i="107"/>
  <c r="J124" i="107"/>
  <c r="K123" i="107"/>
  <c r="H186" i="104"/>
  <c r="K185" i="107"/>
  <c r="I123" i="108"/>
  <c r="H183" i="105"/>
  <c r="I122" i="108"/>
  <c r="J181" i="103"/>
  <c r="J124" i="103"/>
  <c r="K125" i="103"/>
  <c r="K123" i="103"/>
  <c r="K124" i="103"/>
  <c r="K126" i="103"/>
  <c r="K122" i="103"/>
  <c r="K128" i="103"/>
  <c r="K182" i="108"/>
  <c r="K181" i="107"/>
  <c r="I123" i="104"/>
  <c r="J125" i="103"/>
  <c r="J183" i="108"/>
  <c r="J126" i="108"/>
  <c r="I183" i="108"/>
  <c r="I126" i="108"/>
  <c r="J185" i="107"/>
  <c r="J128" i="107"/>
  <c r="I185" i="107"/>
  <c r="I128" i="107"/>
  <c r="I183" i="107"/>
  <c r="I126" i="107"/>
  <c r="J183" i="107"/>
  <c r="J126" i="107"/>
  <c r="I182" i="107"/>
  <c r="I125" i="107"/>
  <c r="J182" i="107"/>
  <c r="J125" i="107"/>
  <c r="I179" i="107"/>
  <c r="I122" i="107"/>
  <c r="J179" i="107"/>
  <c r="J122" i="107"/>
  <c r="J185" i="105"/>
  <c r="J128" i="105"/>
  <c r="I185" i="105"/>
  <c r="I128" i="105"/>
  <c r="J182" i="105"/>
  <c r="J125" i="105"/>
  <c r="I182" i="105"/>
  <c r="I125" i="105"/>
  <c r="J181" i="105"/>
  <c r="J124" i="105"/>
  <c r="I181" i="105"/>
  <c r="I124" i="105"/>
  <c r="I179" i="105"/>
  <c r="I122" i="105"/>
  <c r="J179" i="105"/>
  <c r="J122" i="105"/>
  <c r="J185" i="104"/>
  <c r="J128" i="104"/>
  <c r="I185" i="104"/>
  <c r="I128" i="104"/>
  <c r="I182" i="104"/>
  <c r="I125" i="104"/>
  <c r="J182" i="104"/>
  <c r="J125" i="104"/>
  <c r="I179" i="104"/>
  <c r="I122" i="104"/>
  <c r="J179" i="104"/>
  <c r="J122" i="104"/>
  <c r="J180" i="103"/>
  <c r="J123" i="103"/>
  <c r="K66" i="103"/>
  <c r="J184" i="108"/>
  <c r="I184" i="108"/>
  <c r="J180" i="107"/>
  <c r="J123" i="107"/>
  <c r="I180" i="107"/>
  <c r="I123" i="107"/>
  <c r="K66" i="107"/>
  <c r="I180" i="105"/>
  <c r="I123" i="105"/>
  <c r="I184" i="105"/>
  <c r="J184" i="105"/>
  <c r="I64" i="103"/>
  <c r="J64" i="103"/>
  <c r="J66" i="103" s="1"/>
  <c r="K184" i="107"/>
  <c r="K179" i="103"/>
  <c r="K183" i="108"/>
  <c r="K181" i="103"/>
  <c r="H186" i="108"/>
  <c r="I183" i="105"/>
  <c r="I180" i="104"/>
  <c r="K179" i="108"/>
  <c r="K182" i="103"/>
  <c r="H182" i="108"/>
  <c r="J180" i="108"/>
  <c r="H185" i="104"/>
  <c r="I182" i="108"/>
  <c r="J182" i="108"/>
  <c r="H180" i="105"/>
  <c r="K185" i="104"/>
  <c r="K184" i="105"/>
  <c r="J183" i="104"/>
  <c r="J182" i="103"/>
  <c r="K180" i="104"/>
  <c r="K181" i="105"/>
  <c r="H179" i="104"/>
  <c r="H179" i="103"/>
  <c r="J185" i="103"/>
  <c r="I185" i="108"/>
  <c r="H179" i="105"/>
  <c r="K182" i="104"/>
  <c r="K182" i="105"/>
  <c r="H184" i="103"/>
  <c r="I180" i="108"/>
  <c r="H180" i="104"/>
  <c r="I185" i="103"/>
  <c r="I181" i="103"/>
  <c r="H184" i="105"/>
  <c r="K181" i="104"/>
  <c r="K180" i="105"/>
  <c r="K183" i="105"/>
  <c r="H183" i="108"/>
  <c r="H185" i="103"/>
  <c r="I183" i="103"/>
  <c r="K180" i="108"/>
  <c r="K180" i="107"/>
  <c r="K183" i="104"/>
  <c r="K180" i="103"/>
  <c r="K179" i="105"/>
  <c r="H179" i="108"/>
  <c r="H181" i="103"/>
  <c r="K64" i="106"/>
  <c r="K185" i="105"/>
  <c r="K186" i="103"/>
  <c r="J183" i="103"/>
  <c r="J179" i="108"/>
  <c r="I182" i="103"/>
  <c r="K179" i="104"/>
  <c r="I181" i="107"/>
  <c r="K181" i="108"/>
  <c r="H184" i="108"/>
  <c r="H182" i="103"/>
  <c r="J181" i="107"/>
  <c r="H184" i="104"/>
  <c r="J179" i="103"/>
  <c r="H186" i="103"/>
  <c r="I181" i="108"/>
  <c r="J183" i="105"/>
  <c r="K185" i="103"/>
  <c r="K184" i="103"/>
  <c r="I183" i="104"/>
  <c r="H180" i="108"/>
  <c r="H180" i="103"/>
  <c r="J180" i="105"/>
  <c r="K185" i="108"/>
  <c r="I179" i="103"/>
  <c r="I180" i="103"/>
  <c r="J181" i="108"/>
  <c r="I179" i="108"/>
  <c r="K184" i="108"/>
  <c r="K183" i="103"/>
  <c r="H185" i="108"/>
  <c r="J185" i="108"/>
  <c r="H183" i="103"/>
  <c r="H181" i="104"/>
  <c r="I64" i="107"/>
  <c r="J64" i="107"/>
  <c r="K64" i="104"/>
  <c r="J60" i="104"/>
  <c r="I181" i="35"/>
  <c r="K183" i="35"/>
  <c r="K179" i="35"/>
  <c r="K182" i="35"/>
  <c r="K185" i="35"/>
  <c r="K181" i="35"/>
  <c r="I82" i="103"/>
  <c r="I112" i="103" s="1"/>
  <c r="I83" i="103"/>
  <c r="I113" i="103" s="1"/>
  <c r="I84" i="103"/>
  <c r="I114" i="103" s="1"/>
  <c r="I85" i="103"/>
  <c r="I115" i="103" s="1"/>
  <c r="I86" i="103"/>
  <c r="I87" i="103"/>
  <c r="I117" i="103" s="1"/>
  <c r="I81" i="103"/>
  <c r="I82" i="108"/>
  <c r="I81" i="108"/>
  <c r="I83" i="108"/>
  <c r="I113" i="108" s="1"/>
  <c r="I84" i="108"/>
  <c r="I114" i="108" s="1"/>
  <c r="I85" i="108"/>
  <c r="I115" i="108" s="1"/>
  <c r="I86" i="108"/>
  <c r="I116" i="108" s="1"/>
  <c r="I87" i="108"/>
  <c r="I117" i="108" s="1"/>
  <c r="I82" i="107"/>
  <c r="I112" i="107" s="1"/>
  <c r="I83" i="107"/>
  <c r="I113" i="107" s="1"/>
  <c r="I84" i="107"/>
  <c r="I114" i="107" s="1"/>
  <c r="I81" i="107"/>
  <c r="I111" i="107" s="1"/>
  <c r="I85" i="107"/>
  <c r="I115" i="107" s="1"/>
  <c r="I86" i="107"/>
  <c r="I87" i="107"/>
  <c r="I117" i="107" s="1"/>
  <c r="I82" i="106"/>
  <c r="I81" i="106"/>
  <c r="I83" i="106"/>
  <c r="I84" i="106"/>
  <c r="I85" i="106"/>
  <c r="I86" i="106"/>
  <c r="I87" i="106"/>
  <c r="I82" i="105"/>
  <c r="I112" i="105" s="1"/>
  <c r="I83" i="105"/>
  <c r="I113" i="105" s="1"/>
  <c r="I86" i="105"/>
  <c r="I116" i="105" s="1"/>
  <c r="I81" i="105"/>
  <c r="I84" i="105"/>
  <c r="I114" i="105" s="1"/>
  <c r="I85" i="105"/>
  <c r="I115" i="105" s="1"/>
  <c r="I87" i="105"/>
  <c r="I117" i="105" s="1"/>
  <c r="I81" i="104"/>
  <c r="I82" i="104"/>
  <c r="I112" i="104" s="1"/>
  <c r="I83" i="104"/>
  <c r="I113" i="104" s="1"/>
  <c r="I84" i="104"/>
  <c r="I114" i="104" s="1"/>
  <c r="I85" i="104"/>
  <c r="I115" i="104" s="1"/>
  <c r="I86" i="104"/>
  <c r="I116" i="104" s="1"/>
  <c r="I87" i="104"/>
  <c r="I117" i="104" s="1"/>
  <c r="K9" i="35"/>
  <c r="F10" i="101" s="1"/>
  <c r="F24" i="101" s="1"/>
  <c r="I9" i="35"/>
  <c r="D10" i="101" s="1"/>
  <c r="D24" i="101" s="1"/>
  <c r="J9" i="35"/>
  <c r="E10" i="101" s="1"/>
  <c r="E24" i="101" s="1"/>
  <c r="G124" i="107"/>
  <c r="M28" i="100"/>
  <c r="F17" i="117" s="1"/>
  <c r="G122" i="108"/>
  <c r="K185" i="113"/>
  <c r="H184" i="113"/>
  <c r="K183" i="113"/>
  <c r="H186" i="113"/>
  <c r="K182" i="113"/>
  <c r="J181" i="113"/>
  <c r="I181" i="113"/>
  <c r="J187" i="113"/>
  <c r="I187" i="113"/>
  <c r="H183" i="113"/>
  <c r="J183" i="113"/>
  <c r="I183" i="113"/>
  <c r="J182" i="113"/>
  <c r="I182" i="113"/>
  <c r="H181" i="113"/>
  <c r="H187" i="113"/>
  <c r="H185" i="113"/>
  <c r="K181" i="113"/>
  <c r="H182" i="113"/>
  <c r="K187" i="113"/>
  <c r="K184" i="113"/>
  <c r="I185" i="113"/>
  <c r="J185" i="113"/>
  <c r="J184" i="113"/>
  <c r="J186" i="113"/>
  <c r="K186" i="113"/>
  <c r="I184" i="113"/>
  <c r="I186" i="113"/>
  <c r="H184" i="114"/>
  <c r="H181" i="114"/>
  <c r="K187" i="114"/>
  <c r="I183" i="114"/>
  <c r="I187" i="114"/>
  <c r="H185" i="114"/>
  <c r="I181" i="114"/>
  <c r="H186" i="114"/>
  <c r="H182" i="114"/>
  <c r="J184" i="114"/>
  <c r="K186" i="114"/>
  <c r="K185" i="114"/>
  <c r="K184" i="114"/>
  <c r="J181" i="114"/>
  <c r="K183" i="114"/>
  <c r="I184" i="114"/>
  <c r="H183" i="114"/>
  <c r="K182" i="114"/>
  <c r="H187" i="114"/>
  <c r="K181" i="114"/>
  <c r="I182" i="114"/>
  <c r="J182" i="114"/>
  <c r="I185" i="114"/>
  <c r="J183" i="114"/>
  <c r="J185" i="114"/>
  <c r="J187" i="114"/>
  <c r="J186" i="114"/>
  <c r="I186" i="114"/>
  <c r="H186" i="115"/>
  <c r="H181" i="115"/>
  <c r="H183" i="115"/>
  <c r="H182" i="115"/>
  <c r="I187" i="115"/>
  <c r="I185" i="115"/>
  <c r="H187" i="115"/>
  <c r="I181" i="115"/>
  <c r="K186" i="115"/>
  <c r="I183" i="115"/>
  <c r="K181" i="115"/>
  <c r="I182" i="115"/>
  <c r="K185" i="115"/>
  <c r="K184" i="115"/>
  <c r="H184" i="115"/>
  <c r="J187" i="115"/>
  <c r="K183" i="115"/>
  <c r="I184" i="115"/>
  <c r="J181" i="115"/>
  <c r="K182" i="115"/>
  <c r="J184" i="115"/>
  <c r="J183" i="115"/>
  <c r="H185" i="115"/>
  <c r="J182" i="115"/>
  <c r="K187" i="115"/>
  <c r="I186" i="115"/>
  <c r="J185" i="115"/>
  <c r="J186" i="115"/>
  <c r="H185" i="110"/>
  <c r="K183" i="110"/>
  <c r="H184" i="110"/>
  <c r="J181" i="110"/>
  <c r="K182" i="110"/>
  <c r="K184" i="110"/>
  <c r="J183" i="110"/>
  <c r="I181" i="110"/>
  <c r="H187" i="110"/>
  <c r="H186" i="110"/>
  <c r="I183" i="110"/>
  <c r="I184" i="110"/>
  <c r="H182" i="110"/>
  <c r="J184" i="110"/>
  <c r="K187" i="110"/>
  <c r="H183" i="110"/>
  <c r="I187" i="110"/>
  <c r="H181" i="110"/>
  <c r="K186" i="110"/>
  <c r="J187" i="110"/>
  <c r="K181" i="110"/>
  <c r="K185" i="110"/>
  <c r="I182" i="110"/>
  <c r="I185" i="110"/>
  <c r="I186" i="110"/>
  <c r="J185" i="110"/>
  <c r="J182" i="110"/>
  <c r="J186" i="110"/>
  <c r="H182" i="111"/>
  <c r="I181" i="111"/>
  <c r="K182" i="111"/>
  <c r="J182" i="111"/>
  <c r="J181" i="111"/>
  <c r="J185" i="111"/>
  <c r="J183" i="111"/>
  <c r="K184" i="111"/>
  <c r="K186" i="111"/>
  <c r="I182" i="111"/>
  <c r="Z156" i="119" s="1"/>
  <c r="H185" i="111"/>
  <c r="I183" i="111"/>
  <c r="H184" i="111"/>
  <c r="H181" i="111"/>
  <c r="H183" i="111"/>
  <c r="I184" i="111"/>
  <c r="H186" i="111"/>
  <c r="I185" i="111"/>
  <c r="J184" i="111"/>
  <c r="K183" i="111"/>
  <c r="K181" i="111"/>
  <c r="H187" i="111"/>
  <c r="K187" i="111"/>
  <c r="K185" i="111"/>
  <c r="I186" i="111"/>
  <c r="Z160" i="119" s="1"/>
  <c r="J186" i="111"/>
  <c r="J187" i="111"/>
  <c r="I187" i="111"/>
  <c r="G115" i="107"/>
  <c r="G126" i="107"/>
  <c r="H125" i="107"/>
  <c r="G123" i="107"/>
  <c r="G112" i="107"/>
  <c r="G117" i="105"/>
  <c r="J73" i="106"/>
  <c r="I122" i="106" s="1"/>
  <c r="H127" i="113"/>
  <c r="H117" i="113"/>
  <c r="H124" i="113"/>
  <c r="H123" i="113"/>
  <c r="H113" i="113"/>
  <c r="H116" i="113"/>
  <c r="H112" i="113"/>
  <c r="H126" i="113"/>
  <c r="H115" i="113"/>
  <c r="H122" i="113"/>
  <c r="H111" i="113"/>
  <c r="H128" i="113"/>
  <c r="H125" i="113"/>
  <c r="H114" i="113"/>
  <c r="H122" i="114"/>
  <c r="H114" i="114"/>
  <c r="H117" i="114"/>
  <c r="H115" i="114"/>
  <c r="H113" i="114"/>
  <c r="H116" i="114"/>
  <c r="H124" i="114"/>
  <c r="H111" i="114"/>
  <c r="H112" i="114"/>
  <c r="H127" i="114"/>
  <c r="H125" i="114"/>
  <c r="H123" i="114"/>
  <c r="H128" i="114"/>
  <c r="H126" i="114"/>
  <c r="H126" i="115"/>
  <c r="H111" i="115"/>
  <c r="H116" i="115"/>
  <c r="H123" i="115"/>
  <c r="H127" i="115"/>
  <c r="H113" i="115"/>
  <c r="H124" i="115"/>
  <c r="H112" i="115"/>
  <c r="H115" i="115"/>
  <c r="H114" i="115"/>
  <c r="H117" i="115"/>
  <c r="H122" i="115"/>
  <c r="H125" i="115"/>
  <c r="H128" i="115"/>
  <c r="H73" i="112"/>
  <c r="H125" i="105"/>
  <c r="H125" i="108"/>
  <c r="H69" i="105"/>
  <c r="G66" i="106"/>
  <c r="G123" i="103"/>
  <c r="G125" i="107"/>
  <c r="G127" i="107"/>
  <c r="G113" i="104"/>
  <c r="G111" i="108"/>
  <c r="H127" i="108"/>
  <c r="G124" i="108"/>
  <c r="H127" i="105"/>
  <c r="H114" i="105"/>
  <c r="H116" i="105"/>
  <c r="H128" i="105"/>
  <c r="G116" i="104"/>
  <c r="G127" i="105"/>
  <c r="G123" i="104"/>
  <c r="H115" i="105"/>
  <c r="G127" i="104"/>
  <c r="G128" i="104"/>
  <c r="H117" i="105"/>
  <c r="G124" i="104"/>
  <c r="H122" i="105"/>
  <c r="G122" i="104"/>
  <c r="H126" i="105"/>
  <c r="G111" i="105"/>
  <c r="G113" i="105"/>
  <c r="G112" i="104"/>
  <c r="G125" i="105"/>
  <c r="H113" i="110"/>
  <c r="H127" i="110"/>
  <c r="H111" i="110"/>
  <c r="H125" i="110"/>
  <c r="H123" i="110"/>
  <c r="H116" i="110"/>
  <c r="H114" i="110"/>
  <c r="H112" i="110"/>
  <c r="H124" i="110"/>
  <c r="H128" i="110"/>
  <c r="H126" i="110"/>
  <c r="H117" i="110"/>
  <c r="H115" i="110"/>
  <c r="H122" i="110"/>
  <c r="H116" i="111"/>
  <c r="H112" i="111"/>
  <c r="H128" i="111"/>
  <c r="H124" i="111"/>
  <c r="H122" i="111"/>
  <c r="H117" i="111"/>
  <c r="H115" i="111"/>
  <c r="H113" i="111"/>
  <c r="H114" i="111"/>
  <c r="H123" i="111"/>
  <c r="H111" i="111"/>
  <c r="H126" i="111"/>
  <c r="H127" i="111"/>
  <c r="H125" i="111"/>
  <c r="H112" i="105"/>
  <c r="H124" i="105"/>
  <c r="H123" i="105"/>
  <c r="G124" i="105"/>
  <c r="G122" i="105"/>
  <c r="G116" i="105"/>
  <c r="G123" i="105"/>
  <c r="G128" i="105"/>
  <c r="H111" i="105"/>
  <c r="G114" i="105"/>
  <c r="H113" i="105"/>
  <c r="H111" i="108"/>
  <c r="G123" i="108"/>
  <c r="G114" i="108"/>
  <c r="H113" i="108"/>
  <c r="G125" i="108"/>
  <c r="H115" i="108"/>
  <c r="H127" i="103"/>
  <c r="H117" i="108"/>
  <c r="H122" i="108"/>
  <c r="G116" i="108"/>
  <c r="H112" i="108"/>
  <c r="H124" i="108"/>
  <c r="G127" i="108"/>
  <c r="H114" i="108"/>
  <c r="H126" i="108"/>
  <c r="H116" i="108"/>
  <c r="H128" i="108"/>
  <c r="G117" i="108"/>
  <c r="G112" i="103"/>
  <c r="H123" i="108"/>
  <c r="G128" i="108"/>
  <c r="G126" i="103"/>
  <c r="G126" i="104"/>
  <c r="G115" i="105"/>
  <c r="G112" i="105"/>
  <c r="G115" i="108"/>
  <c r="G112" i="108"/>
  <c r="H113" i="104"/>
  <c r="H124" i="104"/>
  <c r="H114" i="104"/>
  <c r="H125" i="104"/>
  <c r="H122" i="104"/>
  <c r="G125" i="104"/>
  <c r="H112" i="104"/>
  <c r="G114" i="104"/>
  <c r="G111" i="104"/>
  <c r="H115" i="104"/>
  <c r="H127" i="104"/>
  <c r="H123" i="104"/>
  <c r="G115" i="104"/>
  <c r="H128" i="104"/>
  <c r="G117" i="104"/>
  <c r="H111" i="104"/>
  <c r="H116" i="104"/>
  <c r="H126" i="104"/>
  <c r="H117" i="104"/>
  <c r="G117" i="103"/>
  <c r="H126" i="103"/>
  <c r="G127" i="103"/>
  <c r="H112" i="103"/>
  <c r="G113" i="103"/>
  <c r="H117" i="103"/>
  <c r="G125" i="103"/>
  <c r="G116" i="103"/>
  <c r="H111" i="103"/>
  <c r="G114" i="103"/>
  <c r="H123" i="103"/>
  <c r="G128" i="103"/>
  <c r="H114" i="103"/>
  <c r="G111" i="103"/>
  <c r="H122" i="103"/>
  <c r="G122" i="103"/>
  <c r="H113" i="103"/>
  <c r="H128" i="103"/>
  <c r="H124" i="103"/>
  <c r="H125" i="103"/>
  <c r="G115" i="103"/>
  <c r="H115" i="103"/>
  <c r="H116" i="103"/>
  <c r="G124" i="103"/>
  <c r="G126" i="108"/>
  <c r="G111" i="107"/>
  <c r="H117" i="107"/>
  <c r="H115" i="107"/>
  <c r="G113" i="107"/>
  <c r="H111" i="107"/>
  <c r="H113" i="107"/>
  <c r="H127" i="107"/>
  <c r="G116" i="107"/>
  <c r="G114" i="107"/>
  <c r="H123" i="107"/>
  <c r="H116" i="107"/>
  <c r="G128" i="107"/>
  <c r="H114" i="107"/>
  <c r="G117" i="107"/>
  <c r="H122" i="107"/>
  <c r="H112" i="107"/>
  <c r="H128" i="107"/>
  <c r="H126" i="107"/>
  <c r="H124" i="107"/>
  <c r="H174" i="108"/>
  <c r="I153" i="105"/>
  <c r="G66" i="103"/>
  <c r="I69" i="108"/>
  <c r="H69" i="108"/>
  <c r="H69" i="106"/>
  <c r="I112" i="108"/>
  <c r="H69" i="107"/>
  <c r="G122" i="107"/>
  <c r="H174" i="107"/>
  <c r="J66" i="108"/>
  <c r="I153" i="108"/>
  <c r="G66" i="108"/>
  <c r="I66" i="108"/>
  <c r="G66" i="107"/>
  <c r="I66" i="107"/>
  <c r="I69" i="107"/>
  <c r="J66" i="107"/>
  <c r="I116" i="107"/>
  <c r="I153" i="106"/>
  <c r="H174" i="104"/>
  <c r="G66" i="104"/>
  <c r="I153" i="104"/>
  <c r="J66" i="105"/>
  <c r="G66" i="105"/>
  <c r="I66" i="105"/>
  <c r="I69" i="105"/>
  <c r="H69" i="104"/>
  <c r="I153" i="103"/>
  <c r="J153" i="103"/>
  <c r="H174" i="103"/>
  <c r="I116" i="103"/>
  <c r="H69" i="103"/>
  <c r="M27" i="100"/>
  <c r="F17" i="116" s="1"/>
  <c r="Z175" i="119" l="1"/>
  <c r="AD160" i="119"/>
  <c r="Z171" i="119"/>
  <c r="Z166" i="119"/>
  <c r="AD163" i="119" s="1"/>
  <c r="E87" i="117"/>
  <c r="F87" i="117"/>
  <c r="D87" i="117"/>
  <c r="G87" i="117"/>
  <c r="I87" i="117"/>
  <c r="H87" i="117"/>
  <c r="J48" i="117"/>
  <c r="J51" i="117" s="1"/>
  <c r="E69" i="117" s="1"/>
  <c r="H22" i="117"/>
  <c r="H25" i="117" s="1"/>
  <c r="H48" i="117"/>
  <c r="H51" i="117" s="1"/>
  <c r="J22" i="117"/>
  <c r="J25" i="117" s="1"/>
  <c r="H114" i="106"/>
  <c r="I128" i="106"/>
  <c r="J126" i="106"/>
  <c r="K122" i="106"/>
  <c r="K123" i="106"/>
  <c r="J124" i="106"/>
  <c r="I124" i="106"/>
  <c r="K124" i="106"/>
  <c r="K125" i="106"/>
  <c r="K128" i="106"/>
  <c r="K126" i="106"/>
  <c r="J125" i="106"/>
  <c r="I125" i="106"/>
  <c r="J122" i="106"/>
  <c r="J128" i="106"/>
  <c r="I126" i="106"/>
  <c r="J123" i="106"/>
  <c r="J183" i="106"/>
  <c r="I123" i="106"/>
  <c r="I184" i="103"/>
  <c r="I69" i="103"/>
  <c r="I66" i="103"/>
  <c r="J184" i="103"/>
  <c r="J184" i="107"/>
  <c r="I184" i="107"/>
  <c r="K66" i="106"/>
  <c r="K186" i="106" s="1"/>
  <c r="J180" i="104"/>
  <c r="J123" i="104"/>
  <c r="K66" i="104"/>
  <c r="G125" i="106"/>
  <c r="H182" i="106"/>
  <c r="J181" i="106"/>
  <c r="I181" i="106"/>
  <c r="H180" i="106"/>
  <c r="K182" i="106"/>
  <c r="L159" i="101" s="1"/>
  <c r="K185" i="106"/>
  <c r="L162" i="101" s="1"/>
  <c r="I182" i="106"/>
  <c r="J179" i="106"/>
  <c r="K179" i="106"/>
  <c r="L156" i="101" s="1"/>
  <c r="H184" i="106"/>
  <c r="K181" i="106"/>
  <c r="L158" i="101" s="1"/>
  <c r="K183" i="106"/>
  <c r="K184" i="106"/>
  <c r="H185" i="106"/>
  <c r="H181" i="106"/>
  <c r="J185" i="106"/>
  <c r="H186" i="106"/>
  <c r="K180" i="106"/>
  <c r="J182" i="106"/>
  <c r="H179" i="106"/>
  <c r="H183" i="106"/>
  <c r="I185" i="106"/>
  <c r="J180" i="106"/>
  <c r="J64" i="106"/>
  <c r="I64" i="106"/>
  <c r="I183" i="106"/>
  <c r="L160" i="101"/>
  <c r="I179" i="106"/>
  <c r="I180" i="106"/>
  <c r="J158" i="101"/>
  <c r="G91" i="116"/>
  <c r="I91" i="116"/>
  <c r="F91" i="116"/>
  <c r="D91" i="116"/>
  <c r="H91" i="116"/>
  <c r="E58" i="116"/>
  <c r="I58" i="116"/>
  <c r="G58" i="116"/>
  <c r="F58" i="116"/>
  <c r="D58" i="116"/>
  <c r="H58" i="116"/>
  <c r="E29" i="116"/>
  <c r="J42" i="116" s="1"/>
  <c r="G29" i="116"/>
  <c r="J44" i="116" s="1"/>
  <c r="I29" i="116"/>
  <c r="J46" i="116" s="1"/>
  <c r="D29" i="116"/>
  <c r="J41" i="116" s="1"/>
  <c r="F29" i="116"/>
  <c r="J43" i="116" s="1"/>
  <c r="H29" i="116"/>
  <c r="J45" i="116" s="1"/>
  <c r="K184" i="104"/>
  <c r="J186" i="103"/>
  <c r="I186" i="103"/>
  <c r="I186" i="108"/>
  <c r="I186" i="107"/>
  <c r="I186" i="105"/>
  <c r="I114" i="106"/>
  <c r="G113" i="106"/>
  <c r="H124" i="106"/>
  <c r="H128" i="106"/>
  <c r="F22" i="117"/>
  <c r="F25" i="117" s="1"/>
  <c r="F48" i="117"/>
  <c r="H188" i="111"/>
  <c r="H188" i="110"/>
  <c r="H188" i="114"/>
  <c r="K188" i="114"/>
  <c r="K188" i="113"/>
  <c r="J188" i="111"/>
  <c r="K188" i="110"/>
  <c r="I188" i="110"/>
  <c r="K188" i="115"/>
  <c r="I188" i="113"/>
  <c r="I188" i="111"/>
  <c r="J188" i="114"/>
  <c r="J188" i="113"/>
  <c r="J188" i="110"/>
  <c r="I188" i="115"/>
  <c r="J188" i="115"/>
  <c r="H188" i="113"/>
  <c r="K188" i="111"/>
  <c r="I188" i="114"/>
  <c r="H188" i="115"/>
  <c r="H136" i="107"/>
  <c r="H16" i="107" s="1"/>
  <c r="H136" i="105"/>
  <c r="H16" i="105" s="1"/>
  <c r="G117" i="106"/>
  <c r="I117" i="106"/>
  <c r="H187" i="112"/>
  <c r="Y161" i="101" s="1"/>
  <c r="P34" i="117" s="1"/>
  <c r="H184" i="112"/>
  <c r="Y158" i="101" s="1"/>
  <c r="P31" i="117" s="1"/>
  <c r="H186" i="112"/>
  <c r="Y160" i="101" s="1"/>
  <c r="P33" i="117" s="1"/>
  <c r="J182" i="112"/>
  <c r="AA156" i="101" s="1"/>
  <c r="I181" i="112"/>
  <c r="H181" i="112"/>
  <c r="J181" i="112"/>
  <c r="K187" i="112"/>
  <c r="AB161" i="101" s="1"/>
  <c r="H185" i="112"/>
  <c r="Y159" i="101" s="1"/>
  <c r="P32" i="117" s="1"/>
  <c r="K185" i="112"/>
  <c r="AB159" i="101" s="1"/>
  <c r="K183" i="112"/>
  <c r="AB157" i="101" s="1"/>
  <c r="K182" i="112"/>
  <c r="AB156" i="101" s="1"/>
  <c r="H182" i="112"/>
  <c r="Y156" i="101" s="1"/>
  <c r="P29" i="117" s="1"/>
  <c r="K181" i="112"/>
  <c r="H183" i="112"/>
  <c r="Y157" i="101" s="1"/>
  <c r="P30" i="117" s="1"/>
  <c r="I185" i="112"/>
  <c r="Z159" i="101" s="1"/>
  <c r="J183" i="112"/>
  <c r="AA157" i="101" s="1"/>
  <c r="J185" i="112"/>
  <c r="AA159" i="101" s="1"/>
  <c r="I183" i="112"/>
  <c r="Z157" i="101" s="1"/>
  <c r="I182" i="112"/>
  <c r="Z156" i="101" s="1"/>
  <c r="I184" i="112"/>
  <c r="Z158" i="101" s="1"/>
  <c r="J184" i="112"/>
  <c r="AA158" i="101" s="1"/>
  <c r="I187" i="112"/>
  <c r="Z161" i="101" s="1"/>
  <c r="J187" i="112"/>
  <c r="AA161" i="101" s="1"/>
  <c r="I186" i="112"/>
  <c r="Z160" i="101" s="1"/>
  <c r="J186" i="112"/>
  <c r="AA160" i="101" s="1"/>
  <c r="K184" i="112"/>
  <c r="AB158" i="101" s="1"/>
  <c r="K186" i="112"/>
  <c r="AB160" i="101" s="1"/>
  <c r="H136" i="115"/>
  <c r="H16" i="115" s="1"/>
  <c r="H134" i="114"/>
  <c r="H14" i="114" s="1"/>
  <c r="H137" i="113"/>
  <c r="H17" i="113" s="1"/>
  <c r="H136" i="113"/>
  <c r="H16" i="113" s="1"/>
  <c r="H138" i="113"/>
  <c r="H18" i="113" s="1"/>
  <c r="H137" i="115"/>
  <c r="H17" i="115" s="1"/>
  <c r="H139" i="115"/>
  <c r="H19" i="115" s="1"/>
  <c r="H134" i="115"/>
  <c r="H14" i="115" s="1"/>
  <c r="I116" i="106"/>
  <c r="H126" i="106"/>
  <c r="I113" i="106"/>
  <c r="H113" i="106"/>
  <c r="G111" i="106"/>
  <c r="I112" i="106"/>
  <c r="H125" i="106"/>
  <c r="H136" i="106" s="1"/>
  <c r="H16" i="106" s="1"/>
  <c r="H111" i="106"/>
  <c r="H112" i="106"/>
  <c r="H116" i="106"/>
  <c r="G128" i="106"/>
  <c r="H127" i="106"/>
  <c r="G116" i="106"/>
  <c r="G126" i="106"/>
  <c r="G122" i="106"/>
  <c r="H115" i="106"/>
  <c r="G115" i="106"/>
  <c r="G124" i="106"/>
  <c r="I115" i="106"/>
  <c r="H117" i="106"/>
  <c r="G123" i="106"/>
  <c r="H123" i="106"/>
  <c r="H136" i="108"/>
  <c r="H16" i="108" s="1"/>
  <c r="G127" i="106"/>
  <c r="I111" i="106"/>
  <c r="H122" i="106"/>
  <c r="G112" i="106"/>
  <c r="H118" i="114"/>
  <c r="H133" i="114"/>
  <c r="H133" i="113"/>
  <c r="H118" i="113"/>
  <c r="H134" i="113"/>
  <c r="H14" i="113" s="1"/>
  <c r="H135" i="115"/>
  <c r="H15" i="115" s="1"/>
  <c r="H138" i="114"/>
  <c r="H18" i="114" s="1"/>
  <c r="H129" i="113"/>
  <c r="H124" i="112"/>
  <c r="Y95" i="101" s="1"/>
  <c r="H112" i="112"/>
  <c r="Y82" i="101" s="1"/>
  <c r="H127" i="112"/>
  <c r="Y98" i="101" s="1"/>
  <c r="H117" i="112"/>
  <c r="Y87" i="101" s="1"/>
  <c r="H128" i="112"/>
  <c r="Y99" i="101" s="1"/>
  <c r="H125" i="112"/>
  <c r="Y96" i="101" s="1"/>
  <c r="H116" i="112"/>
  <c r="Y86" i="101" s="1"/>
  <c r="H111" i="112"/>
  <c r="Y81" i="101" s="1"/>
  <c r="H123" i="112"/>
  <c r="Y94" i="101" s="1"/>
  <c r="H113" i="112"/>
  <c r="Y83" i="101" s="1"/>
  <c r="H122" i="112"/>
  <c r="Y93" i="101" s="1"/>
  <c r="H115" i="112"/>
  <c r="Y85" i="101" s="1"/>
  <c r="H114" i="112"/>
  <c r="Y84" i="101" s="1"/>
  <c r="H126" i="112"/>
  <c r="Y97" i="101" s="1"/>
  <c r="H135" i="114"/>
  <c r="H15" i="114" s="1"/>
  <c r="H137" i="114"/>
  <c r="H17" i="114" s="1"/>
  <c r="H139" i="113"/>
  <c r="H19" i="113" s="1"/>
  <c r="H138" i="115"/>
  <c r="H18" i="115" s="1"/>
  <c r="H139" i="114"/>
  <c r="H19" i="114" s="1"/>
  <c r="H133" i="115"/>
  <c r="H118" i="115"/>
  <c r="H136" i="114"/>
  <c r="H16" i="114" s="1"/>
  <c r="H129" i="114"/>
  <c r="G114" i="106"/>
  <c r="H129" i="115"/>
  <c r="H135" i="113"/>
  <c r="H15" i="113" s="1"/>
  <c r="H139" i="105"/>
  <c r="H19" i="105" s="1"/>
  <c r="H129" i="105"/>
  <c r="H133" i="105"/>
  <c r="H13" i="105" s="1"/>
  <c r="H134" i="111"/>
  <c r="H14" i="111" s="1"/>
  <c r="H137" i="105"/>
  <c r="H17" i="105" s="1"/>
  <c r="H137" i="108"/>
  <c r="H17" i="108" s="1"/>
  <c r="H138" i="103"/>
  <c r="H18" i="103" s="1"/>
  <c r="H135" i="111"/>
  <c r="H15" i="111" s="1"/>
  <c r="H135" i="108"/>
  <c r="H15" i="108" s="1"/>
  <c r="H138" i="105"/>
  <c r="H18" i="105" s="1"/>
  <c r="H137" i="103"/>
  <c r="H17" i="103" s="1"/>
  <c r="H138" i="108"/>
  <c r="H18" i="108" s="1"/>
  <c r="H118" i="108"/>
  <c r="H134" i="108"/>
  <c r="H14" i="108" s="1"/>
  <c r="G118" i="108"/>
  <c r="G129" i="103"/>
  <c r="G129" i="105"/>
  <c r="H137" i="107"/>
  <c r="H17" i="107" s="1"/>
  <c r="H139" i="108"/>
  <c r="H19" i="108" s="1"/>
  <c r="H129" i="108"/>
  <c r="H118" i="105"/>
  <c r="H135" i="105"/>
  <c r="H15" i="105" s="1"/>
  <c r="H138" i="111"/>
  <c r="H18" i="111" s="1"/>
  <c r="H139" i="111"/>
  <c r="H19" i="111" s="1"/>
  <c r="G118" i="104"/>
  <c r="H134" i="105"/>
  <c r="H14" i="105" s="1"/>
  <c r="G118" i="105"/>
  <c r="G129" i="104"/>
  <c r="H129" i="111"/>
  <c r="H134" i="110"/>
  <c r="H14" i="110" s="1"/>
  <c r="H133" i="111"/>
  <c r="H118" i="111"/>
  <c r="H136" i="110"/>
  <c r="H16" i="110" s="1"/>
  <c r="H138" i="110"/>
  <c r="H18" i="110" s="1"/>
  <c r="H136" i="111"/>
  <c r="H16" i="111" s="1"/>
  <c r="H137" i="111"/>
  <c r="H17" i="111" s="1"/>
  <c r="H129" i="110"/>
  <c r="H137" i="110"/>
  <c r="H17" i="110" s="1"/>
  <c r="H139" i="110"/>
  <c r="H19" i="110" s="1"/>
  <c r="H118" i="110"/>
  <c r="H133" i="110"/>
  <c r="H135" i="110"/>
  <c r="H15" i="110" s="1"/>
  <c r="H139" i="104"/>
  <c r="H19" i="104" s="1"/>
  <c r="H134" i="104"/>
  <c r="H14" i="104" s="1"/>
  <c r="G129" i="107"/>
  <c r="H133" i="108"/>
  <c r="H13" i="108" s="1"/>
  <c r="G129" i="108"/>
  <c r="H134" i="107"/>
  <c r="H14" i="107" s="1"/>
  <c r="G118" i="107"/>
  <c r="H138" i="107"/>
  <c r="H18" i="107" s="1"/>
  <c r="H135" i="103"/>
  <c r="H15" i="103" s="1"/>
  <c r="H129" i="103"/>
  <c r="H135" i="104"/>
  <c r="H15" i="104" s="1"/>
  <c r="G118" i="103"/>
  <c r="H129" i="107"/>
  <c r="H135" i="107"/>
  <c r="H15" i="107" s="1"/>
  <c r="H137" i="104"/>
  <c r="H17" i="104" s="1"/>
  <c r="H118" i="107"/>
  <c r="H133" i="107"/>
  <c r="H136" i="103"/>
  <c r="H16" i="103" s="1"/>
  <c r="H133" i="103"/>
  <c r="H13" i="103" s="1"/>
  <c r="H118" i="103"/>
  <c r="H139" i="107"/>
  <c r="H19" i="107" s="1"/>
  <c r="H138" i="104"/>
  <c r="H18" i="104" s="1"/>
  <c r="H129" i="104"/>
  <c r="H118" i="104"/>
  <c r="H133" i="104"/>
  <c r="H139" i="103"/>
  <c r="H19" i="103" s="1"/>
  <c r="H136" i="104"/>
  <c r="H16" i="104" s="1"/>
  <c r="H134" i="103"/>
  <c r="H14" i="103" s="1"/>
  <c r="J153" i="108"/>
  <c r="J186" i="108" s="1"/>
  <c r="J55" i="108"/>
  <c r="I111" i="108"/>
  <c r="I118" i="107"/>
  <c r="J55" i="107"/>
  <c r="J55" i="106"/>
  <c r="J153" i="107"/>
  <c r="J186" i="107" s="1"/>
  <c r="J153" i="106"/>
  <c r="J55" i="104"/>
  <c r="I111" i="104"/>
  <c r="K153" i="104"/>
  <c r="K186" i="104" s="1"/>
  <c r="J153" i="104"/>
  <c r="J55" i="105"/>
  <c r="I111" i="105"/>
  <c r="J153" i="105"/>
  <c r="J186" i="105" s="1"/>
  <c r="J55" i="103"/>
  <c r="I111" i="103"/>
  <c r="AB161" i="119" l="1"/>
  <c r="AB160" i="119"/>
  <c r="AB175" i="119" s="1"/>
  <c r="AB156" i="119"/>
  <c r="AB171" i="119" s="1"/>
  <c r="AA161" i="119"/>
  <c r="AA160" i="119"/>
  <c r="AA175" i="119" s="1"/>
  <c r="AA156" i="119"/>
  <c r="AA171" i="119" s="1"/>
  <c r="R31" i="117"/>
  <c r="AA170" i="101"/>
  <c r="S32" i="117"/>
  <c r="AB171" i="101"/>
  <c r="S29" i="117"/>
  <c r="AB168" i="101"/>
  <c r="Q31" i="117"/>
  <c r="Z170" i="101"/>
  <c r="R32" i="117"/>
  <c r="AA171" i="101"/>
  <c r="Q32" i="117"/>
  <c r="Z171" i="101"/>
  <c r="R29" i="117"/>
  <c r="AA168" i="101"/>
  <c r="S31" i="117"/>
  <c r="AB170" i="101"/>
  <c r="Q29" i="117"/>
  <c r="Z168" i="101"/>
  <c r="R34" i="117"/>
  <c r="AA173" i="101"/>
  <c r="Q34" i="117"/>
  <c r="Z173" i="101"/>
  <c r="Q30" i="117"/>
  <c r="Z169" i="101"/>
  <c r="Q33" i="117"/>
  <c r="Z172" i="101"/>
  <c r="S34" i="117"/>
  <c r="AB173" i="101"/>
  <c r="S30" i="117"/>
  <c r="AB169" i="101"/>
  <c r="S33" i="117"/>
  <c r="AB172" i="101"/>
  <c r="R30" i="117"/>
  <c r="AA169" i="101"/>
  <c r="R33" i="117"/>
  <c r="AA172" i="101"/>
  <c r="E22" i="117"/>
  <c r="E25" i="117" s="1"/>
  <c r="I184" i="106"/>
  <c r="I69" i="106"/>
  <c r="I66" i="106"/>
  <c r="I186" i="106" s="1"/>
  <c r="J184" i="106"/>
  <c r="J66" i="106"/>
  <c r="J186" i="106" s="1"/>
  <c r="H139" i="106"/>
  <c r="H19" i="106" s="1"/>
  <c r="D69" i="117"/>
  <c r="F69" i="117"/>
  <c r="G69" i="117"/>
  <c r="H69" i="117"/>
  <c r="D45" i="116"/>
  <c r="F45" i="116"/>
  <c r="E45" i="116"/>
  <c r="G45" i="116"/>
  <c r="H45" i="116"/>
  <c r="I45" i="116"/>
  <c r="D43" i="116"/>
  <c r="E43" i="116"/>
  <c r="F43" i="116"/>
  <c r="I43" i="116"/>
  <c r="G43" i="116"/>
  <c r="H43" i="116"/>
  <c r="F41" i="116"/>
  <c r="H41" i="116"/>
  <c r="I41" i="116"/>
  <c r="D41" i="116"/>
  <c r="G41" i="116"/>
  <c r="E41" i="116"/>
  <c r="I46" i="116"/>
  <c r="H10" i="116" s="1"/>
  <c r="E118" i="101" s="1"/>
  <c r="G46" i="116"/>
  <c r="D46" i="116"/>
  <c r="E46" i="116"/>
  <c r="H46" i="116"/>
  <c r="F46" i="116"/>
  <c r="E44" i="116"/>
  <c r="G44" i="116"/>
  <c r="H44" i="116"/>
  <c r="I44" i="116"/>
  <c r="G10" i="116" s="1"/>
  <c r="D118" i="101" s="1"/>
  <c r="F44" i="116"/>
  <c r="D44" i="116"/>
  <c r="E42" i="116"/>
  <c r="H42" i="116"/>
  <c r="G42" i="116"/>
  <c r="I42" i="116"/>
  <c r="F10" i="116" s="1"/>
  <c r="C118" i="101" s="1"/>
  <c r="D42" i="116"/>
  <c r="F42" i="116"/>
  <c r="AD158" i="101"/>
  <c r="G22" i="117"/>
  <c r="G25" i="117" s="1"/>
  <c r="H39" i="117" s="1"/>
  <c r="I22" i="117"/>
  <c r="I25" i="117" s="1"/>
  <c r="G42" i="117"/>
  <c r="H42" i="117"/>
  <c r="F42" i="117"/>
  <c r="I184" i="104"/>
  <c r="I69" i="104"/>
  <c r="I66" i="104"/>
  <c r="I186" i="104" s="1"/>
  <c r="J184" i="104"/>
  <c r="J66" i="104"/>
  <c r="J186" i="104" s="1"/>
  <c r="F87" i="111"/>
  <c r="G87" i="111" s="1"/>
  <c r="F86" i="110"/>
  <c r="G86" i="110" s="1"/>
  <c r="F87" i="114"/>
  <c r="G87" i="114" s="1"/>
  <c r="F86" i="111"/>
  <c r="G86" i="111" s="1"/>
  <c r="F87" i="113"/>
  <c r="G87" i="113" s="1"/>
  <c r="F86" i="109"/>
  <c r="G86" i="109" s="1"/>
  <c r="F86" i="113"/>
  <c r="G86" i="113" s="1"/>
  <c r="F87" i="115"/>
  <c r="G87" i="115" s="1"/>
  <c r="F86" i="115"/>
  <c r="G86" i="115" s="1"/>
  <c r="F87" i="109"/>
  <c r="G87" i="109" s="1"/>
  <c r="F87" i="112"/>
  <c r="G87" i="112" s="1"/>
  <c r="F87" i="110"/>
  <c r="G87" i="110" s="1"/>
  <c r="F86" i="112"/>
  <c r="G86" i="112" s="1"/>
  <c r="F86" i="114"/>
  <c r="G86" i="114" s="1"/>
  <c r="F81" i="109"/>
  <c r="G81" i="109" s="1"/>
  <c r="F81" i="112"/>
  <c r="G81" i="112" s="1"/>
  <c r="F81" i="115"/>
  <c r="G81" i="115" s="1"/>
  <c r="F81" i="114"/>
  <c r="G81" i="114" s="1"/>
  <c r="F81" i="110"/>
  <c r="G81" i="110" s="1"/>
  <c r="F81" i="111"/>
  <c r="G81" i="111" s="1"/>
  <c r="F81" i="113"/>
  <c r="G81" i="113" s="1"/>
  <c r="F82" i="112"/>
  <c r="G82" i="112" s="1"/>
  <c r="F82" i="114"/>
  <c r="G82" i="114" s="1"/>
  <c r="F82" i="110"/>
  <c r="G82" i="110" s="1"/>
  <c r="F82" i="111"/>
  <c r="G82" i="111" s="1"/>
  <c r="F82" i="113"/>
  <c r="G82" i="113" s="1"/>
  <c r="F82" i="115"/>
  <c r="G82" i="115" s="1"/>
  <c r="F82" i="109"/>
  <c r="G82" i="109" s="1"/>
  <c r="AD159" i="101"/>
  <c r="F84" i="114"/>
  <c r="G84" i="114" s="1"/>
  <c r="F83" i="114"/>
  <c r="G83" i="114" s="1"/>
  <c r="F85" i="110"/>
  <c r="G85" i="110" s="1"/>
  <c r="F85" i="111"/>
  <c r="G85" i="111" s="1"/>
  <c r="F84" i="110"/>
  <c r="G84" i="110" s="1"/>
  <c r="F85" i="109"/>
  <c r="G85" i="109" s="1"/>
  <c r="F83" i="112"/>
  <c r="G83" i="112" s="1"/>
  <c r="F84" i="111"/>
  <c r="G84" i="111" s="1"/>
  <c r="F83" i="110"/>
  <c r="G83" i="110" s="1"/>
  <c r="F85" i="115"/>
  <c r="G85" i="115" s="1"/>
  <c r="F83" i="111"/>
  <c r="G83" i="111" s="1"/>
  <c r="F85" i="113"/>
  <c r="G85" i="113" s="1"/>
  <c r="F84" i="113"/>
  <c r="G84" i="113" s="1"/>
  <c r="F83" i="113"/>
  <c r="G83" i="113" s="1"/>
  <c r="F83" i="109"/>
  <c r="G83" i="109" s="1"/>
  <c r="F84" i="115"/>
  <c r="G84" i="115" s="1"/>
  <c r="F83" i="115"/>
  <c r="G83" i="115" s="1"/>
  <c r="F84" i="109"/>
  <c r="G84" i="109" s="1"/>
  <c r="F85" i="114"/>
  <c r="G85" i="114" s="1"/>
  <c r="F85" i="112"/>
  <c r="G85" i="112" s="1"/>
  <c r="F84" i="112"/>
  <c r="G84" i="112" s="1"/>
  <c r="H135" i="106"/>
  <c r="H15" i="106" s="1"/>
  <c r="J84" i="106"/>
  <c r="J114" i="106" s="1"/>
  <c r="J85" i="106"/>
  <c r="J115" i="106" s="1"/>
  <c r="J81" i="106"/>
  <c r="J82" i="106"/>
  <c r="J112" i="106" s="1"/>
  <c r="J86" i="106"/>
  <c r="J116" i="106" s="1"/>
  <c r="J83" i="106"/>
  <c r="J113" i="106" s="1"/>
  <c r="J87" i="106"/>
  <c r="J117" i="106" s="1"/>
  <c r="J82" i="107"/>
  <c r="J112" i="107" s="1"/>
  <c r="J86" i="107"/>
  <c r="J116" i="107" s="1"/>
  <c r="J83" i="107"/>
  <c r="J113" i="107" s="1"/>
  <c r="J87" i="107"/>
  <c r="J117" i="107" s="1"/>
  <c r="J84" i="107"/>
  <c r="J114" i="107" s="1"/>
  <c r="J81" i="107"/>
  <c r="J85" i="107"/>
  <c r="J115" i="107" s="1"/>
  <c r="J86" i="103"/>
  <c r="J116" i="103" s="1"/>
  <c r="J83" i="103"/>
  <c r="J113" i="103" s="1"/>
  <c r="J87" i="103"/>
  <c r="J117" i="103" s="1"/>
  <c r="J84" i="103"/>
  <c r="J114" i="103" s="1"/>
  <c r="J85" i="103"/>
  <c r="J115" i="103" s="1"/>
  <c r="J81" i="103"/>
  <c r="J82" i="103"/>
  <c r="J112" i="103" s="1"/>
  <c r="J84" i="108"/>
  <c r="J114" i="108" s="1"/>
  <c r="J85" i="108"/>
  <c r="J115" i="108" s="1"/>
  <c r="J82" i="108"/>
  <c r="J112" i="108" s="1"/>
  <c r="J86" i="108"/>
  <c r="J116" i="108" s="1"/>
  <c r="J83" i="108"/>
  <c r="J113" i="108" s="1"/>
  <c r="J87" i="108"/>
  <c r="J117" i="108" s="1"/>
  <c r="J81" i="108"/>
  <c r="J82" i="105"/>
  <c r="J112" i="105" s="1"/>
  <c r="J86" i="105"/>
  <c r="J116" i="105" s="1"/>
  <c r="J83" i="105"/>
  <c r="J113" i="105" s="1"/>
  <c r="J87" i="105"/>
  <c r="J117" i="105" s="1"/>
  <c r="J81" i="105"/>
  <c r="J84" i="105"/>
  <c r="J114" i="105" s="1"/>
  <c r="J85" i="105"/>
  <c r="J115" i="105" s="1"/>
  <c r="J85" i="104"/>
  <c r="J115" i="104" s="1"/>
  <c r="J86" i="104"/>
  <c r="J116" i="104" s="1"/>
  <c r="J82" i="104"/>
  <c r="J112" i="104" s="1"/>
  <c r="J83" i="104"/>
  <c r="J113" i="104" s="1"/>
  <c r="J87" i="104"/>
  <c r="J117" i="104" s="1"/>
  <c r="J81" i="104"/>
  <c r="J84" i="104"/>
  <c r="J114" i="104" s="1"/>
  <c r="AD161" i="101"/>
  <c r="AD156" i="101"/>
  <c r="AD157" i="101"/>
  <c r="I48" i="117"/>
  <c r="I51" i="117" s="1"/>
  <c r="D68" i="117" s="1"/>
  <c r="AD160" i="101"/>
  <c r="G48" i="117"/>
  <c r="G51" i="117" s="1"/>
  <c r="D66" i="117" s="1"/>
  <c r="E48" i="117"/>
  <c r="E51" i="117" s="1"/>
  <c r="F51" i="117"/>
  <c r="E65" i="117" s="1"/>
  <c r="AA155" i="101"/>
  <c r="AA167" i="101" s="1"/>
  <c r="J188" i="112"/>
  <c r="Y155" i="101"/>
  <c r="H188" i="112"/>
  <c r="Z155" i="101"/>
  <c r="I188" i="112"/>
  <c r="AB155" i="101"/>
  <c r="AB167" i="101" s="1"/>
  <c r="K188" i="112"/>
  <c r="G118" i="106"/>
  <c r="H137" i="106"/>
  <c r="H17" i="106" s="1"/>
  <c r="H138" i="112"/>
  <c r="H18" i="112" s="1"/>
  <c r="Y62" i="101" s="1"/>
  <c r="Y88" i="101"/>
  <c r="Y89" i="101" s="1"/>
  <c r="I118" i="106"/>
  <c r="H134" i="112"/>
  <c r="H14" i="112" s="1"/>
  <c r="Y58" i="101" s="1"/>
  <c r="H136" i="112"/>
  <c r="H16" i="112" s="1"/>
  <c r="H134" i="106"/>
  <c r="H14" i="106" s="1"/>
  <c r="H133" i="106"/>
  <c r="H13" i="106" s="1"/>
  <c r="H137" i="112"/>
  <c r="H17" i="112" s="1"/>
  <c r="Y61" i="101" s="1"/>
  <c r="H139" i="112"/>
  <c r="H19" i="112" s="1"/>
  <c r="Y63" i="101" s="1"/>
  <c r="H135" i="112"/>
  <c r="H15" i="112" s="1"/>
  <c r="G129" i="106"/>
  <c r="H129" i="106"/>
  <c r="H138" i="106"/>
  <c r="H18" i="106" s="1"/>
  <c r="H118" i="106"/>
  <c r="H13" i="114"/>
  <c r="H20" i="114" s="1"/>
  <c r="H140" i="114"/>
  <c r="H133" i="112"/>
  <c r="H129" i="112"/>
  <c r="H118" i="112"/>
  <c r="H140" i="113"/>
  <c r="H13" i="113"/>
  <c r="H20" i="113" s="1"/>
  <c r="H13" i="115"/>
  <c r="H20" i="115" s="1"/>
  <c r="H140" i="115"/>
  <c r="E67" i="117"/>
  <c r="F67" i="117"/>
  <c r="H67" i="117"/>
  <c r="D67" i="117"/>
  <c r="G67" i="117"/>
  <c r="H40" i="117"/>
  <c r="G40" i="117"/>
  <c r="F40" i="117"/>
  <c r="H38" i="117"/>
  <c r="F38" i="117"/>
  <c r="H37" i="117"/>
  <c r="F37" i="117"/>
  <c r="H20" i="108"/>
  <c r="H20" i="105"/>
  <c r="H140" i="108"/>
  <c r="I23" i="107"/>
  <c r="H140" i="105"/>
  <c r="Y100" i="101"/>
  <c r="Y101" i="101" s="1"/>
  <c r="H140" i="110"/>
  <c r="H13" i="110"/>
  <c r="H140" i="111"/>
  <c r="H13" i="111"/>
  <c r="H20" i="111" s="1"/>
  <c r="H20" i="103"/>
  <c r="H13" i="107"/>
  <c r="H20" i="107" s="1"/>
  <c r="H140" i="107"/>
  <c r="H140" i="103"/>
  <c r="H13" i="104"/>
  <c r="H20" i="104" s="1"/>
  <c r="H140" i="104"/>
  <c r="K153" i="108"/>
  <c r="K186" i="108" s="1"/>
  <c r="I118" i="108"/>
  <c r="I23" i="108" s="1"/>
  <c r="K186" i="107"/>
  <c r="I118" i="105"/>
  <c r="I23" i="105" s="1"/>
  <c r="I118" i="104"/>
  <c r="I23" i="104" s="1"/>
  <c r="K153" i="105"/>
  <c r="K186" i="105" s="1"/>
  <c r="I118" i="103"/>
  <c r="I23" i="103" s="1"/>
  <c r="H82" i="35"/>
  <c r="H102" i="35" s="1"/>
  <c r="H83" i="35"/>
  <c r="H103" i="35" s="1"/>
  <c r="H84" i="35"/>
  <c r="H104" i="35" s="1"/>
  <c r="H85" i="35"/>
  <c r="H105" i="35" s="1"/>
  <c r="H86" i="35"/>
  <c r="H106" i="35" s="1"/>
  <c r="H87" i="35"/>
  <c r="H107" i="35" s="1"/>
  <c r="H81" i="35"/>
  <c r="G81" i="35" s="1"/>
  <c r="AA166" i="119" l="1"/>
  <c r="AB164" i="119"/>
  <c r="AB179" i="119" s="1"/>
  <c r="AB192" i="119" s="1"/>
  <c r="AB176" i="119"/>
  <c r="AB166" i="119"/>
  <c r="AA164" i="119"/>
  <c r="AA179" i="119" s="1"/>
  <c r="AA192" i="119" s="1"/>
  <c r="AA176" i="119"/>
  <c r="Q28" i="117"/>
  <c r="Z167" i="101"/>
  <c r="Z175" i="101" s="1"/>
  <c r="AB175" i="101"/>
  <c r="AA175" i="101"/>
  <c r="AA163" i="101"/>
  <c r="R36" i="117" s="1"/>
  <c r="R44" i="117" s="1"/>
  <c r="R28" i="117"/>
  <c r="AB163" i="101"/>
  <c r="S36" i="117" s="1"/>
  <c r="S44" i="117" s="1"/>
  <c r="S28" i="117"/>
  <c r="Y163" i="101"/>
  <c r="P36" i="117" s="1"/>
  <c r="P28" i="117"/>
  <c r="F39" i="117"/>
  <c r="H8" i="117"/>
  <c r="H9" i="117"/>
  <c r="G41" i="117"/>
  <c r="H65" i="117"/>
  <c r="F9" i="117" s="1"/>
  <c r="D65" i="117"/>
  <c r="F66" i="117"/>
  <c r="H41" i="117"/>
  <c r="F41" i="117"/>
  <c r="G66" i="117"/>
  <c r="H66" i="117"/>
  <c r="E66" i="117"/>
  <c r="G104" i="112"/>
  <c r="G125" i="112" s="1"/>
  <c r="I114" i="112"/>
  <c r="G114" i="112"/>
  <c r="G103" i="110"/>
  <c r="G124" i="110" s="1"/>
  <c r="I113" i="110"/>
  <c r="G113" i="110"/>
  <c r="G102" i="109"/>
  <c r="G123" i="109" s="1"/>
  <c r="G112" i="109"/>
  <c r="I112" i="109"/>
  <c r="G101" i="115"/>
  <c r="G122" i="115" s="1"/>
  <c r="H55" i="115"/>
  <c r="G111" i="115"/>
  <c r="G116" i="109"/>
  <c r="G106" i="109"/>
  <c r="G127" i="109" s="1"/>
  <c r="I116" i="109"/>
  <c r="F94" i="110"/>
  <c r="G94" i="110" s="1"/>
  <c r="F95" i="112"/>
  <c r="G95" i="112" s="1"/>
  <c r="F94" i="103"/>
  <c r="G94" i="103" s="1"/>
  <c r="F94" i="115"/>
  <c r="G94" i="115" s="1"/>
  <c r="F95" i="104"/>
  <c r="G95" i="104" s="1"/>
  <c r="F95" i="108"/>
  <c r="G95" i="108" s="1"/>
  <c r="F95" i="114"/>
  <c r="G95" i="114" s="1"/>
  <c r="F94" i="104"/>
  <c r="G94" i="104" s="1"/>
  <c r="F94" i="105"/>
  <c r="G94" i="105" s="1"/>
  <c r="F93" i="110"/>
  <c r="G93" i="110" s="1"/>
  <c r="F93" i="104"/>
  <c r="G93" i="104" s="1"/>
  <c r="F93" i="103"/>
  <c r="G93" i="103" s="1"/>
  <c r="F95" i="113"/>
  <c r="G95" i="113" s="1"/>
  <c r="F93" i="115"/>
  <c r="G93" i="115" s="1"/>
  <c r="F95" i="106"/>
  <c r="G95" i="106" s="1"/>
  <c r="F94" i="108"/>
  <c r="G94" i="108" s="1"/>
  <c r="F93" i="112"/>
  <c r="G93" i="112" s="1"/>
  <c r="F94" i="114"/>
  <c r="G94" i="114" s="1"/>
  <c r="F94" i="106"/>
  <c r="G94" i="106" s="1"/>
  <c r="F93" i="105"/>
  <c r="G93" i="105" s="1"/>
  <c r="F94" i="111"/>
  <c r="G94" i="111" s="1"/>
  <c r="F93" i="114"/>
  <c r="G93" i="114" s="1"/>
  <c r="F95" i="107"/>
  <c r="G95" i="107" s="1"/>
  <c r="F93" i="108"/>
  <c r="G93" i="108" s="1"/>
  <c r="F94" i="113"/>
  <c r="G94" i="113" s="1"/>
  <c r="F95" i="111"/>
  <c r="G95" i="111" s="1"/>
  <c r="F93" i="106"/>
  <c r="G93" i="106" s="1"/>
  <c r="F93" i="111"/>
  <c r="G93" i="111" s="1"/>
  <c r="F95" i="109"/>
  <c r="G95" i="109" s="1"/>
  <c r="F94" i="107"/>
  <c r="G94" i="107" s="1"/>
  <c r="F93" i="35"/>
  <c r="G93" i="35" s="1"/>
  <c r="F95" i="110"/>
  <c r="G95" i="110" s="1"/>
  <c r="F94" i="112"/>
  <c r="G94" i="112" s="1"/>
  <c r="F95" i="103"/>
  <c r="G95" i="103" s="1"/>
  <c r="F94" i="35"/>
  <c r="G94" i="35" s="1"/>
  <c r="K104" i="35" s="1"/>
  <c r="F95" i="115"/>
  <c r="G95" i="115" s="1"/>
  <c r="F94" i="109"/>
  <c r="G94" i="109" s="1"/>
  <c r="F93" i="107"/>
  <c r="G93" i="107" s="1"/>
  <c r="F95" i="35"/>
  <c r="G95" i="35" s="1"/>
  <c r="F93" i="113"/>
  <c r="G93" i="113" s="1"/>
  <c r="F93" i="109"/>
  <c r="G93" i="109" s="1"/>
  <c r="F95" i="105"/>
  <c r="G95" i="105" s="1"/>
  <c r="G105" i="112"/>
  <c r="G126" i="112" s="1"/>
  <c r="I115" i="112"/>
  <c r="G115" i="112"/>
  <c r="G104" i="111"/>
  <c r="G125" i="111" s="1"/>
  <c r="I114" i="111"/>
  <c r="Z84" i="119" s="1"/>
  <c r="G114" i="111"/>
  <c r="G102" i="115"/>
  <c r="G123" i="115" s="1"/>
  <c r="I112" i="115"/>
  <c r="G112" i="115"/>
  <c r="G101" i="112"/>
  <c r="H55" i="112"/>
  <c r="G111" i="112"/>
  <c r="G107" i="113"/>
  <c r="G128" i="113" s="1"/>
  <c r="I117" i="113"/>
  <c r="G117" i="113"/>
  <c r="G105" i="115"/>
  <c r="G126" i="115" s="1"/>
  <c r="I115" i="115"/>
  <c r="G115" i="115"/>
  <c r="G105" i="114"/>
  <c r="G126" i="114" s="1"/>
  <c r="I115" i="114"/>
  <c r="G115" i="114"/>
  <c r="G103" i="112"/>
  <c r="G124" i="112" s="1"/>
  <c r="I113" i="112"/>
  <c r="G113" i="112"/>
  <c r="G102" i="113"/>
  <c r="G123" i="113" s="1"/>
  <c r="I112" i="113"/>
  <c r="G112" i="113"/>
  <c r="G101" i="109"/>
  <c r="G111" i="109"/>
  <c r="H55" i="109"/>
  <c r="G106" i="111"/>
  <c r="G127" i="111" s="1"/>
  <c r="I116" i="111"/>
  <c r="Z86" i="119" s="1"/>
  <c r="G116" i="111"/>
  <c r="G106" i="113"/>
  <c r="G127" i="113" s="1"/>
  <c r="I116" i="113"/>
  <c r="G116" i="113"/>
  <c r="G114" i="109"/>
  <c r="G104" i="109"/>
  <c r="G125" i="109" s="1"/>
  <c r="I114" i="109"/>
  <c r="G115" i="109"/>
  <c r="G105" i="109"/>
  <c r="G126" i="109" s="1"/>
  <c r="I115" i="109"/>
  <c r="G102" i="111"/>
  <c r="G123" i="111" s="1"/>
  <c r="I112" i="111"/>
  <c r="Z82" i="119" s="1"/>
  <c r="G112" i="111"/>
  <c r="F96" i="115"/>
  <c r="F96" i="35"/>
  <c r="F96" i="114"/>
  <c r="F96" i="109"/>
  <c r="F96" i="113"/>
  <c r="F96" i="112"/>
  <c r="F96" i="111"/>
  <c r="F96" i="106"/>
  <c r="F96" i="107"/>
  <c r="F96" i="103"/>
  <c r="F96" i="105"/>
  <c r="F96" i="108"/>
  <c r="F96" i="110"/>
  <c r="F96" i="104"/>
  <c r="G107" i="114"/>
  <c r="G128" i="114" s="1"/>
  <c r="I117" i="114"/>
  <c r="G117" i="114"/>
  <c r="G103" i="115"/>
  <c r="G124" i="115" s="1"/>
  <c r="I113" i="115"/>
  <c r="G113" i="115"/>
  <c r="G104" i="110"/>
  <c r="G125" i="110" s="1"/>
  <c r="I114" i="110"/>
  <c r="G114" i="110"/>
  <c r="G102" i="110"/>
  <c r="G123" i="110" s="1"/>
  <c r="I112" i="110"/>
  <c r="G112" i="110"/>
  <c r="G106" i="114"/>
  <c r="G127" i="114" s="1"/>
  <c r="I116" i="114"/>
  <c r="G116" i="114"/>
  <c r="G106" i="110"/>
  <c r="G127" i="110" s="1"/>
  <c r="I116" i="110"/>
  <c r="G116" i="110"/>
  <c r="G101" i="114"/>
  <c r="H55" i="114"/>
  <c r="G111" i="114"/>
  <c r="G104" i="115"/>
  <c r="G125" i="115" s="1"/>
  <c r="I114" i="115"/>
  <c r="G114" i="115"/>
  <c r="G105" i="111"/>
  <c r="G126" i="111" s="1"/>
  <c r="I115" i="111"/>
  <c r="Z85" i="119" s="1"/>
  <c r="G115" i="111"/>
  <c r="G102" i="114"/>
  <c r="G123" i="114" s="1"/>
  <c r="I112" i="114"/>
  <c r="G112" i="114"/>
  <c r="G106" i="112"/>
  <c r="G127" i="112" s="1"/>
  <c r="I116" i="112"/>
  <c r="G116" i="112"/>
  <c r="G107" i="111"/>
  <c r="G128" i="111" s="1"/>
  <c r="I117" i="111"/>
  <c r="Z87" i="119" s="1"/>
  <c r="G117" i="111"/>
  <c r="F68" i="117"/>
  <c r="G113" i="109"/>
  <c r="G103" i="109"/>
  <c r="G124" i="109" s="1"/>
  <c r="I113" i="109"/>
  <c r="G105" i="110"/>
  <c r="G126" i="110" s="1"/>
  <c r="I115" i="110"/>
  <c r="G115" i="110"/>
  <c r="G102" i="112"/>
  <c r="G123" i="112" s="1"/>
  <c r="I112" i="112"/>
  <c r="G112" i="112"/>
  <c r="G107" i="110"/>
  <c r="G128" i="110" s="1"/>
  <c r="I117" i="110"/>
  <c r="G117" i="110"/>
  <c r="E68" i="117"/>
  <c r="G103" i="113"/>
  <c r="G124" i="113" s="1"/>
  <c r="I113" i="113"/>
  <c r="G113" i="113"/>
  <c r="G103" i="114"/>
  <c r="G124" i="114" s="1"/>
  <c r="I113" i="114"/>
  <c r="G113" i="114"/>
  <c r="F91" i="104"/>
  <c r="G91" i="104" s="1"/>
  <c r="F91" i="35"/>
  <c r="G91" i="35" s="1"/>
  <c r="F91" i="106"/>
  <c r="G91" i="106" s="1"/>
  <c r="F91" i="112"/>
  <c r="G91" i="112" s="1"/>
  <c r="F91" i="107"/>
  <c r="G91" i="107" s="1"/>
  <c r="F91" i="111"/>
  <c r="G91" i="111" s="1"/>
  <c r="F91" i="113"/>
  <c r="G91" i="113" s="1"/>
  <c r="F91" i="110"/>
  <c r="G91" i="110" s="1"/>
  <c r="F91" i="115"/>
  <c r="G91" i="115" s="1"/>
  <c r="F91" i="114"/>
  <c r="G91" i="114" s="1"/>
  <c r="F91" i="109"/>
  <c r="G91" i="109" s="1"/>
  <c r="F91" i="108"/>
  <c r="G91" i="108" s="1"/>
  <c r="F91" i="103"/>
  <c r="G91" i="103" s="1"/>
  <c r="F91" i="105"/>
  <c r="G91" i="105" s="1"/>
  <c r="G107" i="112"/>
  <c r="G128" i="112" s="1"/>
  <c r="I117" i="112"/>
  <c r="G117" i="112"/>
  <c r="H68" i="117"/>
  <c r="G104" i="113"/>
  <c r="G125" i="113" s="1"/>
  <c r="I114" i="113"/>
  <c r="G114" i="113"/>
  <c r="G104" i="114"/>
  <c r="G125" i="114" s="1"/>
  <c r="I114" i="114"/>
  <c r="G114" i="114"/>
  <c r="G101" i="113"/>
  <c r="H55" i="113"/>
  <c r="G111" i="113"/>
  <c r="G107" i="109"/>
  <c r="G128" i="109" s="1"/>
  <c r="G117" i="109"/>
  <c r="I117" i="109"/>
  <c r="G68" i="117"/>
  <c r="G105" i="113"/>
  <c r="G126" i="113" s="1"/>
  <c r="I115" i="113"/>
  <c r="G115" i="113"/>
  <c r="F92" i="108"/>
  <c r="G92" i="108" s="1"/>
  <c r="F92" i="106"/>
  <c r="G92" i="106" s="1"/>
  <c r="F92" i="107"/>
  <c r="G92" i="107" s="1"/>
  <c r="F92" i="112"/>
  <c r="G92" i="112" s="1"/>
  <c r="F92" i="105"/>
  <c r="G92" i="105" s="1"/>
  <c r="F92" i="111"/>
  <c r="G92" i="111" s="1"/>
  <c r="F92" i="113"/>
  <c r="G92" i="113" s="1"/>
  <c r="F92" i="110"/>
  <c r="G92" i="110" s="1"/>
  <c r="F92" i="115"/>
  <c r="G92" i="115" s="1"/>
  <c r="F92" i="35"/>
  <c r="G92" i="35" s="1"/>
  <c r="F92" i="114"/>
  <c r="G92" i="114" s="1"/>
  <c r="F92" i="109"/>
  <c r="G92" i="109" s="1"/>
  <c r="F92" i="103"/>
  <c r="G92" i="103" s="1"/>
  <c r="F92" i="104"/>
  <c r="G92" i="104" s="1"/>
  <c r="G101" i="111"/>
  <c r="H55" i="111"/>
  <c r="G111" i="111"/>
  <c r="G106" i="115"/>
  <c r="I116" i="115"/>
  <c r="G116" i="115"/>
  <c r="G103" i="111"/>
  <c r="G124" i="111" s="1"/>
  <c r="I113" i="111"/>
  <c r="Z83" i="119" s="1"/>
  <c r="G113" i="111"/>
  <c r="G101" i="110"/>
  <c r="H55" i="110"/>
  <c r="G111" i="110"/>
  <c r="G107" i="115"/>
  <c r="G128" i="115" s="1"/>
  <c r="I117" i="115"/>
  <c r="G117" i="115"/>
  <c r="Z163" i="101"/>
  <c r="AD155" i="101"/>
  <c r="H64" i="117"/>
  <c r="F64" i="117"/>
  <c r="G64" i="117"/>
  <c r="E64" i="117"/>
  <c r="D64" i="117"/>
  <c r="F65" i="117"/>
  <c r="G65" i="117"/>
  <c r="I23" i="106"/>
  <c r="Y36" i="101"/>
  <c r="Y59" i="101"/>
  <c r="Y37" i="101" s="1"/>
  <c r="Y60" i="101"/>
  <c r="Y38" i="101" s="1"/>
  <c r="O38" i="98" s="1"/>
  <c r="Y39" i="101"/>
  <c r="O39" i="98" s="1"/>
  <c r="P39" i="98" s="1"/>
  <c r="R39" i="98" s="1"/>
  <c r="Y40" i="101"/>
  <c r="H20" i="106"/>
  <c r="H140" i="106"/>
  <c r="H13" i="112"/>
  <c r="H20" i="112" s="1"/>
  <c r="H140" i="112"/>
  <c r="G9" i="117"/>
  <c r="G8" i="117"/>
  <c r="H20" i="110"/>
  <c r="K55" i="107"/>
  <c r="J111" i="107"/>
  <c r="K55" i="108"/>
  <c r="J111" i="108"/>
  <c r="K55" i="106"/>
  <c r="J111" i="106"/>
  <c r="K55" i="104"/>
  <c r="J111" i="104"/>
  <c r="K55" i="105"/>
  <c r="J111" i="105"/>
  <c r="K55" i="103"/>
  <c r="J111" i="103"/>
  <c r="G82" i="35"/>
  <c r="J105" i="35"/>
  <c r="G86" i="35"/>
  <c r="G85" i="35"/>
  <c r="G84" i="35"/>
  <c r="G83" i="35"/>
  <c r="I105" i="35"/>
  <c r="H101" i="35"/>
  <c r="G87" i="35"/>
  <c r="K105" i="35"/>
  <c r="R47" i="117" l="1"/>
  <c r="R46" i="117" s="1"/>
  <c r="D32" i="117" s="1"/>
  <c r="D40" i="117" s="1"/>
  <c r="G6" i="117" s="1"/>
  <c r="AA114" i="119" s="1"/>
  <c r="Z117" i="101"/>
  <c r="Z117" i="119"/>
  <c r="AA116" i="101"/>
  <c r="AA116" i="119"/>
  <c r="AB117" i="101"/>
  <c r="AB117" i="119"/>
  <c r="AA117" i="101"/>
  <c r="AA117" i="119"/>
  <c r="AB116" i="101"/>
  <c r="AB116" i="119"/>
  <c r="P39" i="117"/>
  <c r="R45" i="117"/>
  <c r="R42" i="117"/>
  <c r="R41" i="117"/>
  <c r="S42" i="117"/>
  <c r="S45" i="117"/>
  <c r="S39" i="117"/>
  <c r="S47" i="117"/>
  <c r="S46" i="117" s="1"/>
  <c r="D34" i="117" s="1"/>
  <c r="S43" i="117"/>
  <c r="R43" i="117"/>
  <c r="R39" i="117"/>
  <c r="S40" i="117"/>
  <c r="E34" i="117" s="1"/>
  <c r="E42" i="117" s="1"/>
  <c r="H7" i="117" s="1"/>
  <c r="S41" i="117"/>
  <c r="P44" i="117"/>
  <c r="P47" i="117"/>
  <c r="P46" i="117" s="1"/>
  <c r="P43" i="117"/>
  <c r="P41" i="117"/>
  <c r="P42" i="117"/>
  <c r="P40" i="117"/>
  <c r="P45" i="117"/>
  <c r="R40" i="117"/>
  <c r="E32" i="117" s="1"/>
  <c r="E40" i="117" s="1"/>
  <c r="G7" i="117" s="1"/>
  <c r="I40" i="117"/>
  <c r="G10" i="117" s="1"/>
  <c r="AD163" i="101"/>
  <c r="Q36" i="117"/>
  <c r="I104" i="35"/>
  <c r="J104" i="35"/>
  <c r="G118" i="110"/>
  <c r="Z82" i="101"/>
  <c r="J55" i="113"/>
  <c r="I111" i="113"/>
  <c r="I118" i="113" s="1"/>
  <c r="I101" i="110"/>
  <c r="I122" i="110" s="1"/>
  <c r="J101" i="110"/>
  <c r="J122" i="110" s="1"/>
  <c r="K101" i="110"/>
  <c r="K122" i="110" s="1"/>
  <c r="Z86" i="101"/>
  <c r="G96" i="114"/>
  <c r="F97" i="114"/>
  <c r="G97" i="114" s="1"/>
  <c r="J55" i="112"/>
  <c r="I111" i="112"/>
  <c r="J105" i="107"/>
  <c r="J137" i="107" s="1"/>
  <c r="I105" i="107"/>
  <c r="I137" i="107" s="1"/>
  <c r="K105" i="107"/>
  <c r="K103" i="104"/>
  <c r="J103" i="104"/>
  <c r="J135" i="104" s="1"/>
  <c r="I103" i="104"/>
  <c r="I135" i="104" s="1"/>
  <c r="K102" i="115"/>
  <c r="K123" i="115" s="1"/>
  <c r="I102" i="115"/>
  <c r="J102" i="115"/>
  <c r="J123" i="115" s="1"/>
  <c r="I101" i="113"/>
  <c r="J101" i="113"/>
  <c r="J122" i="113" s="1"/>
  <c r="K101" i="113"/>
  <c r="K122" i="113" s="1"/>
  <c r="G118" i="114"/>
  <c r="F97" i="104"/>
  <c r="G97" i="104" s="1"/>
  <c r="G96" i="104"/>
  <c r="F97" i="35"/>
  <c r="G97" i="35" s="1"/>
  <c r="G96" i="35"/>
  <c r="J105" i="103"/>
  <c r="J137" i="103" s="1"/>
  <c r="K105" i="103"/>
  <c r="I105" i="103"/>
  <c r="I137" i="103" s="1"/>
  <c r="J103" i="114"/>
  <c r="J124" i="114" s="1"/>
  <c r="I103" i="114"/>
  <c r="K103" i="114"/>
  <c r="K124" i="114" s="1"/>
  <c r="I103" i="110"/>
  <c r="J103" i="110"/>
  <c r="J124" i="110" s="1"/>
  <c r="K103" i="110"/>
  <c r="K124" i="110" s="1"/>
  <c r="J55" i="110"/>
  <c r="I111" i="110"/>
  <c r="I118" i="110" s="1"/>
  <c r="H69" i="115"/>
  <c r="G127" i="115"/>
  <c r="G129" i="115" s="1"/>
  <c r="I102" i="110"/>
  <c r="K102" i="110"/>
  <c r="K123" i="110" s="1"/>
  <c r="J102" i="110"/>
  <c r="J123" i="110" s="1"/>
  <c r="H69" i="113"/>
  <c r="G122" i="113"/>
  <c r="G129" i="113" s="1"/>
  <c r="I101" i="111"/>
  <c r="I122" i="111" s="1"/>
  <c r="K101" i="111"/>
  <c r="K122" i="111" s="1"/>
  <c r="J101" i="111"/>
  <c r="J122" i="111" s="1"/>
  <c r="G96" i="110"/>
  <c r="F97" i="110"/>
  <c r="G97" i="110" s="1"/>
  <c r="F97" i="115"/>
  <c r="G97" i="115" s="1"/>
  <c r="G96" i="115"/>
  <c r="H69" i="112"/>
  <c r="G122" i="112"/>
  <c r="G129" i="112" s="1"/>
  <c r="I104" i="112"/>
  <c r="J104" i="112"/>
  <c r="J125" i="112" s="1"/>
  <c r="K104" i="112"/>
  <c r="K125" i="112" s="1"/>
  <c r="J104" i="111"/>
  <c r="J125" i="111" s="1"/>
  <c r="K104" i="111"/>
  <c r="K125" i="111" s="1"/>
  <c r="I104" i="111"/>
  <c r="K104" i="105"/>
  <c r="J104" i="105"/>
  <c r="J136" i="105" s="1"/>
  <c r="I104" i="105"/>
  <c r="I136" i="105" s="1"/>
  <c r="G118" i="111"/>
  <c r="K102" i="113"/>
  <c r="K123" i="113" s="1"/>
  <c r="J102" i="113"/>
  <c r="J123" i="113" s="1"/>
  <c r="I102" i="113"/>
  <c r="I101" i="107"/>
  <c r="I133" i="107" s="1"/>
  <c r="K101" i="107"/>
  <c r="J101" i="107"/>
  <c r="J133" i="107" s="1"/>
  <c r="G96" i="108"/>
  <c r="F97" i="108"/>
  <c r="G97" i="108" s="1"/>
  <c r="Z85" i="101"/>
  <c r="K105" i="110"/>
  <c r="K126" i="110" s="1"/>
  <c r="I105" i="110"/>
  <c r="J105" i="110"/>
  <c r="J126" i="110" s="1"/>
  <c r="K103" i="105"/>
  <c r="J103" i="105"/>
  <c r="J135" i="105" s="1"/>
  <c r="I103" i="105"/>
  <c r="I135" i="105" s="1"/>
  <c r="I104" i="104"/>
  <c r="I136" i="104" s="1"/>
  <c r="J104" i="104"/>
  <c r="J136" i="104" s="1"/>
  <c r="K104" i="104"/>
  <c r="H69" i="110"/>
  <c r="G122" i="110"/>
  <c r="G129" i="110" s="1"/>
  <c r="K102" i="111"/>
  <c r="K123" i="111" s="1"/>
  <c r="J102" i="111"/>
  <c r="J123" i="111" s="1"/>
  <c r="I102" i="111"/>
  <c r="Z87" i="101"/>
  <c r="I101" i="112"/>
  <c r="I122" i="112" s="1"/>
  <c r="J101" i="112"/>
  <c r="J122" i="112" s="1"/>
  <c r="K101" i="112"/>
  <c r="K122" i="112" s="1"/>
  <c r="J55" i="114"/>
  <c r="I111" i="114"/>
  <c r="I118" i="114" s="1"/>
  <c r="F97" i="105"/>
  <c r="G97" i="105" s="1"/>
  <c r="G96" i="105"/>
  <c r="I104" i="106"/>
  <c r="I136" i="106" s="1"/>
  <c r="J104" i="106"/>
  <c r="J136" i="106" s="1"/>
  <c r="K104" i="106"/>
  <c r="K105" i="114"/>
  <c r="K126" i="114" s="1"/>
  <c r="J105" i="114"/>
  <c r="J126" i="114" s="1"/>
  <c r="I105" i="114"/>
  <c r="G118" i="115"/>
  <c r="J55" i="111"/>
  <c r="I111" i="111"/>
  <c r="K102" i="105"/>
  <c r="J102" i="105"/>
  <c r="J134" i="105" s="1"/>
  <c r="I102" i="105"/>
  <c r="I134" i="105" s="1"/>
  <c r="J101" i="106"/>
  <c r="I101" i="106"/>
  <c r="K101" i="106"/>
  <c r="F97" i="103"/>
  <c r="G97" i="103" s="1"/>
  <c r="G96" i="103"/>
  <c r="I111" i="109"/>
  <c r="I118" i="109" s="1"/>
  <c r="J55" i="109"/>
  <c r="Z83" i="101"/>
  <c r="I105" i="105"/>
  <c r="I137" i="105" s="1"/>
  <c r="J105" i="105"/>
  <c r="J137" i="105" s="1"/>
  <c r="K105" i="105"/>
  <c r="J104" i="107"/>
  <c r="J136" i="107" s="1"/>
  <c r="I104" i="107"/>
  <c r="I136" i="107" s="1"/>
  <c r="K104" i="107"/>
  <c r="K104" i="114"/>
  <c r="K125" i="114" s="1"/>
  <c r="J104" i="114"/>
  <c r="J125" i="114" s="1"/>
  <c r="I104" i="114"/>
  <c r="I105" i="108"/>
  <c r="I137" i="108" s="1"/>
  <c r="J105" i="108"/>
  <c r="J137" i="108" s="1"/>
  <c r="K105" i="108"/>
  <c r="I102" i="112"/>
  <c r="J102" i="112"/>
  <c r="J123" i="112" s="1"/>
  <c r="K102" i="112"/>
  <c r="K123" i="112" s="1"/>
  <c r="I101" i="105"/>
  <c r="J101" i="105"/>
  <c r="J133" i="105" s="1"/>
  <c r="K101" i="105"/>
  <c r="H69" i="114"/>
  <c r="G122" i="114"/>
  <c r="G129" i="114" s="1"/>
  <c r="F97" i="107"/>
  <c r="G97" i="107" s="1"/>
  <c r="G96" i="107"/>
  <c r="I103" i="109"/>
  <c r="I124" i="109" s="1"/>
  <c r="J103" i="109"/>
  <c r="J124" i="109" s="1"/>
  <c r="K103" i="109"/>
  <c r="K124" i="109" s="1"/>
  <c r="I105" i="109"/>
  <c r="I126" i="109" s="1"/>
  <c r="K105" i="109"/>
  <c r="K126" i="109" s="1"/>
  <c r="J105" i="109"/>
  <c r="J126" i="109" s="1"/>
  <c r="J103" i="112"/>
  <c r="J124" i="112" s="1"/>
  <c r="I103" i="112"/>
  <c r="K103" i="112"/>
  <c r="K124" i="112" s="1"/>
  <c r="K105" i="104"/>
  <c r="J105" i="104"/>
  <c r="J137" i="104" s="1"/>
  <c r="I105" i="104"/>
  <c r="I137" i="104" s="1"/>
  <c r="H69" i="111"/>
  <c r="G122" i="111"/>
  <c r="G129" i="111" s="1"/>
  <c r="K102" i="107"/>
  <c r="J102" i="107"/>
  <c r="J134" i="107" s="1"/>
  <c r="I102" i="107"/>
  <c r="I134" i="107" s="1"/>
  <c r="I101" i="103"/>
  <c r="I133" i="103" s="1"/>
  <c r="K101" i="103"/>
  <c r="J101" i="103"/>
  <c r="J133" i="103" s="1"/>
  <c r="J101" i="104"/>
  <c r="J133" i="104" s="1"/>
  <c r="I101" i="104"/>
  <c r="I133" i="104" s="1"/>
  <c r="K101" i="104"/>
  <c r="F97" i="106"/>
  <c r="G97" i="106" s="1"/>
  <c r="G96" i="106"/>
  <c r="G118" i="109"/>
  <c r="K103" i="113"/>
  <c r="K124" i="113" s="1"/>
  <c r="I103" i="113"/>
  <c r="J103" i="113"/>
  <c r="J124" i="113" s="1"/>
  <c r="J103" i="111"/>
  <c r="J124" i="111" s="1"/>
  <c r="K103" i="111"/>
  <c r="K124" i="111" s="1"/>
  <c r="I103" i="111"/>
  <c r="K104" i="108"/>
  <c r="J104" i="108"/>
  <c r="J136" i="108" s="1"/>
  <c r="I104" i="108"/>
  <c r="I136" i="108" s="1"/>
  <c r="K104" i="115"/>
  <c r="K125" i="115" s="1"/>
  <c r="J104" i="115"/>
  <c r="J125" i="115" s="1"/>
  <c r="I104" i="115"/>
  <c r="J55" i="115"/>
  <c r="I111" i="115"/>
  <c r="I118" i="115" s="1"/>
  <c r="K102" i="104"/>
  <c r="I102" i="104"/>
  <c r="I134" i="104" s="1"/>
  <c r="J102" i="104"/>
  <c r="J134" i="104" s="1"/>
  <c r="J102" i="106"/>
  <c r="J134" i="106" s="1"/>
  <c r="I102" i="106"/>
  <c r="I134" i="106" s="1"/>
  <c r="K102" i="106"/>
  <c r="K101" i="108"/>
  <c r="J101" i="108"/>
  <c r="J133" i="108" s="1"/>
  <c r="I101" i="108"/>
  <c r="I133" i="108" s="1"/>
  <c r="F97" i="111"/>
  <c r="G97" i="111" s="1"/>
  <c r="G96" i="111"/>
  <c r="G122" i="109"/>
  <c r="G129" i="109" s="1"/>
  <c r="H69" i="109"/>
  <c r="J103" i="106"/>
  <c r="J135" i="106" s="1"/>
  <c r="I103" i="106"/>
  <c r="I135" i="106" s="1"/>
  <c r="K103" i="106"/>
  <c r="I105" i="106"/>
  <c r="I137" i="106" s="1"/>
  <c r="K105" i="106"/>
  <c r="J105" i="106"/>
  <c r="J137" i="106" s="1"/>
  <c r="I104" i="103"/>
  <c r="I136" i="103" s="1"/>
  <c r="J104" i="103"/>
  <c r="J136" i="103" s="1"/>
  <c r="K104" i="103"/>
  <c r="J102" i="103"/>
  <c r="J134" i="103" s="1"/>
  <c r="I102" i="103"/>
  <c r="I134" i="103" s="1"/>
  <c r="K102" i="103"/>
  <c r="J102" i="108"/>
  <c r="J134" i="108" s="1"/>
  <c r="I102" i="108"/>
  <c r="I134" i="108" s="1"/>
  <c r="K102" i="108"/>
  <c r="G118" i="113"/>
  <c r="I101" i="109"/>
  <c r="I122" i="109" s="1"/>
  <c r="K101" i="109"/>
  <c r="K122" i="109" s="1"/>
  <c r="J101" i="109"/>
  <c r="J122" i="109" s="1"/>
  <c r="F97" i="112"/>
  <c r="G97" i="112" s="1"/>
  <c r="G96" i="112"/>
  <c r="J103" i="107"/>
  <c r="J135" i="107" s="1"/>
  <c r="I103" i="107"/>
  <c r="I135" i="107" s="1"/>
  <c r="K103" i="107"/>
  <c r="J105" i="111"/>
  <c r="J126" i="111" s="1"/>
  <c r="K105" i="111"/>
  <c r="K126" i="111" s="1"/>
  <c r="I105" i="111"/>
  <c r="J103" i="115"/>
  <c r="J124" i="115" s="1"/>
  <c r="I103" i="115"/>
  <c r="K103" i="115"/>
  <c r="K124" i="115" s="1"/>
  <c r="J105" i="112"/>
  <c r="J126" i="112" s="1"/>
  <c r="K105" i="112"/>
  <c r="K126" i="112" s="1"/>
  <c r="I105" i="112"/>
  <c r="I102" i="109"/>
  <c r="I123" i="109" s="1"/>
  <c r="K102" i="109"/>
  <c r="K123" i="109" s="1"/>
  <c r="J102" i="109"/>
  <c r="J123" i="109" s="1"/>
  <c r="I101" i="114"/>
  <c r="I122" i="114" s="1"/>
  <c r="J101" i="114"/>
  <c r="J122" i="114" s="1"/>
  <c r="K101" i="114"/>
  <c r="K122" i="114" s="1"/>
  <c r="G96" i="113"/>
  <c r="F97" i="113"/>
  <c r="G97" i="113" s="1"/>
  <c r="G118" i="112"/>
  <c r="J104" i="109"/>
  <c r="J125" i="109" s="1"/>
  <c r="I104" i="109"/>
  <c r="I125" i="109" s="1"/>
  <c r="K104" i="109"/>
  <c r="K125" i="109" s="1"/>
  <c r="K104" i="113"/>
  <c r="K125" i="113" s="1"/>
  <c r="J104" i="113"/>
  <c r="J125" i="113" s="1"/>
  <c r="I104" i="113"/>
  <c r="K105" i="113"/>
  <c r="K126" i="113" s="1"/>
  <c r="I105" i="113"/>
  <c r="J105" i="113"/>
  <c r="J126" i="113" s="1"/>
  <c r="K104" i="110"/>
  <c r="K125" i="110" s="1"/>
  <c r="I104" i="110"/>
  <c r="J104" i="110"/>
  <c r="J125" i="110" s="1"/>
  <c r="Z84" i="101"/>
  <c r="K102" i="114"/>
  <c r="K123" i="114" s="1"/>
  <c r="J102" i="114"/>
  <c r="J123" i="114" s="1"/>
  <c r="I102" i="114"/>
  <c r="I101" i="115"/>
  <c r="I122" i="115" s="1"/>
  <c r="K101" i="115"/>
  <c r="K122" i="115" s="1"/>
  <c r="J101" i="115"/>
  <c r="J122" i="115" s="1"/>
  <c r="F97" i="109"/>
  <c r="G97" i="109" s="1"/>
  <c r="G96" i="109"/>
  <c r="K105" i="115"/>
  <c r="K126" i="115" s="1"/>
  <c r="I105" i="115"/>
  <c r="J105" i="115"/>
  <c r="J126" i="115" s="1"/>
  <c r="J103" i="108"/>
  <c r="J135" i="108" s="1"/>
  <c r="K103" i="108"/>
  <c r="I103" i="108"/>
  <c r="I135" i="108" s="1"/>
  <c r="J103" i="103"/>
  <c r="J135" i="103" s="1"/>
  <c r="K103" i="103"/>
  <c r="I103" i="103"/>
  <c r="I135" i="103" s="1"/>
  <c r="G102" i="35"/>
  <c r="K85" i="107"/>
  <c r="K81" i="107"/>
  <c r="K82" i="107"/>
  <c r="K86" i="107"/>
  <c r="K83" i="107"/>
  <c r="K87" i="107"/>
  <c r="K84" i="107"/>
  <c r="K82" i="108"/>
  <c r="K86" i="108"/>
  <c r="K83" i="108"/>
  <c r="K87" i="108"/>
  <c r="K84" i="108"/>
  <c r="K81" i="108"/>
  <c r="K85" i="108"/>
  <c r="K85" i="103"/>
  <c r="K82" i="103"/>
  <c r="K86" i="103"/>
  <c r="K81" i="103"/>
  <c r="K84" i="103"/>
  <c r="K83" i="103"/>
  <c r="K87" i="103"/>
  <c r="K82" i="104"/>
  <c r="K85" i="104"/>
  <c r="K81" i="104"/>
  <c r="K86" i="104"/>
  <c r="K83" i="104"/>
  <c r="K87" i="104"/>
  <c r="K84" i="104"/>
  <c r="K86" i="105"/>
  <c r="K83" i="105"/>
  <c r="K87" i="105"/>
  <c r="K84" i="105"/>
  <c r="K81" i="105"/>
  <c r="K85" i="105"/>
  <c r="K82" i="105"/>
  <c r="K87" i="106"/>
  <c r="K84" i="106"/>
  <c r="K81" i="106"/>
  <c r="K85" i="106"/>
  <c r="K82" i="106"/>
  <c r="K86" i="106"/>
  <c r="K83" i="106"/>
  <c r="O37" i="98"/>
  <c r="P37" i="98" s="1"/>
  <c r="R37" i="98" s="1"/>
  <c r="Y134" i="101"/>
  <c r="O36" i="98"/>
  <c r="P36" i="98" s="1"/>
  <c r="R36" i="98" s="1"/>
  <c r="Y133" i="101"/>
  <c r="O40" i="98"/>
  <c r="P40" i="98" s="1"/>
  <c r="R40" i="98" s="1"/>
  <c r="Y57" i="101"/>
  <c r="Y64" i="101" s="1"/>
  <c r="I133" i="106"/>
  <c r="J118" i="106"/>
  <c r="J23" i="106" s="1"/>
  <c r="J133" i="106"/>
  <c r="J118" i="107"/>
  <c r="J23" i="107" s="1"/>
  <c r="J118" i="108"/>
  <c r="J23" i="108" s="1"/>
  <c r="J118" i="104"/>
  <c r="J23" i="104" s="1"/>
  <c r="J118" i="105"/>
  <c r="J23" i="105" s="1"/>
  <c r="J118" i="103"/>
  <c r="J23" i="103" s="1"/>
  <c r="G106" i="35"/>
  <c r="G103" i="35"/>
  <c r="G101" i="35"/>
  <c r="G105" i="35"/>
  <c r="M105" i="35" s="1"/>
  <c r="G107" i="35"/>
  <c r="G104" i="35"/>
  <c r="M104" i="35" s="1"/>
  <c r="P28" i="99"/>
  <c r="P29" i="99" s="1"/>
  <c r="P30" i="99" s="1"/>
  <c r="D33" i="117" l="1"/>
  <c r="D41" i="117" s="1"/>
  <c r="I118" i="111"/>
  <c r="Z81" i="119"/>
  <c r="Z88" i="119" s="1"/>
  <c r="Z89" i="119" s="1"/>
  <c r="AB94" i="119"/>
  <c r="AA94" i="119"/>
  <c r="D42" i="117"/>
  <c r="H6" i="117" s="1"/>
  <c r="AB114" i="119" s="1"/>
  <c r="AB115" i="101"/>
  <c r="AB115" i="119"/>
  <c r="AA118" i="101"/>
  <c r="AA118" i="119"/>
  <c r="AA115" i="101"/>
  <c r="AA115" i="119"/>
  <c r="I34" i="117"/>
  <c r="I42" i="117" s="1"/>
  <c r="H10" i="117" s="1"/>
  <c r="AA114" i="101"/>
  <c r="J32" i="117"/>
  <c r="L32" i="117" s="1"/>
  <c r="E33" i="117"/>
  <c r="E41" i="117" s="1"/>
  <c r="Q43" i="117"/>
  <c r="Q45" i="117"/>
  <c r="Q39" i="117"/>
  <c r="G30" i="117" s="1"/>
  <c r="Q47" i="117"/>
  <c r="Q46" i="117" s="1"/>
  <c r="D30" i="117" s="1"/>
  <c r="Q42" i="117"/>
  <c r="Q40" i="117"/>
  <c r="E30" i="117" s="1"/>
  <c r="Q41" i="117"/>
  <c r="Q44" i="117"/>
  <c r="J82" i="110"/>
  <c r="J112" i="110" s="1"/>
  <c r="J134" i="110" s="1"/>
  <c r="J81" i="110"/>
  <c r="J83" i="110"/>
  <c r="J113" i="110" s="1"/>
  <c r="J135" i="110" s="1"/>
  <c r="J84" i="110"/>
  <c r="J114" i="110" s="1"/>
  <c r="J136" i="110" s="1"/>
  <c r="J85" i="110"/>
  <c r="J115" i="110" s="1"/>
  <c r="J137" i="110" s="1"/>
  <c r="J86" i="110"/>
  <c r="J116" i="110" s="1"/>
  <c r="J87" i="110"/>
  <c r="J117" i="110" s="1"/>
  <c r="J82" i="113"/>
  <c r="J112" i="113" s="1"/>
  <c r="J134" i="113" s="1"/>
  <c r="J83" i="113"/>
  <c r="J113" i="113" s="1"/>
  <c r="J135" i="113" s="1"/>
  <c r="J84" i="113"/>
  <c r="J114" i="113" s="1"/>
  <c r="J136" i="113" s="1"/>
  <c r="J85" i="113"/>
  <c r="J115" i="113" s="1"/>
  <c r="J137" i="113" s="1"/>
  <c r="J86" i="113"/>
  <c r="J116" i="113" s="1"/>
  <c r="J87" i="113"/>
  <c r="J81" i="113"/>
  <c r="J81" i="112"/>
  <c r="J83" i="112"/>
  <c r="J113" i="112" s="1"/>
  <c r="J82" i="112"/>
  <c r="J112" i="112" s="1"/>
  <c r="J134" i="112" s="1"/>
  <c r="J84" i="112"/>
  <c r="J85" i="112"/>
  <c r="J115" i="112" s="1"/>
  <c r="J137" i="112" s="1"/>
  <c r="J86" i="112"/>
  <c r="J116" i="112" s="1"/>
  <c r="J87" i="112"/>
  <c r="J117" i="112" s="1"/>
  <c r="J82" i="115"/>
  <c r="J112" i="115" s="1"/>
  <c r="J134" i="115" s="1"/>
  <c r="J83" i="115"/>
  <c r="J113" i="115" s="1"/>
  <c r="J135" i="115" s="1"/>
  <c r="J84" i="115"/>
  <c r="J114" i="115" s="1"/>
  <c r="J136" i="115" s="1"/>
  <c r="J85" i="115"/>
  <c r="J115" i="115" s="1"/>
  <c r="J137" i="115" s="1"/>
  <c r="J86" i="115"/>
  <c r="J116" i="115" s="1"/>
  <c r="J87" i="115"/>
  <c r="J117" i="115" s="1"/>
  <c r="J81" i="115"/>
  <c r="J83" i="114"/>
  <c r="J113" i="114" s="1"/>
  <c r="J135" i="114" s="1"/>
  <c r="J82" i="114"/>
  <c r="J112" i="114" s="1"/>
  <c r="J134" i="114" s="1"/>
  <c r="J84" i="114"/>
  <c r="J114" i="114" s="1"/>
  <c r="J136" i="114" s="1"/>
  <c r="J85" i="114"/>
  <c r="J115" i="114" s="1"/>
  <c r="J137" i="114" s="1"/>
  <c r="J86" i="114"/>
  <c r="J116" i="114" s="1"/>
  <c r="J81" i="114"/>
  <c r="J87" i="114"/>
  <c r="J117" i="114" s="1"/>
  <c r="J82" i="111"/>
  <c r="J112" i="111" s="1"/>
  <c r="J134" i="111" s="1"/>
  <c r="J83" i="111"/>
  <c r="J113" i="111" s="1"/>
  <c r="J135" i="111" s="1"/>
  <c r="J84" i="111"/>
  <c r="J114" i="111" s="1"/>
  <c r="J136" i="111" s="1"/>
  <c r="J85" i="111"/>
  <c r="J115" i="111" s="1"/>
  <c r="J137" i="111" s="1"/>
  <c r="J86" i="111"/>
  <c r="J116" i="111" s="1"/>
  <c r="J87" i="111"/>
  <c r="J117" i="111" s="1"/>
  <c r="J81" i="111"/>
  <c r="J86" i="109"/>
  <c r="J116" i="109" s="1"/>
  <c r="J87" i="109"/>
  <c r="J117" i="109" s="1"/>
  <c r="J83" i="109"/>
  <c r="J113" i="109" s="1"/>
  <c r="J84" i="109"/>
  <c r="J114" i="109" s="1"/>
  <c r="J85" i="109"/>
  <c r="J115" i="109" s="1"/>
  <c r="J82" i="109"/>
  <c r="J112" i="109" s="1"/>
  <c r="J81" i="109"/>
  <c r="I123" i="112"/>
  <c r="I134" i="112" s="1"/>
  <c r="I125" i="112"/>
  <c r="I136" i="112" s="1"/>
  <c r="I123" i="115"/>
  <c r="I134" i="115" s="1"/>
  <c r="I126" i="112"/>
  <c r="I125" i="110"/>
  <c r="I136" i="110" s="1"/>
  <c r="I125" i="114"/>
  <c r="I136" i="114" s="1"/>
  <c r="I124" i="114"/>
  <c r="I135" i="114" s="1"/>
  <c r="I124" i="115"/>
  <c r="I123" i="111"/>
  <c r="Z94" i="119" s="1"/>
  <c r="I126" i="110"/>
  <c r="I137" i="110" s="1"/>
  <c r="I126" i="113"/>
  <c r="I137" i="113" s="1"/>
  <c r="I126" i="111"/>
  <c r="I137" i="111" s="1"/>
  <c r="I124" i="111"/>
  <c r="I135" i="111" s="1"/>
  <c r="I124" i="112"/>
  <c r="I135" i="112" s="1"/>
  <c r="I125" i="115"/>
  <c r="I136" i="115" s="1"/>
  <c r="I125" i="111"/>
  <c r="I136" i="111" s="1"/>
  <c r="I123" i="110"/>
  <c r="I125" i="113"/>
  <c r="I136" i="113" s="1"/>
  <c r="I124" i="110"/>
  <c r="I135" i="110" s="1"/>
  <c r="I122" i="113"/>
  <c r="Z93" i="101" s="1"/>
  <c r="I123" i="113"/>
  <c r="I134" i="113" s="1"/>
  <c r="I126" i="114"/>
  <c r="I137" i="114" s="1"/>
  <c r="I126" i="115"/>
  <c r="I137" i="115" s="1"/>
  <c r="I123" i="114"/>
  <c r="I134" i="114" s="1"/>
  <c r="I124" i="113"/>
  <c r="I135" i="113" s="1"/>
  <c r="I23" i="111"/>
  <c r="I133" i="110"/>
  <c r="I23" i="110"/>
  <c r="I133" i="109"/>
  <c r="I23" i="115"/>
  <c r="I133" i="111"/>
  <c r="I133" i="115"/>
  <c r="I133" i="114"/>
  <c r="AA93" i="101"/>
  <c r="M103" i="111"/>
  <c r="M124" i="111"/>
  <c r="M101" i="103"/>
  <c r="M122" i="103"/>
  <c r="K107" i="108"/>
  <c r="J107" i="108"/>
  <c r="J139" i="108" s="1"/>
  <c r="I107" i="108"/>
  <c r="I139" i="108" s="1"/>
  <c r="M103" i="110"/>
  <c r="M124" i="110"/>
  <c r="K107" i="104"/>
  <c r="J107" i="104"/>
  <c r="J139" i="104" s="1"/>
  <c r="I107" i="104"/>
  <c r="I139" i="104" s="1"/>
  <c r="M102" i="109"/>
  <c r="M105" i="109"/>
  <c r="M101" i="113"/>
  <c r="M122" i="113"/>
  <c r="Z81" i="101"/>
  <c r="Z88" i="101" s="1"/>
  <c r="Z89" i="101" s="1"/>
  <c r="I118" i="112"/>
  <c r="I23" i="112" s="1"/>
  <c r="I133" i="105"/>
  <c r="M104" i="113"/>
  <c r="M125" i="113"/>
  <c r="I134" i="109"/>
  <c r="I137" i="109"/>
  <c r="M102" i="105"/>
  <c r="M123" i="105"/>
  <c r="I23" i="114"/>
  <c r="M122" i="107"/>
  <c r="M101" i="107"/>
  <c r="M104" i="112"/>
  <c r="M125" i="112"/>
  <c r="M103" i="114"/>
  <c r="M124" i="114"/>
  <c r="J114" i="112"/>
  <c r="J136" i="112" s="1"/>
  <c r="I106" i="105"/>
  <c r="K106" i="105"/>
  <c r="K127" i="105" s="1"/>
  <c r="J106" i="105"/>
  <c r="J127" i="105" s="1"/>
  <c r="I136" i="109"/>
  <c r="I106" i="112"/>
  <c r="K106" i="112"/>
  <c r="K127" i="112" s="1"/>
  <c r="J106" i="112"/>
  <c r="J127" i="112" s="1"/>
  <c r="M104" i="103"/>
  <c r="M125" i="103"/>
  <c r="I107" i="111"/>
  <c r="K107" i="111"/>
  <c r="K128" i="111" s="1"/>
  <c r="J107" i="111"/>
  <c r="J128" i="111" s="1"/>
  <c r="AA95" i="101"/>
  <c r="M105" i="108"/>
  <c r="M126" i="108"/>
  <c r="M101" i="112"/>
  <c r="M122" i="112"/>
  <c r="J106" i="114"/>
  <c r="J127" i="114" s="1"/>
  <c r="I106" i="114"/>
  <c r="K106" i="114"/>
  <c r="K127" i="114" s="1"/>
  <c r="K106" i="108"/>
  <c r="K127" i="108" s="1"/>
  <c r="J106" i="108"/>
  <c r="I106" i="108"/>
  <c r="M103" i="107"/>
  <c r="M124" i="107"/>
  <c r="M105" i="105"/>
  <c r="M126" i="105"/>
  <c r="AA96" i="101"/>
  <c r="M105" i="112"/>
  <c r="M126" i="112"/>
  <c r="J107" i="112"/>
  <c r="J128" i="112" s="1"/>
  <c r="K107" i="112"/>
  <c r="K128" i="112" s="1"/>
  <c r="I107" i="112"/>
  <c r="I106" i="106"/>
  <c r="J106" i="106"/>
  <c r="J127" i="106" s="1"/>
  <c r="K106" i="106"/>
  <c r="K127" i="106" s="1"/>
  <c r="I135" i="109"/>
  <c r="M102" i="110"/>
  <c r="M123" i="110"/>
  <c r="M105" i="111"/>
  <c r="M126" i="111"/>
  <c r="M102" i="103"/>
  <c r="M123" i="103"/>
  <c r="M102" i="112"/>
  <c r="M123" i="112"/>
  <c r="K107" i="105"/>
  <c r="J107" i="105"/>
  <c r="J139" i="105" s="1"/>
  <c r="I107" i="105"/>
  <c r="I139" i="105" s="1"/>
  <c r="M103" i="108"/>
  <c r="M124" i="108"/>
  <c r="M104" i="115"/>
  <c r="M125" i="115"/>
  <c r="J107" i="106"/>
  <c r="J139" i="106" s="1"/>
  <c r="I107" i="106"/>
  <c r="I139" i="106" s="1"/>
  <c r="K107" i="106"/>
  <c r="J106" i="107"/>
  <c r="I106" i="107"/>
  <c r="K106" i="107"/>
  <c r="K127" i="107" s="1"/>
  <c r="I23" i="109"/>
  <c r="M103" i="105"/>
  <c r="M124" i="105"/>
  <c r="M102" i="113"/>
  <c r="M123" i="113"/>
  <c r="M105" i="103"/>
  <c r="M126" i="103"/>
  <c r="M102" i="115"/>
  <c r="M123" i="115"/>
  <c r="M101" i="110"/>
  <c r="M122" i="110"/>
  <c r="M105" i="113"/>
  <c r="M126" i="113"/>
  <c r="AA94" i="101"/>
  <c r="AA97" i="101"/>
  <c r="J106" i="111"/>
  <c r="J127" i="111" s="1"/>
  <c r="I106" i="111"/>
  <c r="K106" i="111"/>
  <c r="K127" i="111" s="1"/>
  <c r="M102" i="107"/>
  <c r="M123" i="107"/>
  <c r="J107" i="113"/>
  <c r="J128" i="113" s="1"/>
  <c r="K107" i="113"/>
  <c r="K128" i="113" s="1"/>
  <c r="I107" i="113"/>
  <c r="M103" i="115"/>
  <c r="M124" i="115"/>
  <c r="M101" i="109"/>
  <c r="M101" i="108"/>
  <c r="M122" i="108"/>
  <c r="M101" i="104"/>
  <c r="M122" i="104"/>
  <c r="I107" i="107"/>
  <c r="I139" i="107" s="1"/>
  <c r="K107" i="107"/>
  <c r="J107" i="107"/>
  <c r="J139" i="107" s="1"/>
  <c r="K106" i="103"/>
  <c r="K127" i="103" s="1"/>
  <c r="J106" i="103"/>
  <c r="J127" i="103" s="1"/>
  <c r="I106" i="103"/>
  <c r="J106" i="115"/>
  <c r="J127" i="115" s="1"/>
  <c r="I106" i="115"/>
  <c r="K106" i="115"/>
  <c r="K127" i="115" s="1"/>
  <c r="M104" i="111"/>
  <c r="M125" i="111"/>
  <c r="M102" i="104"/>
  <c r="M123" i="104"/>
  <c r="M103" i="113"/>
  <c r="M124" i="113"/>
  <c r="M103" i="109"/>
  <c r="I107" i="114"/>
  <c r="K107" i="114"/>
  <c r="K128" i="114" s="1"/>
  <c r="J107" i="114"/>
  <c r="J128" i="114" s="1"/>
  <c r="M105" i="115"/>
  <c r="M126" i="115"/>
  <c r="M104" i="110"/>
  <c r="M125" i="110"/>
  <c r="K106" i="113"/>
  <c r="K127" i="113" s="1"/>
  <c r="J106" i="113"/>
  <c r="J127" i="113" s="1"/>
  <c r="I106" i="113"/>
  <c r="M105" i="106"/>
  <c r="M126" i="106"/>
  <c r="M102" i="106"/>
  <c r="M123" i="106"/>
  <c r="M105" i="104"/>
  <c r="M126" i="104"/>
  <c r="J107" i="103"/>
  <c r="J139" i="103" s="1"/>
  <c r="I107" i="103"/>
  <c r="I139" i="103" s="1"/>
  <c r="K107" i="103"/>
  <c r="M105" i="114"/>
  <c r="M126" i="114"/>
  <c r="K107" i="115"/>
  <c r="K128" i="115" s="1"/>
  <c r="J107" i="115"/>
  <c r="J128" i="115" s="1"/>
  <c r="I107" i="115"/>
  <c r="M104" i="109"/>
  <c r="M102" i="114"/>
  <c r="M123" i="114"/>
  <c r="I133" i="112"/>
  <c r="J106" i="109"/>
  <c r="J127" i="109" s="1"/>
  <c r="K106" i="109"/>
  <c r="K127" i="109" s="1"/>
  <c r="I106" i="109"/>
  <c r="I127" i="109" s="1"/>
  <c r="M101" i="114"/>
  <c r="M122" i="114"/>
  <c r="M104" i="108"/>
  <c r="M125" i="108"/>
  <c r="M103" i="112"/>
  <c r="M124" i="112"/>
  <c r="M104" i="114"/>
  <c r="M125" i="114"/>
  <c r="M101" i="106"/>
  <c r="M122" i="106"/>
  <c r="M104" i="106"/>
  <c r="M125" i="106"/>
  <c r="M105" i="110"/>
  <c r="M126" i="110"/>
  <c r="I107" i="110"/>
  <c r="J107" i="110"/>
  <c r="J128" i="110" s="1"/>
  <c r="K107" i="110"/>
  <c r="K128" i="110" s="1"/>
  <c r="M103" i="104"/>
  <c r="M124" i="104"/>
  <c r="I23" i="113"/>
  <c r="M101" i="115"/>
  <c r="M122" i="115"/>
  <c r="M101" i="111"/>
  <c r="M122" i="111"/>
  <c r="M103" i="103"/>
  <c r="M124" i="103"/>
  <c r="M125" i="104"/>
  <c r="M104" i="104"/>
  <c r="K107" i="109"/>
  <c r="K128" i="109" s="1"/>
  <c r="J107" i="109"/>
  <c r="J128" i="109" s="1"/>
  <c r="I107" i="109"/>
  <c r="I128" i="109" s="1"/>
  <c r="M102" i="108"/>
  <c r="M123" i="108"/>
  <c r="M103" i="106"/>
  <c r="M124" i="106"/>
  <c r="M101" i="105"/>
  <c r="M122" i="105"/>
  <c r="M104" i="107"/>
  <c r="M125" i="107"/>
  <c r="M102" i="111"/>
  <c r="M123" i="111"/>
  <c r="M104" i="105"/>
  <c r="M125" i="105"/>
  <c r="I106" i="110"/>
  <c r="K106" i="110"/>
  <c r="K127" i="110" s="1"/>
  <c r="J106" i="110"/>
  <c r="J127" i="110" s="1"/>
  <c r="K106" i="104"/>
  <c r="K127" i="104" s="1"/>
  <c r="J106" i="104"/>
  <c r="I106" i="104"/>
  <c r="M105" i="107"/>
  <c r="M126" i="107"/>
  <c r="J117" i="113"/>
  <c r="Y35" i="101"/>
  <c r="O35" i="98" s="1"/>
  <c r="O41" i="98" s="1"/>
  <c r="K159" i="107"/>
  <c r="K113" i="107"/>
  <c r="K157" i="107"/>
  <c r="K111" i="107"/>
  <c r="K163" i="107"/>
  <c r="K117" i="107"/>
  <c r="K160" i="107"/>
  <c r="K114" i="107"/>
  <c r="K162" i="108"/>
  <c r="K116" i="108"/>
  <c r="K163" i="106"/>
  <c r="K117" i="106"/>
  <c r="K157" i="106"/>
  <c r="K111" i="106"/>
  <c r="K161" i="108"/>
  <c r="K115" i="108"/>
  <c r="K161" i="106"/>
  <c r="K115" i="106"/>
  <c r="K158" i="106"/>
  <c r="K112" i="106"/>
  <c r="K158" i="108"/>
  <c r="K112" i="108"/>
  <c r="K160" i="106"/>
  <c r="K114" i="106"/>
  <c r="K162" i="106"/>
  <c r="K116" i="106"/>
  <c r="K159" i="106"/>
  <c r="K113" i="106"/>
  <c r="K163" i="108"/>
  <c r="K117" i="108"/>
  <c r="K159" i="108"/>
  <c r="K113" i="108"/>
  <c r="K158" i="107"/>
  <c r="K112" i="107"/>
  <c r="K160" i="108"/>
  <c r="K114" i="108"/>
  <c r="K162" i="107"/>
  <c r="K116" i="107"/>
  <c r="K161" i="107"/>
  <c r="K115" i="107"/>
  <c r="K157" i="108"/>
  <c r="K111" i="108"/>
  <c r="K158" i="104"/>
  <c r="K112" i="104"/>
  <c r="K162" i="105"/>
  <c r="K116" i="105"/>
  <c r="K161" i="104"/>
  <c r="K115" i="104"/>
  <c r="K157" i="104"/>
  <c r="K111" i="104"/>
  <c r="K163" i="105"/>
  <c r="K117" i="105"/>
  <c r="K159" i="105"/>
  <c r="K113" i="105"/>
  <c r="K162" i="104"/>
  <c r="K116" i="104"/>
  <c r="K158" i="105"/>
  <c r="K112" i="105"/>
  <c r="K160" i="104"/>
  <c r="K114" i="104"/>
  <c r="K159" i="104"/>
  <c r="K113" i="104"/>
  <c r="K161" i="105"/>
  <c r="K115" i="105"/>
  <c r="K163" i="104"/>
  <c r="K117" i="104"/>
  <c r="K160" i="105"/>
  <c r="K114" i="105"/>
  <c r="K157" i="105"/>
  <c r="K111" i="105"/>
  <c r="K161" i="103"/>
  <c r="K115" i="103"/>
  <c r="K158" i="103"/>
  <c r="K112" i="103"/>
  <c r="K163" i="103"/>
  <c r="K117" i="103"/>
  <c r="K162" i="103"/>
  <c r="K116" i="103"/>
  <c r="K160" i="103"/>
  <c r="K114" i="103"/>
  <c r="K159" i="103"/>
  <c r="K113" i="103"/>
  <c r="K157" i="103"/>
  <c r="K111" i="103"/>
  <c r="O28" i="99"/>
  <c r="O29" i="99" s="1"/>
  <c r="O30" i="99" s="1"/>
  <c r="AB98" i="119" l="1"/>
  <c r="AA99" i="119"/>
  <c r="AB99" i="119"/>
  <c r="AA86" i="119"/>
  <c r="AB114" i="101"/>
  <c r="AA98" i="119"/>
  <c r="AA87" i="119"/>
  <c r="J34" i="117"/>
  <c r="J42" i="117" s="1"/>
  <c r="H11" i="117" s="1"/>
  <c r="AB119" i="119" s="1"/>
  <c r="J136" i="109"/>
  <c r="AA84" i="119"/>
  <c r="J135" i="109"/>
  <c r="AA83" i="119"/>
  <c r="J134" i="109"/>
  <c r="AA82" i="119"/>
  <c r="J137" i="109"/>
  <c r="AA85" i="119"/>
  <c r="AB118" i="101"/>
  <c r="AB118" i="119"/>
  <c r="I33" i="117"/>
  <c r="I41" i="117" s="1"/>
  <c r="J40" i="117"/>
  <c r="G11" i="117" s="1"/>
  <c r="D29" i="117"/>
  <c r="J30" i="117"/>
  <c r="L30" i="117" s="1"/>
  <c r="D31" i="117"/>
  <c r="D38" i="117"/>
  <c r="F6" i="117" s="1"/>
  <c r="Z114" i="119" s="1"/>
  <c r="G29" i="117"/>
  <c r="G37" i="117" s="1"/>
  <c r="G31" i="117"/>
  <c r="G39" i="117" s="1"/>
  <c r="G38" i="117"/>
  <c r="F8" i="117" s="1"/>
  <c r="I29" i="117"/>
  <c r="I37" i="117" s="1"/>
  <c r="I31" i="117"/>
  <c r="I39" i="117" s="1"/>
  <c r="I38" i="117"/>
  <c r="F10" i="117" s="1"/>
  <c r="E29" i="117"/>
  <c r="E37" i="117" s="1"/>
  <c r="E31" i="117"/>
  <c r="E39" i="117" s="1"/>
  <c r="E38" i="117"/>
  <c r="F7" i="117" s="1"/>
  <c r="J129" i="111"/>
  <c r="J24" i="111" s="1"/>
  <c r="K129" i="109"/>
  <c r="K129" i="111"/>
  <c r="J129" i="115"/>
  <c r="J24" i="115" s="1"/>
  <c r="K129" i="114"/>
  <c r="J129" i="114"/>
  <c r="J129" i="113"/>
  <c r="J24" i="113" s="1"/>
  <c r="K129" i="113"/>
  <c r="Z97" i="101"/>
  <c r="I129" i="109"/>
  <c r="J129" i="112"/>
  <c r="J24" i="112" s="1"/>
  <c r="K129" i="112"/>
  <c r="J129" i="110"/>
  <c r="J24" i="110" s="1"/>
  <c r="J129" i="109"/>
  <c r="J24" i="109" s="1"/>
  <c r="K129" i="115"/>
  <c r="K129" i="110"/>
  <c r="I134" i="110"/>
  <c r="I127" i="111"/>
  <c r="Z98" i="119" s="1"/>
  <c r="Z100" i="119" s="1"/>
  <c r="Z101" i="119" s="1"/>
  <c r="I135" i="115"/>
  <c r="I137" i="112"/>
  <c r="I134" i="111"/>
  <c r="I127" i="115"/>
  <c r="I127" i="112"/>
  <c r="I138" i="112" s="1"/>
  <c r="Z94" i="101"/>
  <c r="I127" i="110"/>
  <c r="I128" i="112"/>
  <c r="I139" i="112" s="1"/>
  <c r="Z96" i="101"/>
  <c r="Z95" i="101"/>
  <c r="I128" i="111"/>
  <c r="I139" i="111" s="1"/>
  <c r="I128" i="115"/>
  <c r="I139" i="115" s="1"/>
  <c r="I128" i="114"/>
  <c r="I139" i="114" s="1"/>
  <c r="I128" i="113"/>
  <c r="I139" i="113" s="1"/>
  <c r="I127" i="114"/>
  <c r="I138" i="114" s="1"/>
  <c r="I133" i="113"/>
  <c r="I128" i="110"/>
  <c r="I127" i="113"/>
  <c r="I138" i="113" s="1"/>
  <c r="I127" i="103"/>
  <c r="I138" i="103" s="1"/>
  <c r="I140" i="103" s="1"/>
  <c r="J127" i="108"/>
  <c r="J129" i="108" s="1"/>
  <c r="J24" i="108" s="1"/>
  <c r="I127" i="108"/>
  <c r="I138" i="108" s="1"/>
  <c r="I140" i="108" s="1"/>
  <c r="I127" i="107"/>
  <c r="I138" i="107" s="1"/>
  <c r="I140" i="107" s="1"/>
  <c r="J127" i="107"/>
  <c r="J138" i="107" s="1"/>
  <c r="J140" i="107" s="1"/>
  <c r="I127" i="106"/>
  <c r="I138" i="106" s="1"/>
  <c r="I140" i="106" s="1"/>
  <c r="I127" i="105"/>
  <c r="I138" i="105" s="1"/>
  <c r="I140" i="105" s="1"/>
  <c r="I127" i="104"/>
  <c r="I138" i="104" s="1"/>
  <c r="I140" i="104" s="1"/>
  <c r="J127" i="104"/>
  <c r="J138" i="104" s="1"/>
  <c r="J140" i="104" s="1"/>
  <c r="E96" i="101"/>
  <c r="E97" i="101"/>
  <c r="K69" i="107"/>
  <c r="K69" i="105"/>
  <c r="J139" i="115"/>
  <c r="J69" i="112"/>
  <c r="J69" i="105"/>
  <c r="J69" i="106"/>
  <c r="J69" i="114"/>
  <c r="K69" i="108"/>
  <c r="J138" i="111"/>
  <c r="K69" i="112"/>
  <c r="P35" i="98"/>
  <c r="P41" i="98" s="1"/>
  <c r="R41" i="98" s="1"/>
  <c r="J69" i="111"/>
  <c r="K69" i="106"/>
  <c r="I129" i="103"/>
  <c r="I24" i="103" s="1"/>
  <c r="J139" i="114"/>
  <c r="K69" i="111"/>
  <c r="J69" i="113"/>
  <c r="K69" i="113"/>
  <c r="J69" i="115"/>
  <c r="J138" i="115"/>
  <c r="J69" i="108"/>
  <c r="J139" i="109"/>
  <c r="AA99" i="101"/>
  <c r="J139" i="110"/>
  <c r="M124" i="109"/>
  <c r="AB95" i="101"/>
  <c r="K69" i="110"/>
  <c r="K138" i="107"/>
  <c r="M106" i="107"/>
  <c r="AA83" i="101"/>
  <c r="AB94" i="101"/>
  <c r="M123" i="109"/>
  <c r="M106" i="104"/>
  <c r="M127" i="104"/>
  <c r="J69" i="110"/>
  <c r="J138" i="105"/>
  <c r="J140" i="105" s="1"/>
  <c r="J129" i="105"/>
  <c r="J24" i="105" s="1"/>
  <c r="AA84" i="101"/>
  <c r="K55" i="110"/>
  <c r="J111" i="110"/>
  <c r="K69" i="115"/>
  <c r="J69" i="104"/>
  <c r="AB93" i="101"/>
  <c r="M122" i="109"/>
  <c r="K69" i="104"/>
  <c r="M107" i="106"/>
  <c r="M128" i="106"/>
  <c r="K138" i="106"/>
  <c r="M106" i="106"/>
  <c r="J139" i="111"/>
  <c r="M106" i="105"/>
  <c r="M127" i="105"/>
  <c r="J69" i="107"/>
  <c r="J138" i="110"/>
  <c r="M107" i="115"/>
  <c r="M128" i="115"/>
  <c r="K55" i="115"/>
  <c r="J111" i="115"/>
  <c r="J69" i="103"/>
  <c r="J111" i="109"/>
  <c r="K55" i="109"/>
  <c r="J138" i="106"/>
  <c r="J140" i="106" s="1"/>
  <c r="J129" i="106"/>
  <c r="J24" i="106" s="1"/>
  <c r="M107" i="111"/>
  <c r="M128" i="111"/>
  <c r="AA86" i="101"/>
  <c r="J138" i="112"/>
  <c r="M107" i="104"/>
  <c r="M128" i="104"/>
  <c r="M106" i="110"/>
  <c r="M127" i="110"/>
  <c r="K69" i="103"/>
  <c r="M127" i="103"/>
  <c r="M106" i="103"/>
  <c r="K55" i="112"/>
  <c r="J111" i="112"/>
  <c r="AA98" i="101"/>
  <c r="K69" i="114"/>
  <c r="K55" i="113"/>
  <c r="J111" i="113"/>
  <c r="J69" i="109"/>
  <c r="M127" i="111"/>
  <c r="M106" i="111"/>
  <c r="J129" i="107"/>
  <c r="J24" i="107" s="1"/>
  <c r="M106" i="109"/>
  <c r="M107" i="113"/>
  <c r="M128" i="113"/>
  <c r="M107" i="112"/>
  <c r="M128" i="112"/>
  <c r="M106" i="108"/>
  <c r="M127" i="108"/>
  <c r="AA82" i="101"/>
  <c r="M107" i="109"/>
  <c r="J138" i="109"/>
  <c r="M107" i="103"/>
  <c r="M128" i="103"/>
  <c r="J138" i="113"/>
  <c r="M107" i="107"/>
  <c r="M128" i="107"/>
  <c r="J139" i="113"/>
  <c r="M106" i="112"/>
  <c r="AA85" i="101"/>
  <c r="M106" i="113"/>
  <c r="M107" i="114"/>
  <c r="M128" i="114"/>
  <c r="K55" i="114"/>
  <c r="J111" i="114"/>
  <c r="K55" i="111"/>
  <c r="J111" i="111"/>
  <c r="AA87" i="101"/>
  <c r="J139" i="112"/>
  <c r="M126" i="109"/>
  <c r="AB97" i="101"/>
  <c r="M128" i="108"/>
  <c r="M107" i="108"/>
  <c r="I139" i="109"/>
  <c r="M128" i="110"/>
  <c r="M107" i="110"/>
  <c r="M125" i="109"/>
  <c r="AB96" i="101"/>
  <c r="M127" i="115"/>
  <c r="M106" i="115"/>
  <c r="I129" i="107"/>
  <c r="I24" i="107" s="1"/>
  <c r="K69" i="109"/>
  <c r="M107" i="105"/>
  <c r="M128" i="105"/>
  <c r="M106" i="114"/>
  <c r="J135" i="112"/>
  <c r="Y41" i="101"/>
  <c r="Y42" i="101" s="1"/>
  <c r="Y29" i="101"/>
  <c r="Y31" i="101" s="1"/>
  <c r="Y65" i="101"/>
  <c r="K133" i="108"/>
  <c r="K118" i="108"/>
  <c r="M111" i="108"/>
  <c r="J162" i="108"/>
  <c r="K172" i="108"/>
  <c r="K136" i="107"/>
  <c r="M114" i="107"/>
  <c r="J161" i="107"/>
  <c r="K171" i="107"/>
  <c r="J159" i="108"/>
  <c r="K169" i="108"/>
  <c r="J158" i="106"/>
  <c r="K168" i="106"/>
  <c r="J160" i="107"/>
  <c r="K170" i="107"/>
  <c r="M117" i="108"/>
  <c r="K137" i="106"/>
  <c r="M115" i="106"/>
  <c r="K134" i="106"/>
  <c r="M112" i="106"/>
  <c r="J163" i="108"/>
  <c r="K173" i="108"/>
  <c r="J161" i="106"/>
  <c r="K171" i="106"/>
  <c r="K137" i="108"/>
  <c r="M115" i="108"/>
  <c r="M117" i="107"/>
  <c r="M116" i="108"/>
  <c r="J157" i="108"/>
  <c r="K167" i="108"/>
  <c r="M116" i="107"/>
  <c r="J162" i="107"/>
  <c r="K172" i="107"/>
  <c r="J159" i="106"/>
  <c r="K169" i="106"/>
  <c r="J161" i="108"/>
  <c r="K171" i="108"/>
  <c r="J163" i="107"/>
  <c r="K173" i="107"/>
  <c r="M112" i="108"/>
  <c r="K134" i="108"/>
  <c r="M115" i="107"/>
  <c r="K137" i="107"/>
  <c r="K135" i="106"/>
  <c r="M113" i="106"/>
  <c r="M114" i="108"/>
  <c r="K136" i="108"/>
  <c r="M116" i="106"/>
  <c r="K118" i="106"/>
  <c r="K133" i="106"/>
  <c r="M111" i="106"/>
  <c r="M111" i="107"/>
  <c r="K133" i="107"/>
  <c r="K118" i="107"/>
  <c r="K135" i="108"/>
  <c r="M113" i="108"/>
  <c r="J160" i="108"/>
  <c r="K170" i="108"/>
  <c r="J162" i="106"/>
  <c r="K172" i="106"/>
  <c r="J157" i="106"/>
  <c r="K167" i="106"/>
  <c r="J157" i="107"/>
  <c r="K167" i="107"/>
  <c r="J158" i="108"/>
  <c r="K168" i="108"/>
  <c r="K134" i="107"/>
  <c r="M112" i="107"/>
  <c r="M114" i="106"/>
  <c r="K136" i="106"/>
  <c r="M117" i="106"/>
  <c r="M113" i="107"/>
  <c r="K135" i="107"/>
  <c r="J158" i="107"/>
  <c r="K168" i="107"/>
  <c r="J160" i="106"/>
  <c r="K170" i="106"/>
  <c r="J163" i="106"/>
  <c r="K173" i="106"/>
  <c r="J159" i="107"/>
  <c r="K169" i="107"/>
  <c r="M111" i="104"/>
  <c r="K133" i="104"/>
  <c r="K118" i="104"/>
  <c r="M117" i="105"/>
  <c r="M113" i="104"/>
  <c r="K135" i="104"/>
  <c r="J157" i="104"/>
  <c r="K167" i="104"/>
  <c r="M112" i="105"/>
  <c r="K134" i="105"/>
  <c r="J158" i="105"/>
  <c r="K168" i="105"/>
  <c r="J161" i="104"/>
  <c r="K171" i="104"/>
  <c r="J161" i="105"/>
  <c r="K171" i="105"/>
  <c r="K137" i="105"/>
  <c r="M115" i="105"/>
  <c r="J163" i="105"/>
  <c r="K173" i="105"/>
  <c r="J159" i="104"/>
  <c r="K169" i="104"/>
  <c r="K133" i="105"/>
  <c r="K118" i="105"/>
  <c r="M111" i="105"/>
  <c r="K136" i="104"/>
  <c r="M114" i="104"/>
  <c r="J157" i="105"/>
  <c r="K167" i="105"/>
  <c r="J160" i="104"/>
  <c r="K170" i="104"/>
  <c r="M115" i="104"/>
  <c r="K137" i="104"/>
  <c r="M114" i="105"/>
  <c r="K136" i="105"/>
  <c r="M116" i="104"/>
  <c r="M116" i="105"/>
  <c r="J160" i="105"/>
  <c r="K170" i="105"/>
  <c r="J162" i="104"/>
  <c r="K172" i="104"/>
  <c r="J162" i="105"/>
  <c r="K172" i="105"/>
  <c r="K134" i="104"/>
  <c r="M112" i="104"/>
  <c r="M117" i="104"/>
  <c r="K135" i="105"/>
  <c r="M113" i="105"/>
  <c r="J163" i="104"/>
  <c r="K173" i="104"/>
  <c r="J159" i="105"/>
  <c r="K169" i="105"/>
  <c r="J158" i="104"/>
  <c r="K168" i="104"/>
  <c r="K134" i="103"/>
  <c r="M112" i="103"/>
  <c r="M113" i="103"/>
  <c r="K135" i="103"/>
  <c r="J159" i="103"/>
  <c r="K169" i="103"/>
  <c r="K136" i="103"/>
  <c r="M114" i="103"/>
  <c r="J160" i="103"/>
  <c r="K170" i="103"/>
  <c r="K138" i="103"/>
  <c r="M116" i="103"/>
  <c r="J162" i="103"/>
  <c r="K172" i="103"/>
  <c r="M117" i="103"/>
  <c r="J163" i="103"/>
  <c r="K173" i="103"/>
  <c r="J158" i="103"/>
  <c r="K168" i="103"/>
  <c r="M111" i="103"/>
  <c r="K133" i="103"/>
  <c r="K118" i="103"/>
  <c r="M115" i="103"/>
  <c r="K137" i="103"/>
  <c r="J157" i="103"/>
  <c r="K167" i="103"/>
  <c r="J161" i="103"/>
  <c r="K171" i="103"/>
  <c r="H51" i="35"/>
  <c r="H50" i="35"/>
  <c r="J50" i="35" s="1"/>
  <c r="H49" i="35"/>
  <c r="H48" i="35"/>
  <c r="H47" i="35"/>
  <c r="H46" i="35"/>
  <c r="H45" i="35"/>
  <c r="AA100" i="119" l="1"/>
  <c r="AA101" i="119" s="1"/>
  <c r="AB100" i="119"/>
  <c r="AB101" i="119" s="1"/>
  <c r="AA81" i="119"/>
  <c r="AA88" i="119" s="1"/>
  <c r="AA89" i="119" s="1"/>
  <c r="L34" i="117"/>
  <c r="H5" i="117"/>
  <c r="AB120" i="119" s="1"/>
  <c r="AB30" i="119" s="1"/>
  <c r="J33" i="117"/>
  <c r="J41" i="117" s="1"/>
  <c r="Z118" i="101"/>
  <c r="Z118" i="119"/>
  <c r="AA119" i="101"/>
  <c r="AA119" i="119"/>
  <c r="Z116" i="101"/>
  <c r="Z116" i="119"/>
  <c r="Z115" i="101"/>
  <c r="Z115" i="119"/>
  <c r="AB119" i="101"/>
  <c r="G5" i="117"/>
  <c r="I129" i="115"/>
  <c r="I24" i="115" s="1"/>
  <c r="Z114" i="101"/>
  <c r="J29" i="117"/>
  <c r="J37" i="117" s="1"/>
  <c r="J31" i="117"/>
  <c r="J39" i="117" s="1"/>
  <c r="J38" i="117"/>
  <c r="F11" i="117" s="1"/>
  <c r="D39" i="117"/>
  <c r="D37" i="117"/>
  <c r="I140" i="114"/>
  <c r="K82" i="112"/>
  <c r="K86" i="112"/>
  <c r="K83" i="112"/>
  <c r="K84" i="112"/>
  <c r="K81" i="112"/>
  <c r="K85" i="112"/>
  <c r="K87" i="112"/>
  <c r="K82" i="115"/>
  <c r="K83" i="115"/>
  <c r="K84" i="115"/>
  <c r="K85" i="115"/>
  <c r="K87" i="115"/>
  <c r="K86" i="115"/>
  <c r="K81" i="115"/>
  <c r="K85" i="113"/>
  <c r="K82" i="113"/>
  <c r="K86" i="113"/>
  <c r="K87" i="113"/>
  <c r="K81" i="113"/>
  <c r="K83" i="113"/>
  <c r="K84" i="113"/>
  <c r="K86" i="114"/>
  <c r="K81" i="114"/>
  <c r="K83" i="114"/>
  <c r="K84" i="114"/>
  <c r="K87" i="114"/>
  <c r="K82" i="114"/>
  <c r="K85" i="114"/>
  <c r="K82" i="110"/>
  <c r="K81" i="110"/>
  <c r="K83" i="110"/>
  <c r="K84" i="110"/>
  <c r="K85" i="110"/>
  <c r="K86" i="110"/>
  <c r="K87" i="110"/>
  <c r="K86" i="111"/>
  <c r="K82" i="111"/>
  <c r="K85" i="111"/>
  <c r="K83" i="111"/>
  <c r="K84" i="111"/>
  <c r="K81" i="111"/>
  <c r="K87" i="111"/>
  <c r="K85" i="109"/>
  <c r="K86" i="109"/>
  <c r="K87" i="109"/>
  <c r="K82" i="109"/>
  <c r="K81" i="109"/>
  <c r="K83" i="109"/>
  <c r="K84" i="109"/>
  <c r="I140" i="112"/>
  <c r="I140" i="113"/>
  <c r="I129" i="110"/>
  <c r="I24" i="110" s="1"/>
  <c r="Z99" i="101"/>
  <c r="I138" i="115"/>
  <c r="I140" i="115" s="1"/>
  <c r="I129" i="114"/>
  <c r="I24" i="114" s="1"/>
  <c r="I129" i="111"/>
  <c r="I24" i="111" s="1"/>
  <c r="I138" i="110"/>
  <c r="I138" i="111"/>
  <c r="I140" i="111" s="1"/>
  <c r="I129" i="113"/>
  <c r="I24" i="113" s="1"/>
  <c r="I139" i="110"/>
  <c r="I129" i="112"/>
  <c r="I24" i="112" s="1"/>
  <c r="I129" i="108"/>
  <c r="I24" i="108" s="1"/>
  <c r="I129" i="106"/>
  <c r="I24" i="106" s="1"/>
  <c r="I129" i="104"/>
  <c r="I24" i="104" s="1"/>
  <c r="J129" i="104"/>
  <c r="J24" i="104" s="1"/>
  <c r="J138" i="108"/>
  <c r="J140" i="108" s="1"/>
  <c r="I129" i="105"/>
  <c r="I24" i="105" s="1"/>
  <c r="K138" i="104"/>
  <c r="K139" i="105"/>
  <c r="K19" i="105" s="1"/>
  <c r="K139" i="103"/>
  <c r="K140" i="103" s="1"/>
  <c r="M140" i="103" s="1"/>
  <c r="R35" i="98"/>
  <c r="K139" i="106"/>
  <c r="K140" i="106" s="1"/>
  <c r="M140" i="106" s="1"/>
  <c r="AA100" i="101"/>
  <c r="AA101" i="101" s="1"/>
  <c r="K139" i="104"/>
  <c r="K19" i="104" s="1"/>
  <c r="K139" i="108"/>
  <c r="M139" i="108" s="1"/>
  <c r="K138" i="105"/>
  <c r="K18" i="105" s="1"/>
  <c r="K139" i="107"/>
  <c r="K140" i="107" s="1"/>
  <c r="M140" i="107" s="1"/>
  <c r="K24" i="111"/>
  <c r="K129" i="103"/>
  <c r="J138" i="114"/>
  <c r="J24" i="114"/>
  <c r="K129" i="104"/>
  <c r="M127" i="113"/>
  <c r="M127" i="106"/>
  <c r="K129" i="106"/>
  <c r="J118" i="115"/>
  <c r="J23" i="115" s="1"/>
  <c r="J133" i="115"/>
  <c r="AA81" i="101"/>
  <c r="AA88" i="101" s="1"/>
  <c r="AA89" i="101" s="1"/>
  <c r="J118" i="112"/>
  <c r="J23" i="112" s="1"/>
  <c r="J133" i="112"/>
  <c r="K129" i="105"/>
  <c r="J138" i="103"/>
  <c r="J140" i="103" s="1"/>
  <c r="J129" i="103"/>
  <c r="J24" i="103" s="1"/>
  <c r="J118" i="114"/>
  <c r="J23" i="114" s="1"/>
  <c r="J133" i="114"/>
  <c r="M127" i="112"/>
  <c r="M127" i="114"/>
  <c r="K129" i="108"/>
  <c r="I138" i="109"/>
  <c r="Z98" i="101"/>
  <c r="I24" i="109"/>
  <c r="J118" i="111"/>
  <c r="J23" i="111" s="1"/>
  <c r="J133" i="111"/>
  <c r="J118" i="113"/>
  <c r="J23" i="113" s="1"/>
  <c r="J133" i="113"/>
  <c r="M128" i="109"/>
  <c r="AB99" i="101"/>
  <c r="M127" i="109"/>
  <c r="AB98" i="101"/>
  <c r="K138" i="108"/>
  <c r="K18" i="108" s="1"/>
  <c r="J118" i="109"/>
  <c r="J23" i="109" s="1"/>
  <c r="J133" i="109"/>
  <c r="J118" i="110"/>
  <c r="J23" i="110" s="1"/>
  <c r="J133" i="110"/>
  <c r="M127" i="107"/>
  <c r="K129" i="107"/>
  <c r="H62" i="35"/>
  <c r="H182" i="35" s="1"/>
  <c r="I159" i="101" s="1"/>
  <c r="H60" i="35"/>
  <c r="H63" i="35"/>
  <c r="H183" i="35" s="1"/>
  <c r="I160" i="101" s="1"/>
  <c r="H64" i="35"/>
  <c r="H61" i="35"/>
  <c r="H181" i="35" s="1"/>
  <c r="I158" i="101" s="1"/>
  <c r="H65" i="35"/>
  <c r="G65" i="35" s="1"/>
  <c r="I163" i="106"/>
  <c r="I173" i="106" s="1"/>
  <c r="I19" i="106" s="1"/>
  <c r="J173" i="106"/>
  <c r="J19" i="106" s="1"/>
  <c r="M134" i="107"/>
  <c r="K14" i="107"/>
  <c r="M135" i="108"/>
  <c r="K15" i="108"/>
  <c r="M135" i="106"/>
  <c r="K15" i="106"/>
  <c r="I162" i="107"/>
  <c r="I172" i="107" s="1"/>
  <c r="I18" i="107" s="1"/>
  <c r="J172" i="107"/>
  <c r="J18" i="107" s="1"/>
  <c r="I161" i="106"/>
  <c r="I171" i="106" s="1"/>
  <c r="I17" i="106" s="1"/>
  <c r="J171" i="106"/>
  <c r="J17" i="106" s="1"/>
  <c r="I158" i="106"/>
  <c r="I168" i="106" s="1"/>
  <c r="I14" i="106" s="1"/>
  <c r="J168" i="106"/>
  <c r="J14" i="106" s="1"/>
  <c r="M118" i="107"/>
  <c r="K23" i="107"/>
  <c r="K17" i="107"/>
  <c r="M137" i="107"/>
  <c r="I160" i="106"/>
  <c r="I170" i="106" s="1"/>
  <c r="I16" i="106" s="1"/>
  <c r="J170" i="106"/>
  <c r="J16" i="106" s="1"/>
  <c r="I158" i="108"/>
  <c r="I168" i="108" s="1"/>
  <c r="I14" i="108" s="1"/>
  <c r="J168" i="108"/>
  <c r="J14" i="108" s="1"/>
  <c r="M133" i="107"/>
  <c r="K13" i="107"/>
  <c r="M138" i="107"/>
  <c r="K18" i="107"/>
  <c r="I163" i="108"/>
  <c r="I173" i="108" s="1"/>
  <c r="I19" i="108" s="1"/>
  <c r="J173" i="108"/>
  <c r="J19" i="108" s="1"/>
  <c r="I159" i="108"/>
  <c r="I169" i="108" s="1"/>
  <c r="I15" i="108" s="1"/>
  <c r="J169" i="108"/>
  <c r="J15" i="108" s="1"/>
  <c r="K174" i="107"/>
  <c r="K174" i="108"/>
  <c r="M134" i="108"/>
  <c r="K14" i="108"/>
  <c r="I158" i="107"/>
  <c r="I168" i="107" s="1"/>
  <c r="I14" i="107" s="1"/>
  <c r="J168" i="107"/>
  <c r="J14" i="107" s="1"/>
  <c r="I157" i="107"/>
  <c r="I167" i="107" s="1"/>
  <c r="J167" i="107"/>
  <c r="I157" i="108"/>
  <c r="I167" i="108" s="1"/>
  <c r="J167" i="108"/>
  <c r="M134" i="106"/>
  <c r="K14" i="106"/>
  <c r="I161" i="107"/>
  <c r="I171" i="107" s="1"/>
  <c r="I17" i="107" s="1"/>
  <c r="J171" i="107"/>
  <c r="J17" i="107" s="1"/>
  <c r="M133" i="106"/>
  <c r="K13" i="106"/>
  <c r="K174" i="106"/>
  <c r="I157" i="106"/>
  <c r="I167" i="106" s="1"/>
  <c r="J167" i="106"/>
  <c r="M118" i="106"/>
  <c r="K23" i="106"/>
  <c r="I163" i="107"/>
  <c r="I173" i="107" s="1"/>
  <c r="I19" i="107" s="1"/>
  <c r="J173" i="107"/>
  <c r="J19" i="107" s="1"/>
  <c r="M137" i="106"/>
  <c r="K17" i="106"/>
  <c r="M136" i="107"/>
  <c r="K16" i="107"/>
  <c r="M138" i="106"/>
  <c r="K18" i="106"/>
  <c r="I162" i="106"/>
  <c r="I172" i="106" s="1"/>
  <c r="I18" i="106" s="1"/>
  <c r="J172" i="106"/>
  <c r="J18" i="106" s="1"/>
  <c r="I161" i="108"/>
  <c r="I171" i="108" s="1"/>
  <c r="I17" i="108" s="1"/>
  <c r="J171" i="108"/>
  <c r="J17" i="108" s="1"/>
  <c r="I162" i="108"/>
  <c r="I172" i="108" s="1"/>
  <c r="I18" i="108" s="1"/>
  <c r="J172" i="108"/>
  <c r="J18" i="108" s="1"/>
  <c r="M136" i="106"/>
  <c r="K16" i="106"/>
  <c r="K16" i="108"/>
  <c r="M136" i="108"/>
  <c r="M135" i="107"/>
  <c r="K15" i="107"/>
  <c r="I159" i="107"/>
  <c r="I169" i="107" s="1"/>
  <c r="I15" i="107" s="1"/>
  <c r="J169" i="107"/>
  <c r="J15" i="107" s="1"/>
  <c r="I160" i="108"/>
  <c r="I170" i="108" s="1"/>
  <c r="I16" i="108" s="1"/>
  <c r="J170" i="108"/>
  <c r="J16" i="108" s="1"/>
  <c r="I159" i="106"/>
  <c r="I169" i="106" s="1"/>
  <c r="I15" i="106" s="1"/>
  <c r="J169" i="106"/>
  <c r="J15" i="106" s="1"/>
  <c r="M137" i="108"/>
  <c r="K17" i="108"/>
  <c r="I160" i="107"/>
  <c r="I170" i="107" s="1"/>
  <c r="I16" i="107" s="1"/>
  <c r="J170" i="107"/>
  <c r="J16" i="107" s="1"/>
  <c r="M118" i="108"/>
  <c r="K23" i="108"/>
  <c r="M133" i="108"/>
  <c r="K13" i="108"/>
  <c r="M134" i="105"/>
  <c r="K14" i="105"/>
  <c r="I158" i="105"/>
  <c r="I168" i="105" s="1"/>
  <c r="I14" i="105" s="1"/>
  <c r="J168" i="105"/>
  <c r="J14" i="105" s="1"/>
  <c r="K174" i="104"/>
  <c r="M135" i="104"/>
  <c r="K15" i="104"/>
  <c r="M134" i="104"/>
  <c r="K14" i="104"/>
  <c r="M137" i="104"/>
  <c r="K17" i="104"/>
  <c r="I157" i="104"/>
  <c r="I167" i="104" s="1"/>
  <c r="J167" i="104"/>
  <c r="I162" i="104"/>
  <c r="I172" i="104" s="1"/>
  <c r="I18" i="104" s="1"/>
  <c r="J172" i="104"/>
  <c r="J18" i="104" s="1"/>
  <c r="K174" i="105"/>
  <c r="M137" i="105"/>
  <c r="K17" i="105"/>
  <c r="I163" i="104"/>
  <c r="I173" i="104" s="1"/>
  <c r="I19" i="104" s="1"/>
  <c r="J173" i="104"/>
  <c r="J19" i="104" s="1"/>
  <c r="I160" i="105"/>
  <c r="I170" i="105" s="1"/>
  <c r="I16" i="105" s="1"/>
  <c r="J170" i="105"/>
  <c r="J16" i="105" s="1"/>
  <c r="I157" i="105"/>
  <c r="I167" i="105" s="1"/>
  <c r="J167" i="105"/>
  <c r="I159" i="105"/>
  <c r="I169" i="105" s="1"/>
  <c r="I15" i="105" s="1"/>
  <c r="J169" i="105"/>
  <c r="J15" i="105" s="1"/>
  <c r="I160" i="104"/>
  <c r="I170" i="104" s="1"/>
  <c r="I16" i="104" s="1"/>
  <c r="J170" i="104"/>
  <c r="J16" i="104" s="1"/>
  <c r="I161" i="105"/>
  <c r="I171" i="105" s="1"/>
  <c r="I17" i="105" s="1"/>
  <c r="J171" i="105"/>
  <c r="J17" i="105" s="1"/>
  <c r="M133" i="105"/>
  <c r="K13" i="105"/>
  <c r="I158" i="104"/>
  <c r="I168" i="104" s="1"/>
  <c r="I14" i="104" s="1"/>
  <c r="J168" i="104"/>
  <c r="J14" i="104" s="1"/>
  <c r="K16" i="104"/>
  <c r="M136" i="104"/>
  <c r="M118" i="104"/>
  <c r="K23" i="104"/>
  <c r="I159" i="104"/>
  <c r="I169" i="104" s="1"/>
  <c r="I15" i="104" s="1"/>
  <c r="J169" i="104"/>
  <c r="J15" i="104" s="1"/>
  <c r="M133" i="104"/>
  <c r="K13" i="104"/>
  <c r="K16" i="105"/>
  <c r="M136" i="105"/>
  <c r="I162" i="105"/>
  <c r="I172" i="105" s="1"/>
  <c r="I18" i="105" s="1"/>
  <c r="J172" i="105"/>
  <c r="J18" i="105" s="1"/>
  <c r="I163" i="105"/>
  <c r="I173" i="105" s="1"/>
  <c r="I19" i="105" s="1"/>
  <c r="J173" i="105"/>
  <c r="J19" i="105" s="1"/>
  <c r="M135" i="105"/>
  <c r="K15" i="105"/>
  <c r="I161" i="104"/>
  <c r="I171" i="104" s="1"/>
  <c r="I17" i="104" s="1"/>
  <c r="J171" i="104"/>
  <c r="J17" i="104" s="1"/>
  <c r="M138" i="104"/>
  <c r="K18" i="104"/>
  <c r="M118" i="105"/>
  <c r="K23" i="105"/>
  <c r="K15" i="103"/>
  <c r="M135" i="103"/>
  <c r="M133" i="103"/>
  <c r="K13" i="103"/>
  <c r="K23" i="103"/>
  <c r="M118" i="103"/>
  <c r="M138" i="103"/>
  <c r="K18" i="103"/>
  <c r="I160" i="103"/>
  <c r="I170" i="103" s="1"/>
  <c r="I16" i="103" s="1"/>
  <c r="J170" i="103"/>
  <c r="J16" i="103" s="1"/>
  <c r="I158" i="103"/>
  <c r="I168" i="103" s="1"/>
  <c r="I14" i="103" s="1"/>
  <c r="J168" i="103"/>
  <c r="J14" i="103" s="1"/>
  <c r="M136" i="103"/>
  <c r="K16" i="103"/>
  <c r="I163" i="103"/>
  <c r="I173" i="103" s="1"/>
  <c r="I19" i="103" s="1"/>
  <c r="J173" i="103"/>
  <c r="J19" i="103" s="1"/>
  <c r="I159" i="103"/>
  <c r="I169" i="103" s="1"/>
  <c r="I15" i="103" s="1"/>
  <c r="J169" i="103"/>
  <c r="J15" i="103" s="1"/>
  <c r="K174" i="103"/>
  <c r="I161" i="103"/>
  <c r="I171" i="103" s="1"/>
  <c r="I17" i="103" s="1"/>
  <c r="J171" i="103"/>
  <c r="J17" i="103" s="1"/>
  <c r="I157" i="103"/>
  <c r="I167" i="103" s="1"/>
  <c r="J167" i="103"/>
  <c r="K17" i="103"/>
  <c r="M137" i="103"/>
  <c r="I162" i="103"/>
  <c r="I172" i="103" s="1"/>
  <c r="I18" i="103" s="1"/>
  <c r="J172" i="103"/>
  <c r="K14" i="103"/>
  <c r="M134" i="103"/>
  <c r="H59" i="35"/>
  <c r="H179" i="35" s="1"/>
  <c r="I156" i="101" s="1"/>
  <c r="I45" i="35"/>
  <c r="J45" i="35"/>
  <c r="G45" i="35"/>
  <c r="H52" i="35"/>
  <c r="G51" i="35"/>
  <c r="J46" i="35"/>
  <c r="I46" i="35"/>
  <c r="G46" i="35"/>
  <c r="J181" i="35"/>
  <c r="K158" i="101" s="1"/>
  <c r="G47" i="35"/>
  <c r="J48" i="35"/>
  <c r="G48" i="35"/>
  <c r="I48" i="35"/>
  <c r="G49" i="35"/>
  <c r="J49" i="35"/>
  <c r="I49" i="35"/>
  <c r="G50" i="35"/>
  <c r="I50" i="35"/>
  <c r="H169" i="35"/>
  <c r="H170" i="35"/>
  <c r="H111" i="35"/>
  <c r="B81" i="101" s="1"/>
  <c r="L33" i="117" l="1"/>
  <c r="AB120" i="101"/>
  <c r="AB30" i="101" s="1"/>
  <c r="H14" i="117"/>
  <c r="AB123" i="119"/>
  <c r="AA120" i="101"/>
  <c r="AA30" i="101" s="1"/>
  <c r="AA120" i="119"/>
  <c r="Z119" i="101"/>
  <c r="Z119" i="119"/>
  <c r="G14" i="117"/>
  <c r="L29" i="117"/>
  <c r="L31" i="117"/>
  <c r="Z100" i="101"/>
  <c r="Z101" i="101" s="1"/>
  <c r="F5" i="117"/>
  <c r="Z120" i="119" s="1"/>
  <c r="I140" i="110"/>
  <c r="M139" i="103"/>
  <c r="K19" i="103"/>
  <c r="M139" i="105"/>
  <c r="K19" i="108"/>
  <c r="K20" i="108" s="1"/>
  <c r="K19" i="106"/>
  <c r="M139" i="106"/>
  <c r="K140" i="104"/>
  <c r="M140" i="104" s="1"/>
  <c r="M139" i="107"/>
  <c r="K140" i="105"/>
  <c r="M140" i="105" s="1"/>
  <c r="M139" i="104"/>
  <c r="G62" i="35"/>
  <c r="H180" i="35"/>
  <c r="I157" i="101" s="1"/>
  <c r="I60" i="35"/>
  <c r="I123" i="35" s="1"/>
  <c r="J180" i="35"/>
  <c r="K157" i="101" s="1"/>
  <c r="J18" i="103"/>
  <c r="K19" i="107"/>
  <c r="K20" i="107" s="1"/>
  <c r="M138" i="105"/>
  <c r="M129" i="111"/>
  <c r="G63" i="35"/>
  <c r="J62" i="35"/>
  <c r="G60" i="35"/>
  <c r="I63" i="35"/>
  <c r="J63" i="35"/>
  <c r="J126" i="35" s="1"/>
  <c r="D97" i="101" s="1"/>
  <c r="I62" i="35"/>
  <c r="K24" i="103"/>
  <c r="M129" i="103"/>
  <c r="AB100" i="101"/>
  <c r="AB101" i="101" s="1"/>
  <c r="K163" i="114"/>
  <c r="K117" i="114"/>
  <c r="J140" i="114"/>
  <c r="K162" i="111"/>
  <c r="K116" i="111"/>
  <c r="K158" i="115"/>
  <c r="K112" i="115"/>
  <c r="K157" i="110"/>
  <c r="K111" i="110"/>
  <c r="K160" i="110"/>
  <c r="K114" i="110"/>
  <c r="K140" i="108"/>
  <c r="M140" i="108" s="1"/>
  <c r="K24" i="115"/>
  <c r="M129" i="115"/>
  <c r="K157" i="113"/>
  <c r="K111" i="113"/>
  <c r="K161" i="114"/>
  <c r="K115" i="114"/>
  <c r="K158" i="111"/>
  <c r="K112" i="111"/>
  <c r="J140" i="112"/>
  <c r="K157" i="115"/>
  <c r="K111" i="115"/>
  <c r="K161" i="110"/>
  <c r="K115" i="110"/>
  <c r="K160" i="111"/>
  <c r="K114" i="111"/>
  <c r="K157" i="111"/>
  <c r="K111" i="111"/>
  <c r="K161" i="113"/>
  <c r="K115" i="113"/>
  <c r="K157" i="114"/>
  <c r="K111" i="114"/>
  <c r="K162" i="115"/>
  <c r="K116" i="115"/>
  <c r="K163" i="110"/>
  <c r="K117" i="110"/>
  <c r="M129" i="105"/>
  <c r="K24" i="105"/>
  <c r="M138" i="108"/>
  <c r="K114" i="109"/>
  <c r="K160" i="109"/>
  <c r="K159" i="113"/>
  <c r="K113" i="113"/>
  <c r="H184" i="35"/>
  <c r="I161" i="101" s="1"/>
  <c r="K160" i="114"/>
  <c r="K114" i="114"/>
  <c r="K162" i="112"/>
  <c r="K116" i="112"/>
  <c r="K161" i="115"/>
  <c r="K115" i="115"/>
  <c r="K162" i="110"/>
  <c r="K116" i="110"/>
  <c r="K163" i="113"/>
  <c r="K117" i="113"/>
  <c r="K162" i="114"/>
  <c r="K116" i="114"/>
  <c r="K157" i="109"/>
  <c r="K111" i="109"/>
  <c r="K160" i="113"/>
  <c r="K114" i="113"/>
  <c r="J140" i="111"/>
  <c r="K158" i="114"/>
  <c r="K112" i="114"/>
  <c r="K160" i="112"/>
  <c r="K114" i="112"/>
  <c r="K159" i="115"/>
  <c r="K113" i="115"/>
  <c r="K159" i="110"/>
  <c r="K113" i="110"/>
  <c r="K159" i="114"/>
  <c r="K113" i="114"/>
  <c r="H185" i="35"/>
  <c r="I162" i="101" s="1"/>
  <c r="J140" i="113"/>
  <c r="G64" i="35"/>
  <c r="M129" i="107"/>
  <c r="K24" i="107"/>
  <c r="K163" i="109"/>
  <c r="K117" i="109"/>
  <c r="M129" i="109"/>
  <c r="K24" i="109"/>
  <c r="K24" i="108"/>
  <c r="M129" i="108"/>
  <c r="K157" i="112"/>
  <c r="K111" i="112"/>
  <c r="K163" i="115"/>
  <c r="K117" i="115"/>
  <c r="M129" i="104"/>
  <c r="K24" i="104"/>
  <c r="K162" i="113"/>
  <c r="K116" i="113"/>
  <c r="K161" i="109"/>
  <c r="K115" i="109"/>
  <c r="M129" i="114"/>
  <c r="K24" i="114"/>
  <c r="K158" i="112"/>
  <c r="K112" i="112"/>
  <c r="J140" i="115"/>
  <c r="K158" i="113"/>
  <c r="K112" i="113"/>
  <c r="J140" i="110"/>
  <c r="K113" i="109"/>
  <c r="K159" i="109"/>
  <c r="K163" i="111"/>
  <c r="K117" i="111"/>
  <c r="K163" i="112"/>
  <c r="K117" i="112"/>
  <c r="K24" i="113"/>
  <c r="M129" i="113"/>
  <c r="K160" i="115"/>
  <c r="K114" i="115"/>
  <c r="K112" i="109"/>
  <c r="K158" i="109"/>
  <c r="K159" i="111"/>
  <c r="K113" i="111"/>
  <c r="K159" i="112"/>
  <c r="K113" i="112"/>
  <c r="M129" i="110"/>
  <c r="K24" i="110"/>
  <c r="J140" i="109"/>
  <c r="K158" i="110"/>
  <c r="K112" i="110"/>
  <c r="K162" i="109"/>
  <c r="K116" i="109"/>
  <c r="I140" i="109"/>
  <c r="M129" i="112"/>
  <c r="K24" i="112"/>
  <c r="K161" i="111"/>
  <c r="K115" i="111"/>
  <c r="K161" i="112"/>
  <c r="K115" i="112"/>
  <c r="K24" i="106"/>
  <c r="M129" i="106"/>
  <c r="G61" i="35"/>
  <c r="J185" i="35"/>
  <c r="K162" i="101" s="1"/>
  <c r="I185" i="35"/>
  <c r="J162" i="101" s="1"/>
  <c r="K20" i="103"/>
  <c r="K20" i="105"/>
  <c r="K20" i="106"/>
  <c r="J174" i="108"/>
  <c r="J13" i="108"/>
  <c r="J20" i="108" s="1"/>
  <c r="I174" i="108"/>
  <c r="I13" i="108"/>
  <c r="I20" i="108" s="1"/>
  <c r="J174" i="106"/>
  <c r="J13" i="106"/>
  <c r="J20" i="106" s="1"/>
  <c r="J174" i="107"/>
  <c r="J13" i="107"/>
  <c r="J20" i="107" s="1"/>
  <c r="I174" i="106"/>
  <c r="I13" i="106"/>
  <c r="I20" i="106" s="1"/>
  <c r="I174" i="107"/>
  <c r="I13" i="107"/>
  <c r="I20" i="107" s="1"/>
  <c r="J174" i="105"/>
  <c r="J13" i="105"/>
  <c r="J20" i="105" s="1"/>
  <c r="I174" i="104"/>
  <c r="I13" i="104"/>
  <c r="I174" i="105"/>
  <c r="I13" i="105"/>
  <c r="I20" i="105" s="1"/>
  <c r="K20" i="104"/>
  <c r="J174" i="104"/>
  <c r="J13" i="104"/>
  <c r="J174" i="103"/>
  <c r="J13" i="103"/>
  <c r="I174" i="103"/>
  <c r="I13" i="103"/>
  <c r="I20" i="103" s="1"/>
  <c r="H55" i="35"/>
  <c r="I55" i="35"/>
  <c r="G59" i="35"/>
  <c r="J59" i="35"/>
  <c r="I59" i="35"/>
  <c r="G116" i="35"/>
  <c r="G127" i="35"/>
  <c r="G117" i="35"/>
  <c r="G128" i="35"/>
  <c r="G115" i="35"/>
  <c r="G126" i="35"/>
  <c r="G114" i="35"/>
  <c r="G125" i="35"/>
  <c r="G111" i="35"/>
  <c r="G122" i="35"/>
  <c r="G52" i="35"/>
  <c r="G112" i="35"/>
  <c r="G123" i="35"/>
  <c r="G113" i="35"/>
  <c r="G124" i="35"/>
  <c r="H123" i="35"/>
  <c r="B94" i="101" s="1"/>
  <c r="H126" i="35"/>
  <c r="B97" i="101" s="1"/>
  <c r="H114" i="35"/>
  <c r="B84" i="101" s="1"/>
  <c r="H117" i="35"/>
  <c r="B87" i="101" s="1"/>
  <c r="H122" i="35"/>
  <c r="B93" i="101" s="1"/>
  <c r="H128" i="35"/>
  <c r="B99" i="101" s="1"/>
  <c r="H116" i="35"/>
  <c r="B86" i="101" s="1"/>
  <c r="H124" i="35"/>
  <c r="B95" i="101" s="1"/>
  <c r="H127" i="35"/>
  <c r="B98" i="101" s="1"/>
  <c r="H112" i="35"/>
  <c r="B82" i="101" s="1"/>
  <c r="H115" i="35"/>
  <c r="B85" i="101" s="1"/>
  <c r="H125" i="35"/>
  <c r="B96" i="101" s="1"/>
  <c r="H113" i="35"/>
  <c r="B83" i="101" s="1"/>
  <c r="H153" i="35"/>
  <c r="H186" i="35" s="1"/>
  <c r="AB84" i="119" l="1"/>
  <c r="AB83" i="119"/>
  <c r="AB82" i="119"/>
  <c r="AB81" i="119"/>
  <c r="AB123" i="101"/>
  <c r="AB87" i="119"/>
  <c r="AB86" i="119"/>
  <c r="AB85" i="119"/>
  <c r="AA30" i="119"/>
  <c r="AA123" i="119"/>
  <c r="Z30" i="119"/>
  <c r="Z123" i="119"/>
  <c r="F14" i="117"/>
  <c r="Z120" i="101"/>
  <c r="Z30" i="101" s="1"/>
  <c r="J183" i="35"/>
  <c r="K160" i="101" s="1"/>
  <c r="I183" i="35"/>
  <c r="J160" i="101" s="1"/>
  <c r="I126" i="35"/>
  <c r="C97" i="101" s="1"/>
  <c r="I182" i="35"/>
  <c r="J159" i="101" s="1"/>
  <c r="I125" i="35"/>
  <c r="C96" i="101" s="1"/>
  <c r="J182" i="35"/>
  <c r="K159" i="101" s="1"/>
  <c r="J125" i="35"/>
  <c r="D96" i="101" s="1"/>
  <c r="I179" i="35"/>
  <c r="J156" i="101" s="1"/>
  <c r="I122" i="35"/>
  <c r="J179" i="35"/>
  <c r="K156" i="101" s="1"/>
  <c r="J122" i="35"/>
  <c r="J20" i="103"/>
  <c r="I180" i="35"/>
  <c r="J157" i="101" s="1"/>
  <c r="K64" i="35"/>
  <c r="K180" i="35"/>
  <c r="L157" i="101" s="1"/>
  <c r="I164" i="101"/>
  <c r="J161" i="111"/>
  <c r="K171" i="111"/>
  <c r="J162" i="113"/>
  <c r="K172" i="113"/>
  <c r="J163" i="109"/>
  <c r="K173" i="109"/>
  <c r="K169" i="115"/>
  <c r="J159" i="115"/>
  <c r="J162" i="114"/>
  <c r="K172" i="114"/>
  <c r="M113" i="113"/>
  <c r="K135" i="113"/>
  <c r="J157" i="114"/>
  <c r="K167" i="114"/>
  <c r="J160" i="110"/>
  <c r="K170" i="110"/>
  <c r="AB83" i="101"/>
  <c r="M113" i="112"/>
  <c r="K135" i="112"/>
  <c r="AB84" i="101"/>
  <c r="M114" i="112"/>
  <c r="K136" i="112"/>
  <c r="J159" i="112"/>
  <c r="K169" i="112"/>
  <c r="K168" i="113"/>
  <c r="J158" i="113"/>
  <c r="J160" i="112"/>
  <c r="K170" i="112"/>
  <c r="K173" i="113"/>
  <c r="J163" i="113"/>
  <c r="J160" i="109"/>
  <c r="K170" i="109"/>
  <c r="J161" i="113"/>
  <c r="K171" i="113"/>
  <c r="K168" i="111"/>
  <c r="J158" i="111"/>
  <c r="J157" i="110"/>
  <c r="K167" i="110"/>
  <c r="M111" i="110"/>
  <c r="K118" i="110"/>
  <c r="K133" i="110"/>
  <c r="M113" i="111"/>
  <c r="K135" i="111"/>
  <c r="AB87" i="101"/>
  <c r="M117" i="112"/>
  <c r="K139" i="112"/>
  <c r="M117" i="115"/>
  <c r="K139" i="115"/>
  <c r="M112" i="114"/>
  <c r="K134" i="114"/>
  <c r="M116" i="110"/>
  <c r="K138" i="110"/>
  <c r="M114" i="109"/>
  <c r="K136" i="109"/>
  <c r="K118" i="111"/>
  <c r="M111" i="111"/>
  <c r="K133" i="111"/>
  <c r="M115" i="114"/>
  <c r="K137" i="114"/>
  <c r="M112" i="115"/>
  <c r="K134" i="115"/>
  <c r="M117" i="113"/>
  <c r="K139" i="113"/>
  <c r="J159" i="111"/>
  <c r="K169" i="111"/>
  <c r="J163" i="112"/>
  <c r="K173" i="112"/>
  <c r="K173" i="115"/>
  <c r="J163" i="115"/>
  <c r="K168" i="114"/>
  <c r="J158" i="114"/>
  <c r="K172" i="110"/>
  <c r="J162" i="110"/>
  <c r="K167" i="111"/>
  <c r="J157" i="111"/>
  <c r="J161" i="114"/>
  <c r="K171" i="114"/>
  <c r="J158" i="115"/>
  <c r="K168" i="115"/>
  <c r="M115" i="113"/>
  <c r="K137" i="113"/>
  <c r="M116" i="109"/>
  <c r="K138" i="109"/>
  <c r="K168" i="109"/>
  <c r="J158" i="109"/>
  <c r="M117" i="111"/>
  <c r="K139" i="111"/>
  <c r="AB82" i="101"/>
  <c r="M112" i="112"/>
  <c r="K134" i="112"/>
  <c r="AB81" i="101"/>
  <c r="K118" i="112"/>
  <c r="M111" i="112"/>
  <c r="K133" i="112"/>
  <c r="M115" i="115"/>
  <c r="K137" i="115"/>
  <c r="M114" i="111"/>
  <c r="K136" i="111"/>
  <c r="M111" i="113"/>
  <c r="K118" i="113"/>
  <c r="K133" i="113"/>
  <c r="M116" i="111"/>
  <c r="K138" i="111"/>
  <c r="M112" i="111"/>
  <c r="K134" i="111"/>
  <c r="K172" i="109"/>
  <c r="J162" i="109"/>
  <c r="M112" i="109"/>
  <c r="K134" i="109"/>
  <c r="J163" i="111"/>
  <c r="K173" i="111"/>
  <c r="J158" i="112"/>
  <c r="K168" i="112"/>
  <c r="K167" i="112"/>
  <c r="J157" i="112"/>
  <c r="K171" i="115"/>
  <c r="J161" i="115"/>
  <c r="J160" i="111"/>
  <c r="K170" i="111"/>
  <c r="K167" i="113"/>
  <c r="J157" i="113"/>
  <c r="J162" i="111"/>
  <c r="K172" i="111"/>
  <c r="M112" i="110"/>
  <c r="K134" i="110"/>
  <c r="J159" i="109"/>
  <c r="K169" i="109"/>
  <c r="M113" i="114"/>
  <c r="K135" i="114"/>
  <c r="M114" i="113"/>
  <c r="K136" i="113"/>
  <c r="AB86" i="101"/>
  <c r="M116" i="112"/>
  <c r="K138" i="112"/>
  <c r="M117" i="110"/>
  <c r="K139" i="110"/>
  <c r="M115" i="110"/>
  <c r="K137" i="110"/>
  <c r="J158" i="110"/>
  <c r="K168" i="110"/>
  <c r="M113" i="109"/>
  <c r="K135" i="109"/>
  <c r="J159" i="114"/>
  <c r="K169" i="114"/>
  <c r="J160" i="113"/>
  <c r="K170" i="113"/>
  <c r="K172" i="112"/>
  <c r="J162" i="112"/>
  <c r="K173" i="110"/>
  <c r="J163" i="110"/>
  <c r="J161" i="110"/>
  <c r="K171" i="110"/>
  <c r="M112" i="113"/>
  <c r="K134" i="113"/>
  <c r="AB85" i="101"/>
  <c r="M115" i="112"/>
  <c r="K137" i="112"/>
  <c r="M114" i="115"/>
  <c r="K136" i="115"/>
  <c r="M115" i="109"/>
  <c r="K137" i="109"/>
  <c r="M113" i="110"/>
  <c r="K135" i="110"/>
  <c r="M111" i="109"/>
  <c r="K118" i="109"/>
  <c r="K133" i="109"/>
  <c r="M114" i="114"/>
  <c r="K136" i="114"/>
  <c r="M116" i="115"/>
  <c r="K138" i="115"/>
  <c r="K118" i="115"/>
  <c r="M111" i="115"/>
  <c r="K133" i="115"/>
  <c r="M117" i="114"/>
  <c r="K139" i="114"/>
  <c r="K169" i="113"/>
  <c r="J159" i="113"/>
  <c r="K171" i="112"/>
  <c r="J161" i="112"/>
  <c r="J160" i="115"/>
  <c r="K170" i="115"/>
  <c r="J161" i="109"/>
  <c r="K171" i="109"/>
  <c r="J159" i="110"/>
  <c r="K169" i="110"/>
  <c r="K167" i="109"/>
  <c r="J157" i="109"/>
  <c r="J160" i="114"/>
  <c r="K170" i="114"/>
  <c r="K172" i="115"/>
  <c r="J162" i="115"/>
  <c r="J157" i="115"/>
  <c r="K167" i="115"/>
  <c r="J163" i="114"/>
  <c r="K173" i="114"/>
  <c r="M115" i="111"/>
  <c r="K137" i="111"/>
  <c r="M116" i="113"/>
  <c r="K138" i="113"/>
  <c r="M117" i="109"/>
  <c r="K139" i="109"/>
  <c r="M113" i="115"/>
  <c r="K135" i="115"/>
  <c r="M116" i="114"/>
  <c r="K138" i="114"/>
  <c r="K118" i="114"/>
  <c r="M111" i="114"/>
  <c r="K133" i="114"/>
  <c r="M114" i="110"/>
  <c r="K136" i="110"/>
  <c r="G66" i="35"/>
  <c r="I81" i="35"/>
  <c r="I86" i="35"/>
  <c r="I116" i="35" s="1"/>
  <c r="C86" i="101" s="1"/>
  <c r="I82" i="35"/>
  <c r="I87" i="35"/>
  <c r="I117" i="35" s="1"/>
  <c r="C87" i="101" s="1"/>
  <c r="I83" i="35"/>
  <c r="I84" i="35"/>
  <c r="I114" i="35" s="1"/>
  <c r="C84" i="101" s="1"/>
  <c r="I85" i="35"/>
  <c r="I115" i="35" s="1"/>
  <c r="C85" i="101" s="1"/>
  <c r="B100" i="101"/>
  <c r="B101" i="101" s="1"/>
  <c r="B88" i="101"/>
  <c r="B89" i="101" s="1"/>
  <c r="I20" i="104"/>
  <c r="J20" i="104"/>
  <c r="H69" i="35"/>
  <c r="M125" i="35"/>
  <c r="M126" i="35"/>
  <c r="G129" i="35"/>
  <c r="G118" i="35"/>
  <c r="H137" i="35"/>
  <c r="H133" i="35"/>
  <c r="H118" i="35"/>
  <c r="H138" i="35"/>
  <c r="H129" i="35"/>
  <c r="H134" i="35"/>
  <c r="H139" i="35"/>
  <c r="H136" i="35"/>
  <c r="H16" i="35" s="1"/>
  <c r="B60" i="101" s="1"/>
  <c r="H135" i="35"/>
  <c r="H15" i="35" s="1"/>
  <c r="B59" i="101" s="1"/>
  <c r="AB88" i="119" l="1"/>
  <c r="AB89" i="119" s="1"/>
  <c r="M158" i="101"/>
  <c r="M159" i="101"/>
  <c r="M160" i="101"/>
  <c r="M156" i="101"/>
  <c r="M161" i="101"/>
  <c r="M157" i="101"/>
  <c r="K66" i="35"/>
  <c r="K184" i="35"/>
  <c r="I64" i="35"/>
  <c r="J64" i="35"/>
  <c r="AB88" i="101"/>
  <c r="AB89" i="101" s="1"/>
  <c r="J168" i="111"/>
  <c r="J14" i="111" s="1"/>
  <c r="I158" i="111"/>
  <c r="I168" i="111" s="1"/>
  <c r="I14" i="111" s="1"/>
  <c r="M139" i="109"/>
  <c r="K19" i="109"/>
  <c r="I159" i="113"/>
  <c r="I169" i="113" s="1"/>
  <c r="I15" i="113" s="1"/>
  <c r="J169" i="113"/>
  <c r="K23" i="109"/>
  <c r="M118" i="109"/>
  <c r="M135" i="114"/>
  <c r="K15" i="114"/>
  <c r="J171" i="115"/>
  <c r="J17" i="115" s="1"/>
  <c r="I161" i="115"/>
  <c r="I171" i="115" s="1"/>
  <c r="I17" i="115" s="1"/>
  <c r="M133" i="112"/>
  <c r="K13" i="112"/>
  <c r="K140" i="112"/>
  <c r="M140" i="112" s="1"/>
  <c r="J168" i="114"/>
  <c r="J14" i="114" s="1"/>
  <c r="I158" i="114"/>
  <c r="I168" i="114" s="1"/>
  <c r="I14" i="114" s="1"/>
  <c r="M137" i="114"/>
  <c r="K17" i="114"/>
  <c r="J169" i="112"/>
  <c r="J15" i="112" s="1"/>
  <c r="I159" i="112"/>
  <c r="I169" i="112" s="1"/>
  <c r="I15" i="112" s="1"/>
  <c r="K18" i="109"/>
  <c r="M138" i="109"/>
  <c r="K14" i="111"/>
  <c r="M134" i="111"/>
  <c r="M139" i="112"/>
  <c r="K19" i="112"/>
  <c r="M136" i="112"/>
  <c r="K16" i="112"/>
  <c r="K15" i="113"/>
  <c r="M135" i="113"/>
  <c r="I160" i="114"/>
  <c r="I170" i="114" s="1"/>
  <c r="I16" i="114" s="1"/>
  <c r="J170" i="114"/>
  <c r="J16" i="114" s="1"/>
  <c r="M138" i="113"/>
  <c r="K18" i="113"/>
  <c r="J167" i="109"/>
  <c r="I157" i="109"/>
  <c r="I167" i="109" s="1"/>
  <c r="M139" i="114"/>
  <c r="K19" i="114"/>
  <c r="K15" i="110"/>
  <c r="M135" i="110"/>
  <c r="I161" i="110"/>
  <c r="I171" i="110" s="1"/>
  <c r="I17" i="110" s="1"/>
  <c r="J171" i="110"/>
  <c r="J17" i="110" s="1"/>
  <c r="I158" i="110"/>
  <c r="I168" i="110" s="1"/>
  <c r="I14" i="110" s="1"/>
  <c r="J168" i="110"/>
  <c r="J14" i="110" s="1"/>
  <c r="I157" i="112"/>
  <c r="I167" i="112" s="1"/>
  <c r="I13" i="112" s="1"/>
  <c r="J167" i="112"/>
  <c r="M118" i="112"/>
  <c r="K23" i="112"/>
  <c r="K17" i="113"/>
  <c r="M137" i="113"/>
  <c r="J173" i="115"/>
  <c r="J19" i="115" s="1"/>
  <c r="I163" i="115"/>
  <c r="I173" i="115" s="1"/>
  <c r="I19" i="115" s="1"/>
  <c r="M133" i="111"/>
  <c r="K13" i="111"/>
  <c r="K140" i="111"/>
  <c r="M140" i="111" s="1"/>
  <c r="I161" i="113"/>
  <c r="I171" i="113" s="1"/>
  <c r="I17" i="113" s="1"/>
  <c r="J171" i="113"/>
  <c r="J17" i="113" s="1"/>
  <c r="J172" i="114"/>
  <c r="J18" i="114" s="1"/>
  <c r="I162" i="114"/>
  <c r="I172" i="114" s="1"/>
  <c r="I18" i="114" s="1"/>
  <c r="M139" i="115"/>
  <c r="K19" i="115"/>
  <c r="K174" i="109"/>
  <c r="J173" i="110"/>
  <c r="J19" i="110" s="1"/>
  <c r="I163" i="110"/>
  <c r="I173" i="110" s="1"/>
  <c r="I19" i="110" s="1"/>
  <c r="K17" i="110"/>
  <c r="M137" i="110"/>
  <c r="I159" i="109"/>
  <c r="I169" i="109" s="1"/>
  <c r="I15" i="109" s="1"/>
  <c r="J169" i="109"/>
  <c r="J15" i="109" s="1"/>
  <c r="K174" i="112"/>
  <c r="K18" i="111"/>
  <c r="M138" i="111"/>
  <c r="J169" i="115"/>
  <c r="J15" i="115" s="1"/>
  <c r="I159" i="115"/>
  <c r="I169" i="115" s="1"/>
  <c r="I15" i="115" s="1"/>
  <c r="K16" i="110"/>
  <c r="M136" i="110"/>
  <c r="K17" i="111"/>
  <c r="M137" i="111"/>
  <c r="M133" i="115"/>
  <c r="K13" i="115"/>
  <c r="K140" i="115"/>
  <c r="M140" i="115" s="1"/>
  <c r="M137" i="109"/>
  <c r="K17" i="109"/>
  <c r="M134" i="110"/>
  <c r="K14" i="110"/>
  <c r="M134" i="112"/>
  <c r="K14" i="112"/>
  <c r="M118" i="111"/>
  <c r="K23" i="111"/>
  <c r="K15" i="111"/>
  <c r="M135" i="111"/>
  <c r="J170" i="109"/>
  <c r="J16" i="109" s="1"/>
  <c r="I160" i="109"/>
  <c r="I170" i="109" s="1"/>
  <c r="I16" i="109" s="1"/>
  <c r="K15" i="112"/>
  <c r="M135" i="112"/>
  <c r="M134" i="113"/>
  <c r="K14" i="113"/>
  <c r="K13" i="114"/>
  <c r="M133" i="114"/>
  <c r="K140" i="114"/>
  <c r="M140" i="114" s="1"/>
  <c r="I159" i="110"/>
  <c r="I169" i="110" s="1"/>
  <c r="I15" i="110" s="1"/>
  <c r="J169" i="110"/>
  <c r="J15" i="110" s="1"/>
  <c r="J172" i="112"/>
  <c r="J18" i="112" s="1"/>
  <c r="I162" i="112"/>
  <c r="I172" i="112" s="1"/>
  <c r="M139" i="110"/>
  <c r="K19" i="110"/>
  <c r="J168" i="112"/>
  <c r="J14" i="112" s="1"/>
  <c r="I158" i="112"/>
  <c r="I168" i="112" s="1"/>
  <c r="I14" i="112" s="1"/>
  <c r="K13" i="113"/>
  <c r="M133" i="113"/>
  <c r="K140" i="113"/>
  <c r="M140" i="113" s="1"/>
  <c r="J168" i="115"/>
  <c r="J14" i="115" s="1"/>
  <c r="I158" i="115"/>
  <c r="I168" i="115" s="1"/>
  <c r="I14" i="115" s="1"/>
  <c r="I163" i="112"/>
  <c r="I173" i="112" s="1"/>
  <c r="I19" i="112" s="1"/>
  <c r="J173" i="112"/>
  <c r="J19" i="112" s="1"/>
  <c r="M136" i="109"/>
  <c r="K16" i="109"/>
  <c r="I163" i="113"/>
  <c r="I173" i="113" s="1"/>
  <c r="I19" i="113" s="1"/>
  <c r="J173" i="113"/>
  <c r="J19" i="113" s="1"/>
  <c r="K13" i="109"/>
  <c r="M133" i="109"/>
  <c r="K140" i="109"/>
  <c r="M140" i="109" s="1"/>
  <c r="I160" i="111"/>
  <c r="I170" i="111" s="1"/>
  <c r="I16" i="111" s="1"/>
  <c r="J170" i="111"/>
  <c r="J16" i="111" s="1"/>
  <c r="M118" i="115"/>
  <c r="K23" i="115"/>
  <c r="M136" i="115"/>
  <c r="K16" i="115"/>
  <c r="M118" i="113"/>
  <c r="K23" i="113"/>
  <c r="K13" i="110"/>
  <c r="M133" i="110"/>
  <c r="K140" i="110"/>
  <c r="M140" i="110" s="1"/>
  <c r="J173" i="109"/>
  <c r="J19" i="109" s="1"/>
  <c r="I163" i="109"/>
  <c r="I173" i="109" s="1"/>
  <c r="I19" i="109" s="1"/>
  <c r="M135" i="109"/>
  <c r="K15" i="109"/>
  <c r="K23" i="114"/>
  <c r="M118" i="114"/>
  <c r="J173" i="114"/>
  <c r="J19" i="114" s="1"/>
  <c r="I163" i="114"/>
  <c r="I173" i="114" s="1"/>
  <c r="I19" i="114" s="1"/>
  <c r="I161" i="109"/>
  <c r="I171" i="109" s="1"/>
  <c r="I17" i="109" s="1"/>
  <c r="J171" i="109"/>
  <c r="J17" i="109" s="1"/>
  <c r="M138" i="115"/>
  <c r="K18" i="115"/>
  <c r="K18" i="112"/>
  <c r="M138" i="112"/>
  <c r="J172" i="111"/>
  <c r="J18" i="111" s="1"/>
  <c r="I162" i="111"/>
  <c r="I172" i="111" s="1"/>
  <c r="I18" i="111" s="1"/>
  <c r="I163" i="111"/>
  <c r="I173" i="111" s="1"/>
  <c r="I19" i="111" s="1"/>
  <c r="J173" i="111"/>
  <c r="J19" i="111" s="1"/>
  <c r="K19" i="111"/>
  <c r="M139" i="111"/>
  <c r="I161" i="114"/>
  <c r="I171" i="114" s="1"/>
  <c r="I17" i="114" s="1"/>
  <c r="J171" i="114"/>
  <c r="J17" i="114" s="1"/>
  <c r="I159" i="111"/>
  <c r="I169" i="111" s="1"/>
  <c r="I15" i="111" s="1"/>
  <c r="J169" i="111"/>
  <c r="J15" i="111" s="1"/>
  <c r="M138" i="110"/>
  <c r="K18" i="110"/>
  <c r="K23" i="110"/>
  <c r="M118" i="110"/>
  <c r="K174" i="115"/>
  <c r="M137" i="112"/>
  <c r="K17" i="112"/>
  <c r="I160" i="113"/>
  <c r="I170" i="113" s="1"/>
  <c r="I16" i="113" s="1"/>
  <c r="J170" i="113"/>
  <c r="J16" i="113" s="1"/>
  <c r="J167" i="113"/>
  <c r="J13" i="113" s="1"/>
  <c r="I157" i="113"/>
  <c r="I167" i="113" s="1"/>
  <c r="K14" i="109"/>
  <c r="M134" i="109"/>
  <c r="K16" i="111"/>
  <c r="M136" i="111"/>
  <c r="J167" i="111"/>
  <c r="I157" i="111"/>
  <c r="I167" i="111" s="1"/>
  <c r="M139" i="113"/>
  <c r="K19" i="113"/>
  <c r="J170" i="112"/>
  <c r="J16" i="112" s="1"/>
  <c r="I160" i="112"/>
  <c r="I170" i="112" s="1"/>
  <c r="I16" i="112" s="1"/>
  <c r="I160" i="110"/>
  <c r="I170" i="110" s="1"/>
  <c r="I16" i="110" s="1"/>
  <c r="J170" i="110"/>
  <c r="J16" i="110" s="1"/>
  <c r="I162" i="113"/>
  <c r="I172" i="113" s="1"/>
  <c r="I18" i="113" s="1"/>
  <c r="J172" i="113"/>
  <c r="J18" i="113" s="1"/>
  <c r="K18" i="114"/>
  <c r="M138" i="114"/>
  <c r="I157" i="115"/>
  <c r="I167" i="115" s="1"/>
  <c r="J167" i="115"/>
  <c r="I160" i="115"/>
  <c r="I170" i="115" s="1"/>
  <c r="I16" i="115" s="1"/>
  <c r="J170" i="115"/>
  <c r="J16" i="115" s="1"/>
  <c r="K16" i="114"/>
  <c r="M136" i="114"/>
  <c r="K174" i="113"/>
  <c r="J168" i="109"/>
  <c r="J14" i="109" s="1"/>
  <c r="I158" i="109"/>
  <c r="I168" i="109" s="1"/>
  <c r="I14" i="109" s="1"/>
  <c r="K174" i="111"/>
  <c r="M134" i="114"/>
  <c r="K14" i="114"/>
  <c r="K174" i="110"/>
  <c r="J168" i="113"/>
  <c r="J14" i="113" s="1"/>
  <c r="I158" i="113"/>
  <c r="I168" i="113" s="1"/>
  <c r="I14" i="113" s="1"/>
  <c r="K174" i="114"/>
  <c r="M135" i="115"/>
  <c r="K15" i="115"/>
  <c r="J172" i="115"/>
  <c r="J18" i="115" s="1"/>
  <c r="I162" i="115"/>
  <c r="I172" i="115" s="1"/>
  <c r="I18" i="115" s="1"/>
  <c r="I161" i="112"/>
  <c r="I171" i="112" s="1"/>
  <c r="I17" i="112" s="1"/>
  <c r="J171" i="112"/>
  <c r="J17" i="112" s="1"/>
  <c r="I159" i="114"/>
  <c r="I169" i="114" s="1"/>
  <c r="I15" i="114" s="1"/>
  <c r="J169" i="114"/>
  <c r="J15" i="114" s="1"/>
  <c r="M136" i="113"/>
  <c r="K16" i="113"/>
  <c r="I162" i="109"/>
  <c r="I172" i="109" s="1"/>
  <c r="I18" i="109" s="1"/>
  <c r="J172" i="109"/>
  <c r="J18" i="109" s="1"/>
  <c r="K17" i="115"/>
  <c r="M137" i="115"/>
  <c r="I162" i="110"/>
  <c r="I172" i="110" s="1"/>
  <c r="I18" i="110" s="1"/>
  <c r="J172" i="110"/>
  <c r="J18" i="110" s="1"/>
  <c r="M134" i="115"/>
  <c r="K14" i="115"/>
  <c r="I157" i="110"/>
  <c r="I167" i="110" s="1"/>
  <c r="J167" i="110"/>
  <c r="J167" i="114"/>
  <c r="I157" i="114"/>
  <c r="I167" i="114" s="1"/>
  <c r="I161" i="111"/>
  <c r="I171" i="111" s="1"/>
  <c r="I17" i="111" s="1"/>
  <c r="J171" i="111"/>
  <c r="J17" i="111" s="1"/>
  <c r="B38" i="101"/>
  <c r="I137" i="35"/>
  <c r="I136" i="35"/>
  <c r="J55" i="35"/>
  <c r="I111" i="35"/>
  <c r="C81" i="101" s="1"/>
  <c r="H140" i="35"/>
  <c r="AB63" i="119" l="1"/>
  <c r="AB39" i="119" s="1"/>
  <c r="AB136" i="119" s="1"/>
  <c r="AA63" i="119"/>
  <c r="AA39" i="119" s="1"/>
  <c r="AA136" i="119" s="1"/>
  <c r="AB62" i="119"/>
  <c r="AB38" i="119" s="1"/>
  <c r="AB135" i="119" s="1"/>
  <c r="Z61" i="119"/>
  <c r="Z37" i="119" s="1"/>
  <c r="AC37" i="119" s="1"/>
  <c r="AB57" i="119"/>
  <c r="AB35" i="119" s="1"/>
  <c r="AB132" i="119" s="1"/>
  <c r="Z63" i="119"/>
  <c r="Z39" i="119" s="1"/>
  <c r="Z136" i="119" s="1"/>
  <c r="AB61" i="119"/>
  <c r="AB37" i="119" s="1"/>
  <c r="AB134" i="119" s="1"/>
  <c r="AB64" i="119"/>
  <c r="AA62" i="119"/>
  <c r="AA38" i="119" s="1"/>
  <c r="AA135" i="119" s="1"/>
  <c r="Z62" i="119"/>
  <c r="Z38" i="119" s="1"/>
  <c r="Z135" i="119" s="1"/>
  <c r="AA64" i="119"/>
  <c r="L161" i="101"/>
  <c r="J184" i="35"/>
  <c r="J66" i="35"/>
  <c r="I184" i="35"/>
  <c r="I66" i="35"/>
  <c r="I69" i="35"/>
  <c r="AA58" i="101"/>
  <c r="K20" i="110"/>
  <c r="AB61" i="101"/>
  <c r="AB39" i="101" s="1"/>
  <c r="AB57" i="101"/>
  <c r="K20" i="109"/>
  <c r="J174" i="109"/>
  <c r="J13" i="109"/>
  <c r="AB60" i="101"/>
  <c r="AB38" i="101" s="1"/>
  <c r="Z60" i="101"/>
  <c r="Z38" i="101" s="1"/>
  <c r="AC38" i="101" s="1"/>
  <c r="AB62" i="101"/>
  <c r="I174" i="112"/>
  <c r="I18" i="112"/>
  <c r="Z62" i="101" s="1"/>
  <c r="AA60" i="101"/>
  <c r="AA38" i="101" s="1"/>
  <c r="K20" i="115"/>
  <c r="Z59" i="101"/>
  <c r="Z37" i="101" s="1"/>
  <c r="AA63" i="101"/>
  <c r="AA62" i="101"/>
  <c r="K20" i="111"/>
  <c r="J174" i="115"/>
  <c r="J13" i="115"/>
  <c r="J20" i="115" s="1"/>
  <c r="I174" i="111"/>
  <c r="I13" i="111"/>
  <c r="I20" i="111" s="1"/>
  <c r="Z63" i="101"/>
  <c r="J174" i="113"/>
  <c r="J15" i="113"/>
  <c r="J20" i="113" s="1"/>
  <c r="AB59" i="101"/>
  <c r="AB37" i="101" s="1"/>
  <c r="J174" i="112"/>
  <c r="J13" i="112"/>
  <c r="J20" i="112" s="1"/>
  <c r="J174" i="111"/>
  <c r="J13" i="111"/>
  <c r="J20" i="111" s="1"/>
  <c r="AB63" i="101"/>
  <c r="AA61" i="101"/>
  <c r="AA39" i="101" s="1"/>
  <c r="Z61" i="101"/>
  <c r="Z39" i="101" s="1"/>
  <c r="I174" i="114"/>
  <c r="I13" i="114"/>
  <c r="I20" i="114" s="1"/>
  <c r="J174" i="114"/>
  <c r="J13" i="114"/>
  <c r="J20" i="114" s="1"/>
  <c r="I174" i="115"/>
  <c r="I13" i="115"/>
  <c r="I20" i="115" s="1"/>
  <c r="J174" i="110"/>
  <c r="J13" i="110"/>
  <c r="J20" i="110" s="1"/>
  <c r="I174" i="110"/>
  <c r="I13" i="110"/>
  <c r="I20" i="110" s="1"/>
  <c r="K20" i="114"/>
  <c r="K20" i="112"/>
  <c r="I174" i="113"/>
  <c r="I13" i="113"/>
  <c r="I20" i="113" s="1"/>
  <c r="Z58" i="101"/>
  <c r="AB58" i="101"/>
  <c r="K20" i="113"/>
  <c r="I174" i="109"/>
  <c r="I13" i="109"/>
  <c r="J84" i="35"/>
  <c r="J86" i="35"/>
  <c r="J82" i="35"/>
  <c r="J85" i="35"/>
  <c r="J83" i="35"/>
  <c r="J87" i="35"/>
  <c r="J81" i="35"/>
  <c r="I112" i="35"/>
  <c r="C82" i="101" s="1"/>
  <c r="K107" i="35"/>
  <c r="J107" i="35"/>
  <c r="D99" i="101" s="1"/>
  <c r="I107" i="35"/>
  <c r="C99" i="101" s="1"/>
  <c r="I103" i="35"/>
  <c r="K103" i="35"/>
  <c r="J103" i="35"/>
  <c r="K106" i="35"/>
  <c r="K127" i="35" s="1"/>
  <c r="J106" i="35"/>
  <c r="I106" i="35"/>
  <c r="I102" i="35"/>
  <c r="C94" i="101" s="1"/>
  <c r="J102" i="35"/>
  <c r="K102" i="35"/>
  <c r="J101" i="35"/>
  <c r="K101" i="35"/>
  <c r="M101" i="35" s="1"/>
  <c r="I101" i="35"/>
  <c r="H8" i="35"/>
  <c r="C9" i="101" s="1"/>
  <c r="H7" i="35"/>
  <c r="AA61" i="119" l="1"/>
  <c r="AA37" i="119" s="1"/>
  <c r="AA134" i="119" s="1"/>
  <c r="Z64" i="119"/>
  <c r="Z134" i="119"/>
  <c r="AC39" i="119"/>
  <c r="AC38" i="119"/>
  <c r="AA57" i="119"/>
  <c r="AA35" i="119" s="1"/>
  <c r="AA132" i="119" s="1"/>
  <c r="Z57" i="119"/>
  <c r="Z35" i="119" s="1"/>
  <c r="Z132" i="119" s="1"/>
  <c r="AA36" i="101"/>
  <c r="AA68" i="119"/>
  <c r="AA65" i="119" s="1"/>
  <c r="AA60" i="119"/>
  <c r="AA58" i="119" s="1"/>
  <c r="Z68" i="119"/>
  <c r="Z65" i="119" s="1"/>
  <c r="Z60" i="119"/>
  <c r="Z58" i="119" s="1"/>
  <c r="Z36" i="101"/>
  <c r="AC36" i="101" s="1"/>
  <c r="AB36" i="101"/>
  <c r="AB68" i="119"/>
  <c r="AB65" i="119" s="1"/>
  <c r="AB60" i="119"/>
  <c r="AB58" i="119" s="1"/>
  <c r="Z134" i="101"/>
  <c r="AC37" i="101"/>
  <c r="Z136" i="101"/>
  <c r="AC39" i="101"/>
  <c r="L164" i="101"/>
  <c r="P161" i="101" s="1"/>
  <c r="I127" i="35"/>
  <c r="C98" i="101" s="1"/>
  <c r="J127" i="35"/>
  <c r="D98" i="101" s="1"/>
  <c r="J161" i="101"/>
  <c r="J164" i="101" s="1"/>
  <c r="K161" i="101"/>
  <c r="K164" i="101" s="1"/>
  <c r="M103" i="35"/>
  <c r="E95" i="101"/>
  <c r="AB40" i="101"/>
  <c r="I20" i="112"/>
  <c r="AA40" i="101"/>
  <c r="Z40" i="101"/>
  <c r="AC40" i="101" s="1"/>
  <c r="AA59" i="101"/>
  <c r="AA37" i="101" s="1"/>
  <c r="I20" i="109"/>
  <c r="Z57" i="101"/>
  <c r="J20" i="109"/>
  <c r="AA57" i="101"/>
  <c r="AB35" i="101"/>
  <c r="AB64" i="101"/>
  <c r="J69" i="35"/>
  <c r="I139" i="35"/>
  <c r="I138" i="35"/>
  <c r="K69" i="35"/>
  <c r="E99" i="101"/>
  <c r="M107" i="35"/>
  <c r="E98" i="101"/>
  <c r="M106" i="35"/>
  <c r="E94" i="101"/>
  <c r="M102" i="35"/>
  <c r="D94" i="101"/>
  <c r="D93" i="101"/>
  <c r="I134" i="35"/>
  <c r="C93" i="101"/>
  <c r="E93" i="101"/>
  <c r="H167" i="35"/>
  <c r="H13" i="35" s="1"/>
  <c r="B57" i="101" s="1"/>
  <c r="C10" i="101"/>
  <c r="C24" i="101" s="1"/>
  <c r="AC35" i="119" l="1"/>
  <c r="AB163" i="119"/>
  <c r="AB66" i="119"/>
  <c r="AB40" i="119"/>
  <c r="AB137" i="119" s="1"/>
  <c r="AA59" i="119"/>
  <c r="AA36" i="119"/>
  <c r="AA133" i="119" s="1"/>
  <c r="AA140" i="119" s="1"/>
  <c r="AA69" i="119"/>
  <c r="AA163" i="119"/>
  <c r="AA66" i="119"/>
  <c r="AA40" i="119"/>
  <c r="AA137" i="119" s="1"/>
  <c r="AB59" i="119"/>
  <c r="AB36" i="119"/>
  <c r="AB133" i="119" s="1"/>
  <c r="AB69" i="119"/>
  <c r="Z133" i="101"/>
  <c r="Z59" i="119"/>
  <c r="Z36" i="119"/>
  <c r="Z69" i="119"/>
  <c r="Z163" i="119"/>
  <c r="Z66" i="119"/>
  <c r="Z40" i="119"/>
  <c r="P159" i="101"/>
  <c r="P158" i="101"/>
  <c r="P156" i="101"/>
  <c r="P160" i="101"/>
  <c r="P157" i="101"/>
  <c r="O161" i="101"/>
  <c r="O158" i="101"/>
  <c r="O156" i="101"/>
  <c r="O159" i="101"/>
  <c r="O160" i="101"/>
  <c r="O157" i="101"/>
  <c r="N159" i="101"/>
  <c r="N156" i="101"/>
  <c r="N161" i="101"/>
  <c r="N158" i="101"/>
  <c r="N160" i="101"/>
  <c r="N157" i="101"/>
  <c r="AA35" i="101"/>
  <c r="AA64" i="101"/>
  <c r="AB41" i="101"/>
  <c r="AB42" i="101" s="1"/>
  <c r="AB65" i="101"/>
  <c r="AB29" i="101"/>
  <c r="AB31" i="101" s="1"/>
  <c r="Z35" i="101"/>
  <c r="Z64" i="101"/>
  <c r="M128" i="35"/>
  <c r="M127" i="35"/>
  <c r="M124" i="35"/>
  <c r="M123" i="35"/>
  <c r="M122" i="35"/>
  <c r="J114" i="35"/>
  <c r="D84" i="101" s="1"/>
  <c r="K55" i="35"/>
  <c r="J116" i="35"/>
  <c r="D86" i="101" s="1"/>
  <c r="J112" i="35"/>
  <c r="D82" i="101" s="1"/>
  <c r="J117" i="35"/>
  <c r="D87" i="101" s="1"/>
  <c r="J113" i="35"/>
  <c r="D83" i="101" s="1"/>
  <c r="J115" i="35"/>
  <c r="D85" i="101" s="1"/>
  <c r="I133" i="35"/>
  <c r="J52" i="35"/>
  <c r="D95" i="101"/>
  <c r="K129" i="35"/>
  <c r="I113" i="35"/>
  <c r="C83" i="101" s="1"/>
  <c r="C95" i="101"/>
  <c r="J153" i="35"/>
  <c r="K153" i="35"/>
  <c r="K186" i="35" s="1"/>
  <c r="H171" i="35"/>
  <c r="H17" i="35" s="1"/>
  <c r="B61" i="101" s="1"/>
  <c r="H173" i="35"/>
  <c r="H19" i="35" s="1"/>
  <c r="B63" i="101" s="1"/>
  <c r="H168" i="35"/>
  <c r="H14" i="35" s="1"/>
  <c r="B58" i="101" s="1"/>
  <c r="I52" i="35"/>
  <c r="AB140" i="119" l="1"/>
  <c r="AB139" i="119"/>
  <c r="AB143" i="119" s="1"/>
  <c r="AB138" i="119"/>
  <c r="AA162" i="119"/>
  <c r="AA177" i="119" s="1"/>
  <c r="AA190" i="119" s="1"/>
  <c r="AA178" i="119"/>
  <c r="AA191" i="119" s="1"/>
  <c r="AA29" i="119"/>
  <c r="AA31" i="119" s="1"/>
  <c r="AA70" i="119"/>
  <c r="AA41" i="119"/>
  <c r="AA42" i="119" s="1"/>
  <c r="Z137" i="119"/>
  <c r="AC40" i="119"/>
  <c r="AA139" i="119"/>
  <c r="AA143" i="119" s="1"/>
  <c r="AB70" i="119"/>
  <c r="AB29" i="119"/>
  <c r="AB31" i="119" s="1"/>
  <c r="AB41" i="119"/>
  <c r="AB42" i="119" s="1"/>
  <c r="Z178" i="119"/>
  <c r="Z162" i="119"/>
  <c r="Z177" i="119" s="1"/>
  <c r="AC36" i="119"/>
  <c r="Z133" i="119"/>
  <c r="AA138" i="119"/>
  <c r="Z29" i="119"/>
  <c r="Z31" i="119" s="1"/>
  <c r="Z70" i="119"/>
  <c r="Z41" i="119"/>
  <c r="Z42" i="119" s="1"/>
  <c r="AB162" i="119"/>
  <c r="AB177" i="119" s="1"/>
  <c r="AB190" i="119" s="1"/>
  <c r="AB178" i="119"/>
  <c r="AB191" i="119" s="1"/>
  <c r="Z132" i="101"/>
  <c r="AC35" i="101"/>
  <c r="Z29" i="101"/>
  <c r="Z31" i="101" s="1"/>
  <c r="Z41" i="101"/>
  <c r="Z42" i="101" s="1"/>
  <c r="Z65" i="101"/>
  <c r="AA29" i="101"/>
  <c r="AA31" i="101" s="1"/>
  <c r="AA65" i="101"/>
  <c r="AA41" i="101"/>
  <c r="AA42" i="101" s="1"/>
  <c r="J186" i="35"/>
  <c r="K86" i="35"/>
  <c r="K82" i="35"/>
  <c r="K87" i="35"/>
  <c r="K84" i="35"/>
  <c r="K83" i="35"/>
  <c r="K85" i="35"/>
  <c r="K81" i="35"/>
  <c r="I135" i="35"/>
  <c r="I129" i="35"/>
  <c r="I24" i="35" s="1"/>
  <c r="C100" i="101"/>
  <c r="C101" i="101" s="1"/>
  <c r="J129" i="35"/>
  <c r="J24" i="35" s="1"/>
  <c r="D100" i="101"/>
  <c r="D101" i="101" s="1"/>
  <c r="E100" i="101"/>
  <c r="E101" i="101" s="1"/>
  <c r="J134" i="35"/>
  <c r="J139" i="35"/>
  <c r="J138" i="35"/>
  <c r="J136" i="35"/>
  <c r="I118" i="35"/>
  <c r="I23" i="35" s="1"/>
  <c r="C88" i="101"/>
  <c r="C89" i="101" s="1"/>
  <c r="J137" i="35"/>
  <c r="M129" i="35"/>
  <c r="K24" i="35"/>
  <c r="J111" i="35"/>
  <c r="D81" i="101" s="1"/>
  <c r="J135" i="35"/>
  <c r="H172" i="35"/>
  <c r="Z140" i="119" l="1"/>
  <c r="Z143" i="119" s="1"/>
  <c r="Z138" i="119"/>
  <c r="Z139" i="119"/>
  <c r="J118" i="35"/>
  <c r="J23" i="35" s="1"/>
  <c r="D88" i="101"/>
  <c r="D89" i="101" s="1"/>
  <c r="H174" i="35"/>
  <c r="H18" i="35"/>
  <c r="B62" i="101" s="1"/>
  <c r="I140" i="35"/>
  <c r="J133" i="35"/>
  <c r="H20" i="35" l="1"/>
  <c r="J140" i="35"/>
  <c r="K163" i="35"/>
  <c r="K117" i="35"/>
  <c r="E87" i="101" s="1"/>
  <c r="K159" i="35"/>
  <c r="K113" i="35"/>
  <c r="K111" i="35"/>
  <c r="E81" i="101" s="1"/>
  <c r="K157" i="35"/>
  <c r="K160" i="35"/>
  <c r="K114" i="35"/>
  <c r="E84" i="101" s="1"/>
  <c r="K161" i="35"/>
  <c r="K115" i="35"/>
  <c r="E85" i="101" s="1"/>
  <c r="K116" i="35"/>
  <c r="E86" i="101" s="1"/>
  <c r="K162" i="35"/>
  <c r="K112" i="35"/>
  <c r="E82" i="101" s="1"/>
  <c r="K158" i="35"/>
  <c r="J158" i="35" s="1"/>
  <c r="I153" i="35"/>
  <c r="I186" i="35" s="1"/>
  <c r="K135" i="35" l="1"/>
  <c r="E83" i="101"/>
  <c r="E88" i="101" s="1"/>
  <c r="E89" i="101" s="1"/>
  <c r="B64" i="101"/>
  <c r="M111" i="35"/>
  <c r="K134" i="35"/>
  <c r="M112" i="35"/>
  <c r="K137" i="35"/>
  <c r="M115" i="35"/>
  <c r="K136" i="35"/>
  <c r="M114" i="35"/>
  <c r="M113" i="35"/>
  <c r="K139" i="35"/>
  <c r="M117" i="35"/>
  <c r="K138" i="35"/>
  <c r="M116" i="35"/>
  <c r="K118" i="35"/>
  <c r="K133" i="35"/>
  <c r="J162" i="35"/>
  <c r="K172" i="35"/>
  <c r="J161" i="35"/>
  <c r="K171" i="35"/>
  <c r="K170" i="35"/>
  <c r="J160" i="35"/>
  <c r="J157" i="35"/>
  <c r="K167" i="35"/>
  <c r="K169" i="35"/>
  <c r="J159" i="35"/>
  <c r="K168" i="35"/>
  <c r="J163" i="35"/>
  <c r="K173" i="35"/>
  <c r="B29" i="101" l="1"/>
  <c r="K15" i="35"/>
  <c r="E59" i="101" s="1"/>
  <c r="AB71" i="101"/>
  <c r="Y74" i="101"/>
  <c r="Z75" i="101"/>
  <c r="Y71" i="101"/>
  <c r="Y75" i="101"/>
  <c r="Z74" i="101"/>
  <c r="AA75" i="101"/>
  <c r="AA70" i="101"/>
  <c r="AA133" i="101" s="1"/>
  <c r="Y73" i="101"/>
  <c r="Y136" i="101" s="1"/>
  <c r="AA71" i="101"/>
  <c r="AA134" i="101" s="1"/>
  <c r="AA73" i="101"/>
  <c r="AA136" i="101" s="1"/>
  <c r="Z71" i="101"/>
  <c r="AA74" i="101"/>
  <c r="AA137" i="101" s="1"/>
  <c r="Z72" i="101"/>
  <c r="Z135" i="101" s="1"/>
  <c r="AA72" i="101"/>
  <c r="AA135" i="101" s="1"/>
  <c r="Y70" i="101"/>
  <c r="Z73" i="101"/>
  <c r="Y72" i="101"/>
  <c r="Y135" i="101" s="1"/>
  <c r="Z70" i="101"/>
  <c r="AB134" i="101"/>
  <c r="AB69" i="101"/>
  <c r="AB132" i="101" s="1"/>
  <c r="AB73" i="101"/>
  <c r="AB136" i="101" s="1"/>
  <c r="AB72" i="101"/>
  <c r="AB135" i="101" s="1"/>
  <c r="AB75" i="101"/>
  <c r="Z69" i="101"/>
  <c r="AB70" i="101"/>
  <c r="Y69" i="101"/>
  <c r="Y132" i="101" s="1"/>
  <c r="AB74" i="101"/>
  <c r="AA69" i="101"/>
  <c r="AA132" i="101" s="1"/>
  <c r="Z76" i="101"/>
  <c r="AB76" i="101"/>
  <c r="AA76" i="101"/>
  <c r="B135" i="101"/>
  <c r="B65" i="101"/>
  <c r="M118" i="35"/>
  <c r="K23" i="35"/>
  <c r="K18" i="35"/>
  <c r="E62" i="101" s="1"/>
  <c r="M138" i="35"/>
  <c r="M137" i="35"/>
  <c r="K17" i="35"/>
  <c r="E61" i="101" s="1"/>
  <c r="M135" i="35"/>
  <c r="M136" i="35"/>
  <c r="K16" i="35"/>
  <c r="E60" i="101" s="1"/>
  <c r="K140" i="35"/>
  <c r="M140" i="35" s="1"/>
  <c r="M133" i="35"/>
  <c r="K13" i="35"/>
  <c r="E57" i="101" s="1"/>
  <c r="K19" i="35"/>
  <c r="E63" i="101" s="1"/>
  <c r="M139" i="35"/>
  <c r="M134" i="35"/>
  <c r="K14" i="35"/>
  <c r="E58" i="101" s="1"/>
  <c r="K174" i="35"/>
  <c r="I160" i="35"/>
  <c r="I170" i="35" s="1"/>
  <c r="I16" i="35" s="1"/>
  <c r="C60" i="101" s="1"/>
  <c r="J170" i="35"/>
  <c r="J16" i="35" s="1"/>
  <c r="D60" i="101" s="1"/>
  <c r="I157" i="35"/>
  <c r="I167" i="35" s="1"/>
  <c r="I13" i="35" s="1"/>
  <c r="C57" i="101" s="1"/>
  <c r="J167" i="35"/>
  <c r="J13" i="35" s="1"/>
  <c r="D57" i="101" s="1"/>
  <c r="I158" i="35"/>
  <c r="I168" i="35" s="1"/>
  <c r="I14" i="35" s="1"/>
  <c r="C58" i="101" s="1"/>
  <c r="J168" i="35"/>
  <c r="J14" i="35" s="1"/>
  <c r="D58" i="101" s="1"/>
  <c r="J171" i="35"/>
  <c r="J17" i="35" s="1"/>
  <c r="D61" i="101" s="1"/>
  <c r="I161" i="35"/>
  <c r="I171" i="35" s="1"/>
  <c r="I17" i="35" s="1"/>
  <c r="C61" i="101" s="1"/>
  <c r="I163" i="35"/>
  <c r="I173" i="35" s="1"/>
  <c r="I19" i="35" s="1"/>
  <c r="C63" i="101" s="1"/>
  <c r="J173" i="35"/>
  <c r="J19" i="35" s="1"/>
  <c r="D63" i="101" s="1"/>
  <c r="I162" i="35"/>
  <c r="I172" i="35" s="1"/>
  <c r="I18" i="35" s="1"/>
  <c r="C62" i="101" s="1"/>
  <c r="J172" i="35"/>
  <c r="J18" i="35" s="1"/>
  <c r="D62" i="101" s="1"/>
  <c r="I159" i="35"/>
  <c r="I169" i="35" s="1"/>
  <c r="I15" i="35" s="1"/>
  <c r="C59" i="101" s="1"/>
  <c r="J169" i="35"/>
  <c r="J15" i="35" s="1"/>
  <c r="D59" i="101" s="1"/>
  <c r="E37" i="101" l="1"/>
  <c r="AA140" i="101"/>
  <c r="Y140" i="101"/>
  <c r="Z139" i="101"/>
  <c r="Z140" i="101"/>
  <c r="D37" i="101"/>
  <c r="D38" i="101"/>
  <c r="C37" i="101"/>
  <c r="C38" i="101"/>
  <c r="E38" i="101"/>
  <c r="Y139" i="101"/>
  <c r="AA139" i="101"/>
  <c r="AA138" i="101"/>
  <c r="Z137" i="101"/>
  <c r="Z138" i="101" s="1"/>
  <c r="Y137" i="101"/>
  <c r="Y138" i="101" s="1"/>
  <c r="AA77" i="101"/>
  <c r="AB77" i="101"/>
  <c r="Z77" i="101"/>
  <c r="AB137" i="101"/>
  <c r="K20" i="35"/>
  <c r="J174" i="35"/>
  <c r="J20" i="35"/>
  <c r="I20" i="35"/>
  <c r="I174" i="35"/>
  <c r="D135" i="101" l="1"/>
  <c r="D64" i="101"/>
  <c r="D134" i="101"/>
  <c r="E134" i="101"/>
  <c r="E64" i="101"/>
  <c r="C64" i="101"/>
  <c r="E135" i="101"/>
  <c r="C135" i="101"/>
  <c r="C134" i="101"/>
  <c r="AB133" i="101"/>
  <c r="C29" i="101" l="1"/>
  <c r="D29" i="101"/>
  <c r="E29" i="101"/>
  <c r="AB139" i="101"/>
  <c r="AB140" i="101"/>
  <c r="D65" i="101"/>
  <c r="C65" i="101"/>
  <c r="E65" i="101"/>
  <c r="AB138" i="101"/>
  <c r="E7" i="116" l="1"/>
  <c r="B115" i="101" s="1"/>
  <c r="B36" i="101" s="1"/>
  <c r="B133" i="101" s="1"/>
  <c r="E10" i="116" l="1"/>
  <c r="B118" i="101" s="1"/>
  <c r="B37" i="101" s="1"/>
  <c r="B134" i="101" s="1"/>
  <c r="E9" i="116"/>
  <c r="B117" i="101" s="1"/>
  <c r="B39" i="101" s="1"/>
  <c r="B136" i="101" s="1"/>
  <c r="E8" i="116"/>
  <c r="B116" i="101" s="1"/>
  <c r="B35" i="101" s="1"/>
  <c r="B114" i="101" l="1"/>
  <c r="B40" i="101" s="1"/>
  <c r="B137" i="101" s="1"/>
  <c r="E5" i="116"/>
  <c r="B132" i="101"/>
  <c r="B41" i="101" l="1"/>
  <c r="B44" i="101"/>
  <c r="B139" i="101"/>
  <c r="Z143" i="101" s="1"/>
  <c r="B138" i="101"/>
  <c r="E14" i="116"/>
  <c r="B120" i="101"/>
  <c r="B123" i="101" l="1"/>
  <c r="Z123" i="101"/>
  <c r="Y123" i="101"/>
  <c r="B30" i="101"/>
  <c r="B31" i="101" s="1"/>
  <c r="AA123" i="101"/>
  <c r="AA143" i="101"/>
  <c r="AB143" i="101"/>
  <c r="B42" i="101" l="1"/>
  <c r="F76" i="116"/>
  <c r="G75" i="116"/>
  <c r="E74" i="116"/>
  <c r="G7" i="116" s="1"/>
  <c r="D115" i="101" s="1"/>
  <c r="D36" i="101" s="1"/>
  <c r="D133" i="101" s="1"/>
  <c r="D73" i="116"/>
  <c r="H72" i="116"/>
  <c r="F9" i="116" s="1"/>
  <c r="C117" i="101" s="1"/>
  <c r="C39" i="101" s="1"/>
  <c r="C136" i="101" s="1"/>
  <c r="F74" i="116" l="1"/>
  <c r="F73" i="116"/>
  <c r="G73" i="116"/>
  <c r="D74" i="116"/>
  <c r="G6" i="116" s="1"/>
  <c r="G76" i="116"/>
  <c r="H8" i="116" s="1"/>
  <c r="E116" i="101" s="1"/>
  <c r="E35" i="101" s="1"/>
  <c r="G74" i="116"/>
  <c r="G8" i="116" s="1"/>
  <c r="D116" i="101" s="1"/>
  <c r="D35" i="101" s="1"/>
  <c r="H74" i="116"/>
  <c r="G9" i="116" s="1"/>
  <c r="D117" i="101" s="1"/>
  <c r="D39" i="101" s="1"/>
  <c r="D136" i="101" s="1"/>
  <c r="E72" i="116"/>
  <c r="F7" i="116" s="1"/>
  <c r="C115" i="101" s="1"/>
  <c r="C36" i="101" s="1"/>
  <c r="C133" i="101" s="1"/>
  <c r="E76" i="116"/>
  <c r="H7" i="116" s="1"/>
  <c r="E115" i="101" s="1"/>
  <c r="E36" i="101" s="1"/>
  <c r="E133" i="101" s="1"/>
  <c r="H75" i="116"/>
  <c r="D76" i="116"/>
  <c r="H6" i="116" s="1"/>
  <c r="F72" i="116"/>
  <c r="D75" i="116"/>
  <c r="G72" i="116"/>
  <c r="F8" i="116" s="1"/>
  <c r="C116" i="101" s="1"/>
  <c r="C35" i="101" s="1"/>
  <c r="H73" i="116"/>
  <c r="E75" i="116"/>
  <c r="D72" i="116"/>
  <c r="F6" i="116" s="1"/>
  <c r="F75" i="116"/>
  <c r="H76" i="116"/>
  <c r="H9" i="116" s="1"/>
  <c r="E117" i="101" s="1"/>
  <c r="E39" i="101" s="1"/>
  <c r="E136" i="101" s="1"/>
  <c r="E73" i="116"/>
  <c r="C132" i="101" l="1"/>
  <c r="E114" i="101"/>
  <c r="E40" i="101" s="1"/>
  <c r="E137" i="101" s="1"/>
  <c r="H5" i="116"/>
  <c r="D132" i="101"/>
  <c r="C114" i="101"/>
  <c r="C40" i="101" s="1"/>
  <c r="C137" i="101" s="1"/>
  <c r="F5" i="116"/>
  <c r="E132" i="101"/>
  <c r="G5" i="116"/>
  <c r="D114" i="101"/>
  <c r="D40" i="101" s="1"/>
  <c r="D137" i="101" s="1"/>
  <c r="E41" i="101" l="1"/>
  <c r="D41" i="101"/>
  <c r="C41" i="101"/>
  <c r="E44" i="101"/>
  <c r="C138" i="101"/>
  <c r="C139" i="101"/>
  <c r="C143" i="101" s="1"/>
  <c r="D139" i="101"/>
  <c r="D143" i="101" s="1"/>
  <c r="D138" i="101"/>
  <c r="G14" i="116"/>
  <c r="D120" i="101"/>
  <c r="C120" i="101"/>
  <c r="F14" i="116"/>
  <c r="D44" i="101"/>
  <c r="H14" i="116"/>
  <c r="E120" i="101"/>
  <c r="E30" i="101" s="1"/>
  <c r="E138" i="101"/>
  <c r="E139" i="101"/>
  <c r="E143" i="101" s="1"/>
  <c r="C44" i="101"/>
  <c r="C42" i="101" l="1"/>
  <c r="C30" i="101"/>
  <c r="C31" i="101" s="1"/>
  <c r="C123" i="101"/>
  <c r="E42" i="101"/>
  <c r="E31" i="101"/>
  <c r="E123" i="101"/>
  <c r="D123" i="101"/>
  <c r="D30" i="101"/>
  <c r="D31" i="101" s="1"/>
  <c r="D42" i="10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<sst xmlns="http://schemas.openxmlformats.org/spreadsheetml/2006/main" count="3655" uniqueCount="426">
  <si>
    <t>Bureaux</t>
  </si>
  <si>
    <t>Habitat communautaire</t>
  </si>
  <si>
    <t>Santé</t>
  </si>
  <si>
    <t>Commerce</t>
  </si>
  <si>
    <t>Transport</t>
  </si>
  <si>
    <t>2020-2030</t>
  </si>
  <si>
    <t>2030-2040</t>
  </si>
  <si>
    <t>2040-2050</t>
  </si>
  <si>
    <t>S2</t>
  </si>
  <si>
    <t>S3</t>
  </si>
  <si>
    <t>S4</t>
  </si>
  <si>
    <t>Cafés-hôtels-restaurants</t>
  </si>
  <si>
    <t>Enseignement-recherche</t>
  </si>
  <si>
    <t>Sport, Loisirs, Culture</t>
  </si>
  <si>
    <t>TOTAL</t>
  </si>
  <si>
    <t>Fuel domestique</t>
  </si>
  <si>
    <t>Gaz naturel</t>
  </si>
  <si>
    <t>Total</t>
  </si>
  <si>
    <t>AME</t>
  </si>
  <si>
    <t>AMS</t>
  </si>
  <si>
    <t>Energie</t>
  </si>
  <si>
    <t>Réseau de chaleur</t>
  </si>
  <si>
    <t>GPL</t>
  </si>
  <si>
    <t>Proportion</t>
  </si>
  <si>
    <t>CHAUFFAGE</t>
  </si>
  <si>
    <t>Joule</t>
  </si>
  <si>
    <t>PAC</t>
  </si>
  <si>
    <t>Catégorie</t>
  </si>
  <si>
    <t>Tous bureaux</t>
  </si>
  <si>
    <t xml:space="preserve">Dont surfaces construites après 2015 </t>
  </si>
  <si>
    <t>Dont surfaces existantes en 2015</t>
  </si>
  <si>
    <t>SURFACES CHAUFFEES</t>
  </si>
  <si>
    <t>Justification hypothèses</t>
  </si>
  <si>
    <t>Surface</t>
  </si>
  <si>
    <t>Surface [thousand sq m]</t>
  </si>
  <si>
    <t>Proportion du parc suivant la trajectoire décret tertiaire</t>
  </si>
  <si>
    <t>Trajectoire décret tertiaire [kWh/sq m]</t>
  </si>
  <si>
    <t>Hypothèse TCAM 2020-2050</t>
  </si>
  <si>
    <t>La consommation du parc neuf évolue pour se caler sur les consommations du décret tertiaire, dès les années 2030</t>
  </si>
  <si>
    <t>Café Hôtel Restaurant</t>
  </si>
  <si>
    <t xml:space="preserve">Réduction de consommation de -60% par rapport aux consommations 2010. Il s'agit d'une moyenne (certains bâtiments feront plus, d'autres feront moins, notamment avec les modulations prévues pour raisons techniques, architecturales…)
</t>
  </si>
  <si>
    <t>Fuel : éradication du fuel,
Gaz naturel : devient résiduel
RCU : triplement des surfaces raccordées
Electricité :   Augmentation de la part de PAC au dépend du Joule (ratio 80/20)</t>
  </si>
  <si>
    <t>ENR</t>
  </si>
  <si>
    <t>Enseignement</t>
  </si>
  <si>
    <t>Sport Loisir Culture</t>
  </si>
  <si>
    <t>Santé social</t>
  </si>
  <si>
    <t>Electricité Joule</t>
  </si>
  <si>
    <t>Electricité PAC</t>
  </si>
  <si>
    <t>Café Hôtels Restaurants</t>
  </si>
  <si>
    <t>Etat initial (2020)</t>
  </si>
  <si>
    <t>Bureaux Administration</t>
  </si>
  <si>
    <t>Enseignement Recherche</t>
  </si>
  <si>
    <t>Santé Action Sociale</t>
  </si>
  <si>
    <t>total</t>
  </si>
  <si>
    <t>Renouvellement du parc (destruction reconstruction)</t>
  </si>
  <si>
    <t>Parc post-2020</t>
  </si>
  <si>
    <t>Etude d'impact du décret tertiaire (DHUP)</t>
  </si>
  <si>
    <t>Bureaux - Scénario AME</t>
  </si>
  <si>
    <t>Résultats - Scénario AME</t>
  </si>
  <si>
    <t>Surface chauffée  - Scénario AME [thousand sq m]</t>
  </si>
  <si>
    <t>Consommation par source énergie - Scénario AME [GWh LHV]</t>
  </si>
  <si>
    <t>Calculs - Scénario AME</t>
  </si>
  <si>
    <t>Surfaces chauffées - Scénario AME [thousand sq m]</t>
  </si>
  <si>
    <t>Parc existant en 2015 hors décret tertiaire - Hypothèses de consommation unitaire de chauffage par type d'énergie - Scénario AME</t>
  </si>
  <si>
    <t>Parc existant en 2020 hors décret tertiaire - Consommation unitaire de chauffage par type d'énergie [kWh/sq m] - Scénario AME</t>
  </si>
  <si>
    <t>Parc existant en 2015 -  Consommation de chauffage par type d'énergie - Scénario AME [GWh LHV]</t>
  </si>
  <si>
    <t>Parc neuf post 2015 -  Consommation de chauffage par type d'énergie - Scénario AME [GWh LHV]</t>
  </si>
  <si>
    <t>Hyp de décroissance de la conso de 0,2%/an (SDES)</t>
  </si>
  <si>
    <t>Réseaux de chaleur</t>
  </si>
  <si>
    <t>Parc neuf post 2020 - Répartition des surfaces chauffées par type d'énergie de chauffage - Scénario AME</t>
  </si>
  <si>
    <t>Parc neuf post 2020 - Consommation unitaire de chauffage par type d'énergie [kWh/sq m] - Scénario AME</t>
  </si>
  <si>
    <t>Parc neuf post-2020</t>
  </si>
  <si>
    <t>Parc existant en 2020</t>
  </si>
  <si>
    <t>Part du parc assujettie (&gt;1000m²) x part du parc asujetti respectant la trajectoire du décret</t>
  </si>
  <si>
    <t>Taux</t>
  </si>
  <si>
    <t>Taux annuel moyen</t>
  </si>
  <si>
    <t>Gaz</t>
  </si>
  <si>
    <t>Fioul</t>
  </si>
  <si>
    <t>Autres combustibles</t>
  </si>
  <si>
    <t>Électricité</t>
  </si>
  <si>
    <t>Baisse annuelle</t>
  </si>
  <si>
    <t>TCAM 2010-2020 toutes branches</t>
  </si>
  <si>
    <t xml:space="preserve">Les segments du parc non concernés par le décret tertiaire sont rénovés plus lentement que le rythme tendanciel, car il s'agit de surfaces plus difficiles à rénover (nature du propriétaire…). </t>
  </si>
  <si>
    <t>Proportion du parc assujetti suivant la trajectoire du décret tertiaire</t>
  </si>
  <si>
    <t>Proportion du parc assujeti (&gt;1000m²)</t>
  </si>
  <si>
    <t>Parc existant en 2015 suivant le décret tertiaire -  Consommation de chauffage par type d'énergie - Scénario AME [GWh LHV]</t>
  </si>
  <si>
    <t>Parc existant en 2015 hors décret tertiaire -  Consommation de chauffage par type d'énergie - Scénario AME [GWh LHV]</t>
  </si>
  <si>
    <t xml:space="preserve">Baisses de consommation induites par les changements de système de chauffage </t>
  </si>
  <si>
    <t>Parc existant en 2015 - Répartition des surfaces chauffées par type d'énergie de chauffage - Scénario Tendanciel - surfaces hors décret</t>
  </si>
  <si>
    <t>Baisses de consommation induites par les changements de système de chauffage</t>
  </si>
  <si>
    <t>Parc existant en 2015 - Répartition des surfaces chauffées par type d'énergie de chauffage - Scénario Tendanciel - surfaces suivant la traj décret</t>
  </si>
  <si>
    <t>[Aide au calage] Evolution 2010-2050</t>
  </si>
  <si>
    <t>Part Etat</t>
  </si>
  <si>
    <t>Part Privé</t>
  </si>
  <si>
    <t>Part collectivités</t>
  </si>
  <si>
    <t>Etat</t>
  </si>
  <si>
    <t>Privé</t>
  </si>
  <si>
    <t>Collectivités</t>
  </si>
  <si>
    <t>Réalisation des objectifs</t>
  </si>
  <si>
    <t>Baisse de la consommation du parc suivant le décret</t>
  </si>
  <si>
    <t>Baisse de la consommation du parc hors décret</t>
  </si>
  <si>
    <t>Surface du parc (milliers de m²)</t>
  </si>
  <si>
    <t>Existant 2020</t>
  </si>
  <si>
    <t>Neuf post 2020</t>
  </si>
  <si>
    <t>Gain énergétique</t>
  </si>
  <si>
    <t>Consommation totale en GWh AME</t>
  </si>
  <si>
    <t>Consommation parc suivant le décret en GWh AME</t>
  </si>
  <si>
    <t>Consommation parc hors décret en GWh AME</t>
  </si>
  <si>
    <t>Scénario AME</t>
  </si>
  <si>
    <t>Scénario AMS</t>
  </si>
  <si>
    <t>Consommation parc suivant le décret en GWh AMS</t>
  </si>
  <si>
    <t>Consommation parc hors décret en GWh AMS</t>
  </si>
  <si>
    <t>Surfaces &gt; 1000m²</t>
  </si>
  <si>
    <t>Surfaces &gt; 500m²</t>
  </si>
  <si>
    <t>Dont surfaces existantes en 2020</t>
  </si>
  <si>
    <t>Dont surfaces construites après 2020</t>
  </si>
  <si>
    <t>https://www.ecologie.gouv.fr/sites/default/files/CGDD_scenarios_renovation_batiments_tertiaires_publication_20201203.pdf</t>
  </si>
  <si>
    <t>p. 54</t>
  </si>
  <si>
    <t>Parc post-2020 (besoins suppl. + destruction/reconstruction)</t>
  </si>
  <si>
    <t>Flux de renouvellement annuel</t>
  </si>
  <si>
    <t>Hors chauffage - Scénario AME</t>
  </si>
  <si>
    <t>Eau chaude sanitaire</t>
  </si>
  <si>
    <t>CUISSON</t>
  </si>
  <si>
    <t>ELECTRICITE SPECIFIQUE</t>
  </si>
  <si>
    <t>CLIMATISATION</t>
  </si>
  <si>
    <t>HORS CEREN</t>
  </si>
  <si>
    <t>ECS (kWh/m²)</t>
  </si>
  <si>
    <t>Surface tertiaire (Mm²)</t>
  </si>
  <si>
    <t>Conso (TWh ef)</t>
  </si>
  <si>
    <t>électricité (PAC incluses)</t>
  </si>
  <si>
    <t>Gaz réseau</t>
  </si>
  <si>
    <t>Charbon</t>
  </si>
  <si>
    <t>Pétrole/GPL</t>
  </si>
  <si>
    <t>Bois</t>
  </si>
  <si>
    <t>Réseau de Chaleur Urbain</t>
  </si>
  <si>
    <t>Mix ECS</t>
  </si>
  <si>
    <t>Conso ECS (TWh Ef)</t>
  </si>
  <si>
    <t>Conso cuisson (TWh Ef)</t>
  </si>
  <si>
    <t>Mix cuisson</t>
  </si>
  <si>
    <t>Cuisson (kWh/m²)</t>
  </si>
  <si>
    <t>Elec spé (kWh/m²)</t>
  </si>
  <si>
    <t>Sortie MICO scénario BAU corrigé des ratios des surfaces</t>
  </si>
  <si>
    <t>TWh par zone climatique</t>
  </si>
  <si>
    <t>H1A</t>
  </si>
  <si>
    <t>H1B</t>
  </si>
  <si>
    <t>H1C</t>
  </si>
  <si>
    <t>H2A</t>
  </si>
  <si>
    <t>H2B</t>
  </si>
  <si>
    <t>H2C</t>
  </si>
  <si>
    <t>H2D</t>
  </si>
  <si>
    <t>H3</t>
  </si>
  <si>
    <t>Martinique</t>
  </si>
  <si>
    <t>Guadeloupe</t>
  </si>
  <si>
    <t>Guyane</t>
  </si>
  <si>
    <t>Mayotte</t>
  </si>
  <si>
    <t>La Réunion</t>
  </si>
  <si>
    <t>Total en TWh</t>
  </si>
  <si>
    <t>Conso (TWh)</t>
  </si>
  <si>
    <t>Métropole</t>
  </si>
  <si>
    <t>DROM</t>
  </si>
  <si>
    <t>TWh</t>
  </si>
  <si>
    <t>Eclairage public</t>
  </si>
  <si>
    <t>décroissance linéaire (~installation de LED à 50 %, nb de points lumineux suit la population, puissance moyenne et temps à pleine puissance constants)</t>
  </si>
  <si>
    <t>Data centers</t>
  </si>
  <si>
    <t>Consommations générales d’immeubles</t>
  </si>
  <si>
    <t>annexé au nb de LC</t>
  </si>
  <si>
    <t>Télécommunications</t>
  </si>
  <si>
    <t>annexé population</t>
  </si>
  <si>
    <t>Entrepôts frigorifiques et grands établissements de recherche</t>
  </si>
  <si>
    <t>hausse modérée (plateformes logistiques, livraisons alimentaires)</t>
  </si>
  <si>
    <t>Eau (distribution et assainissements)</t>
  </si>
  <si>
    <t>Non spécifié</t>
  </si>
  <si>
    <t xml:space="preserve">constant  </t>
  </si>
  <si>
    <t>Autres</t>
  </si>
  <si>
    <t>ecs</t>
  </si>
  <si>
    <t>Consommation (TWh)</t>
  </si>
  <si>
    <t>Electricité</t>
  </si>
  <si>
    <t>Pétrole</t>
  </si>
  <si>
    <t>Chaleur</t>
  </si>
  <si>
    <t>Baisse de consommation</t>
  </si>
  <si>
    <t>SDES</t>
  </si>
  <si>
    <t>Mtep</t>
  </si>
  <si>
    <t>chauffage</t>
  </si>
  <si>
    <t>elec spé</t>
  </si>
  <si>
    <t>clim</t>
  </si>
  <si>
    <t>cuisson</t>
  </si>
  <si>
    <t>autre</t>
  </si>
  <si>
    <t>total HC</t>
  </si>
  <si>
    <t>Hors chauffage - Scénario AMS</t>
  </si>
  <si>
    <t>EnR Thermiques</t>
  </si>
  <si>
    <t>Sortie MICO scénario S2 corrigé des ratios des surfaces (paraît très ambitieux)</t>
  </si>
  <si>
    <t>AMS 2023</t>
  </si>
  <si>
    <t>baisse similaire ADEME/NW (en 2050 : installation de LED à 80 % + -1/3 du temps en pleine puissance, nb de points lumineux constant)</t>
  </si>
  <si>
    <t>constant (similaire ADEME)</t>
  </si>
  <si>
    <t>croissance à 2030 puis constant ensuite</t>
  </si>
  <si>
    <t>constant (gains EE compensés par meilleur traitement des eaux)</t>
  </si>
  <si>
    <t xml:space="preserve">baisse à discuter </t>
  </si>
  <si>
    <t>Chauffage</t>
  </si>
  <si>
    <t>Consommation totale</t>
  </si>
  <si>
    <t>Hors Chauffage</t>
  </si>
  <si>
    <t>Electricité (PAC incluses)</t>
  </si>
  <si>
    <t>EnR thermique</t>
  </si>
  <si>
    <t>REBASAGE Consommation totale de chauffage en GWh AMS</t>
  </si>
  <si>
    <t>Usage</t>
  </si>
  <si>
    <t>Hors chauffage</t>
  </si>
  <si>
    <t>Proportion du parc assujeti (&gt;500m²)</t>
  </si>
  <si>
    <t>On applique les réductions du décret tertiaire sur les surface concernées</t>
  </si>
  <si>
    <t>Facteurs d'émission</t>
  </si>
  <si>
    <t>g/kWh</t>
  </si>
  <si>
    <t>Emissions totales (Mt) AME</t>
  </si>
  <si>
    <t>Total hors électricité</t>
  </si>
  <si>
    <t>par an</t>
  </si>
  <si>
    <t>Estimation GES (FE constant)</t>
  </si>
  <si>
    <t>Surface chauffée  - Scénario AMS [thousand sq m]</t>
  </si>
  <si>
    <t>Consommation totale en GWh AMS</t>
  </si>
  <si>
    <t>Consommation par source énergie - Scénario AMS [GWh LHV]</t>
  </si>
  <si>
    <t>Emissions totales (Mt) AMS</t>
  </si>
  <si>
    <t>Estimation GES</t>
  </si>
  <si>
    <t>Part de la surface assujettie qui applique les objectifs du décret tertiaire</t>
  </si>
  <si>
    <t>Proportion du parc qui applique la trajectoire décret tertiaire</t>
  </si>
  <si>
    <t>Ademe</t>
  </si>
  <si>
    <t>Hab com</t>
  </si>
  <si>
    <t>Parc Ademe</t>
  </si>
  <si>
    <t>Proportion du parc assujetti qui applique la trajectoire décret tertiaire</t>
  </si>
  <si>
    <t>Parc</t>
  </si>
  <si>
    <t>Parc ntotal en m2</t>
  </si>
  <si>
    <t>Pétrole brut</t>
  </si>
  <si>
    <t>Produits pétroliers raffinés</t>
  </si>
  <si>
    <t>Nucléaire</t>
  </si>
  <si>
    <t>EnR électriques</t>
  </si>
  <si>
    <t>EnR thermiques et déchets</t>
  </si>
  <si>
    <t>Chaleur commercialisée</t>
  </si>
  <si>
    <t>Tertiaire</t>
  </si>
  <si>
    <t>TWh - données réelles</t>
  </si>
  <si>
    <t>écart</t>
  </si>
  <si>
    <t>CaHoRes - Scénario AMS</t>
  </si>
  <si>
    <t>Commerce - Scénario AMS</t>
  </si>
  <si>
    <t>Enseignement - Scénario AMS</t>
  </si>
  <si>
    <t>Santé social - Scénario AMS</t>
  </si>
  <si>
    <t>Sport Loisir Culture - Scénario AMS</t>
  </si>
  <si>
    <t>Transport - Scénario AMS</t>
  </si>
  <si>
    <t>Bureaux - Scénario AMS</t>
  </si>
  <si>
    <t>Résultats - Scénario AMS</t>
  </si>
  <si>
    <t>Calculs - Scénario AMS</t>
  </si>
  <si>
    <t>Surfaces chauffées - Scénario AMS [thousand sq m]</t>
  </si>
  <si>
    <t>Parc existant en 2015 hors décret tertiaire - Hypothèses de consommation unitaire de chauffage par type d'énergie - Scénario AMS</t>
  </si>
  <si>
    <t>Parc existant en 2020 hors décret tertiaire - Consommation unitaire de chauffage par type d'énergie [kWh/sq m] - Scénario AMS</t>
  </si>
  <si>
    <t>Parc existant en 2015 suivant le décret tertiaire -  Consommation de chauffage par type d'énergie - Scénario AMS [GWh LHV]</t>
  </si>
  <si>
    <t>Parc existant en 2015 hors décret tertiaire -  Consommation de chauffage par type d'énergie - Scénario AMS [GWh LHV]</t>
  </si>
  <si>
    <t>Parc existant en 2015 -  Consommation de chauffage par type d'énergie - Scénario AMS [GWh LHV]</t>
  </si>
  <si>
    <t>Parc neuf post 2020 - Répartition des surfaces chauffées par type d'énergie de chauffage - Scénario AMS</t>
  </si>
  <si>
    <t>Parc neuf post 2020 - Consommation unitaire de chauffage par type d'énergie [kWh/sq m] - Scénario AMS</t>
  </si>
  <si>
    <t>Parc neuf post 2015 -  Consommation de chauffage par type d'énergie - Scénario AMS [GWh LHV]</t>
  </si>
  <si>
    <t>Consommation totale de chauffage en GWh AMS (hors chaleur environnement des PAC)</t>
  </si>
  <si>
    <t>Consommation totale de chauffage en GWh AME (hors chaleur environnement des PAC)</t>
  </si>
  <si>
    <t>Vivaldi</t>
  </si>
  <si>
    <t>2019 en TWh</t>
  </si>
  <si>
    <t>SDES 2019</t>
  </si>
  <si>
    <t>Bilan énergétique SDES publié en 2023 - inclut tout le tertiaire (dont traitement eaux usées etc)</t>
  </si>
  <si>
    <t>Usages</t>
  </si>
  <si>
    <t>Étiquettes de lignes</t>
  </si>
  <si>
    <t>Énergies renouvelables</t>
  </si>
  <si>
    <t>Total général</t>
  </si>
  <si>
    <t>Cuisson</t>
  </si>
  <si>
    <t>Spécifique</t>
  </si>
  <si>
    <t>Idem</t>
  </si>
  <si>
    <t>Fuel, gaz : interdit (RE2020)
RCU : triplement des surfaces raccordées
Electricité :   Augmentation de la part de PAC au dépend du Joule (ratio 80/20)</t>
  </si>
  <si>
    <t>1. Conformité au décret tertiaire</t>
  </si>
  <si>
    <t xml:space="preserve">Part du parc </t>
  </si>
  <si>
    <r>
      <t xml:space="preserve">Parc visant la valeur </t>
    </r>
    <r>
      <rPr>
        <b/>
        <sz val="11"/>
        <color theme="1"/>
        <rFont val="Calibri"/>
        <family val="2"/>
        <scheme val="minor"/>
      </rPr>
      <t>absolue</t>
    </r>
  </si>
  <si>
    <r>
      <t xml:space="preserve">Parc visant la valeur </t>
    </r>
    <r>
      <rPr>
        <b/>
        <sz val="11"/>
        <color theme="1"/>
        <rFont val="Calibri"/>
        <family val="2"/>
        <scheme val="minor"/>
      </rPr>
      <t>relative</t>
    </r>
  </si>
  <si>
    <t>Commentaire</t>
  </si>
  <si>
    <t>Gain en terme de consommation énergétique par m² en 2030</t>
  </si>
  <si>
    <r>
      <t xml:space="preserve">Parc assujetti </t>
    </r>
    <r>
      <rPr>
        <b/>
        <sz val="11"/>
        <color theme="1"/>
        <rFont val="Calibri"/>
        <family val="2"/>
        <scheme val="minor"/>
      </rPr>
      <t>atteignant les valeurs absolues</t>
    </r>
    <r>
      <rPr>
        <sz val="11"/>
        <color theme="1"/>
        <rFont val="Calibri"/>
        <family val="2"/>
        <scheme val="minor"/>
      </rPr>
      <t xml:space="preserve"> aujourd'hui</t>
    </r>
  </si>
  <si>
    <t>2. Gain énergétique en 2030 pour le parc qui respecte le décret tertiaire</t>
  </si>
  <si>
    <t>Remarque 1 : L'année de référence est à choisir après 2010 pour respecter le décret tertiaire. La baisse relative affichée s'entend ici par rapport à 2020. On considère donc qu'une partie du parc a déjà fait les travaux (ligne "parc assujetti atteignant les valeurs absolues aujourd'hui")</t>
  </si>
  <si>
    <t>Remarque 2 : Pour 2040 et 2050, on applique directement les valeurs relatives de -50% en -60% en prévision de valeurs absolues ambitieuses et en absence de données pertinentes.</t>
  </si>
  <si>
    <t>Parc total en m2</t>
  </si>
  <si>
    <t>en milliers de m²</t>
  </si>
  <si>
    <t>Source</t>
  </si>
  <si>
    <t>Intégrateur Enerdata</t>
  </si>
  <si>
    <t>Valeur réglementaire RE2020</t>
  </si>
  <si>
    <t>CPCU</t>
  </si>
  <si>
    <t>Évolution des consommations tous usages du secteur tertiaire selon l'énergie (climat normal)</t>
  </si>
  <si>
    <t>(TWh)</t>
  </si>
  <si>
    <t>Énergie</t>
  </si>
  <si>
    <t>TCAM</t>
  </si>
  <si>
    <t>TCAM 2010-2020</t>
  </si>
  <si>
    <t>Total bâtiment</t>
  </si>
  <si>
    <t>Gain énergétique vs 2020</t>
  </si>
  <si>
    <t>Baisse des émissions</t>
  </si>
  <si>
    <r>
      <rPr>
        <b/>
        <sz val="8"/>
        <color theme="1"/>
        <rFont val="Calibri"/>
        <family val="2"/>
        <scheme val="minor"/>
      </rPr>
      <t>Gaz</t>
    </r>
    <r>
      <rPr>
        <sz val="8"/>
        <color theme="1"/>
        <rFont val="Calibri"/>
        <family val="2"/>
        <scheme val="minor"/>
      </rPr>
      <t xml:space="preserve"> : -10% de chaudières en 2030, -40% en 2040 et -80% en 2050 (pour rappel l'interdiction du renouvellement de chaudière gaz en 2027, hypothèse de durée de vie de 22 ans (source fiche CEE) ; impliquerait) -14% en 2030, -60% en 2040 et -95¨% en 2050)
</t>
    </r>
    <r>
      <rPr>
        <b/>
        <sz val="8"/>
        <color theme="1"/>
        <rFont val="Calibri"/>
        <family val="2"/>
        <scheme val="minor"/>
      </rPr>
      <t>Fioul</t>
    </r>
    <r>
      <rPr>
        <sz val="8"/>
        <color theme="1"/>
        <rFont val="Calibri"/>
        <family val="2"/>
        <scheme val="minor"/>
      </rPr>
      <t xml:space="preserve"> : Interdiction de brûler du fioul dans le tertiaire en 2030 (sauf dérogations)
</t>
    </r>
    <r>
      <rPr>
        <b/>
        <sz val="8"/>
        <color theme="1"/>
        <rFont val="Calibri"/>
        <family val="2"/>
        <scheme val="minor"/>
      </rPr>
      <t>Décarboné</t>
    </r>
    <r>
      <rPr>
        <sz val="8"/>
        <color theme="1"/>
        <rFont val="Calibri"/>
        <family val="2"/>
        <scheme val="minor"/>
      </rPr>
      <t xml:space="preserve"> : Fort développement PAC et RCU pour compenser, EnR dans une moindre mesure</t>
    </r>
  </si>
  <si>
    <t>2030 vs 2020</t>
  </si>
  <si>
    <t>P33:P50</t>
  </si>
  <si>
    <t>Commentaire (AME 24)</t>
  </si>
  <si>
    <t>Màj à partir de l'étude d'impact DHUP (2023) pour l'AME 24</t>
  </si>
  <si>
    <t>Etude d'impact DHUP (avant 2023) utilisée pour l'AMS run 2 (voir onglet source)</t>
  </si>
  <si>
    <t>Màj à partir de l'étude d'impact DHUP (2023) pour l'AME 24 (voir onglet source)</t>
  </si>
  <si>
    <t>Hyp AMS run 2 : +17,5% pour les surfaces &gt; 500m²</t>
  </si>
  <si>
    <t>L'Analyse du taux de complétion d'Operat au 04/01/2024 de la DHUP estime un taux de complétion de 53% pour les branches. Si on considère qu'en AME, ce taux peut monter à 60% (sans relance de la DHUP pour inciter les inscriptions sur Operat), que 10% utilisent des dérogations type bâtiments historiques, on tombe à 50%. Sachant qu'une part des bâtiments hors Operat pourrait respecter la trajectoire DEET (proportion probablement faible) et qu'une part inscrite sur Operat ne respectera pas le DEET en AME.</t>
  </si>
  <si>
    <t>AME 24</t>
  </si>
  <si>
    <t>Gain en termes de consommation énergétique par m² en 2030/2010</t>
  </si>
  <si>
    <t>Gain en termes de consommation énergétique par m² en 2040/2010</t>
  </si>
  <si>
    <t>Gain en termes de consommation énergétique par m² en 2050/2010</t>
  </si>
  <si>
    <t>BUREAUX</t>
  </si>
  <si>
    <t>Basé sur les VA publiées, au vu des données déclarées sur OPERAT. La diminution de conso vient de la tendance observée 2010-2020 au vu des données CEREN et OPERAT ; on suppose qu'ils ne font plus rien ensuite car ils ont déjà atteint les objectifs</t>
  </si>
  <si>
    <t>On suppose que les VA sont réhaussées pour être ajustées sur les 25% les plus performants. Les valeurs devraient diminuer de l'ordre de 10% supplémentaire</t>
  </si>
  <si>
    <t>Basé sur les VA publiées, au vu des données déclarées sur OPERAT. On suppose qu'ils ont déjà fait 20% entre 2010 et 2020, et refont 10% sur la décennie suivante. Ceux-là choisissent la VA car au global c'est plus facile que la VR (40%)</t>
  </si>
  <si>
    <t>Le reste</t>
  </si>
  <si>
    <t>Gain énergétique de plus en 2030 par rapport à 2010 pour les bureaux</t>
  </si>
  <si>
    <t>Gain énergétique de plus en 2040 par rapport à 2010 pour les bureaux</t>
  </si>
  <si>
    <t>Gain énergétique de plus en 2050 par rapport à 2010 pour les bureaux</t>
  </si>
  <si>
    <t>AUTRES BRANCHES</t>
  </si>
  <si>
    <t>Gain énergétique de plus en 2030 par rapport à 2010 pour les autres branches</t>
  </si>
  <si>
    <t>Gain énergétique de plus en 2040 par rapport à 2010 pour les  autres branches</t>
  </si>
  <si>
    <t>Gain énergétique de plus en 2050 par rapport à 2010 pour les  autres branches</t>
  </si>
  <si>
    <t>Remarque 1 : Plus de distinction entre bureaux et reste pour les autres échéances, l'idée étant qu'on aura recalibré le niveau d'ambition d'ici-là. J'ai donc mis la même chose partout</t>
  </si>
  <si>
    <t>Gain énergétique en 2040/2010 pour le parc suivant le décret</t>
  </si>
  <si>
    <t>Gain énergétique en 2050/2010 pour le parc suivant le décret</t>
  </si>
  <si>
    <t>Gain énergétique en 2030/2010 pour le parc suivant le décret</t>
  </si>
  <si>
    <t>Trajectoire spécifique pour les bureaux en raison de VA moins ambitieuses que les VR. La même pour les autres branches</t>
  </si>
  <si>
    <t xml:space="preserve">Réduction de consommation liée aux hypothèses du tableau de bord sur le respect du DEET
</t>
  </si>
  <si>
    <t>Projection surface tertiaire AME 24</t>
  </si>
  <si>
    <t>Répartition du parc existant - 2020</t>
  </si>
  <si>
    <t>Répartition du parc neuf- 2020</t>
  </si>
  <si>
    <t>Données CEREN 2020 (transmise par l'ADEME)</t>
  </si>
  <si>
    <t>Répartition du parc existant - 2022</t>
  </si>
  <si>
    <t>Répartition du parc neuf- 2022</t>
  </si>
  <si>
    <t>Consommation unitaire de l'existant (kWh/m²) - 2022</t>
  </si>
  <si>
    <t>Source des données</t>
  </si>
  <si>
    <t>Parc existant (2020-2022)</t>
  </si>
  <si>
    <t>Lien du fichier</t>
  </si>
  <si>
    <t>Données CEREN partagées par l'ADEME</t>
  </si>
  <si>
    <t>Consommation unitaire (2020-2022)</t>
  </si>
  <si>
    <t>Parc neuf (2020)</t>
  </si>
  <si>
    <t>L:\4_Inventaires d'émissions, prospective et évaluation\42_Prospective\421_Scénarios prospectifs DGEC\4215_Scénarios 2023\12-Bâtiments\2_Travaux préparatoires\20240415_Tertiaire-parc_et_mix\BESNBC_ Données CEREN tertiaire 2022.xlsx</t>
  </si>
  <si>
    <t>Baisse 2010-2020</t>
  </si>
  <si>
    <t xml:space="preserve">Source : </t>
  </si>
  <si>
    <t>Somme de 2020</t>
  </si>
  <si>
    <t>Hors chauffage (Source CEREN 2022, données 2020)</t>
  </si>
  <si>
    <t>Hors décret</t>
  </si>
  <si>
    <t>Décret</t>
  </si>
  <si>
    <t>Gain énergétique 2030</t>
  </si>
  <si>
    <t>Gain énergétique 2040</t>
  </si>
  <si>
    <t>Gain énergétique 2050</t>
  </si>
  <si>
    <t>distinction pour les bureaux</t>
  </si>
  <si>
    <t>Source ADEME transitions 2050</t>
  </si>
  <si>
    <t>Trajectoire LC AME 24</t>
  </si>
  <si>
    <t>Consommations générales</t>
  </si>
  <si>
    <t>Population</t>
  </si>
  <si>
    <t>Eau</t>
  </si>
  <si>
    <t>Parties communes d'immeubles</t>
  </si>
  <si>
    <t>Entrepôts frigorifiques</t>
  </si>
  <si>
    <t>Armées</t>
  </si>
  <si>
    <t>Grands centres de recherche</t>
  </si>
  <si>
    <t>Télécommunication</t>
  </si>
  <si>
    <t>Secteur de l'eau</t>
  </si>
  <si>
    <t>Source ADEME transition 2050</t>
  </si>
  <si>
    <t>Facteur</t>
  </si>
  <si>
    <t>eau</t>
  </si>
  <si>
    <t>Conso unitaire chauffage toutes branches kWh/ m² (données CEREN)</t>
  </si>
  <si>
    <t>Données CEREN partagées par le SDES en 2024</t>
  </si>
  <si>
    <t>"L:\4_Inventaires d'émissions, prospective et évaluation\42_Prospective\421_Scénarios prospectifs DGEC\4215_Scénarios 2023\12-Bâtiments\2_Travaux préparatoires\20240415_Tertiaire-parc_et_mix\pour AME_24\CEREN SDES 2020.xlsx"</t>
  </si>
  <si>
    <t>CEREN public (même que AMS run 2)</t>
  </si>
  <si>
    <t>(AMS RUN 2)</t>
  </si>
  <si>
    <t>Data centers + réseaux</t>
  </si>
  <si>
    <t>Source : modélisation numérique basé sur les prévisions RTE qui ancitipent un fort développement des DC et qui transcrit le forte hausse des raccordmeents au réseau élec de IDF et PACA</t>
  </si>
  <si>
    <t>RP logements collectifs</t>
  </si>
  <si>
    <t>Elec spé (kWh/m²) tot</t>
  </si>
  <si>
    <t>Elec spé terminaux pro (TWh)</t>
  </si>
  <si>
    <t>Outil Numérique</t>
  </si>
  <si>
    <t>Elec spé terminaux pro (kWh/m²)</t>
  </si>
  <si>
    <t>constant</t>
  </si>
  <si>
    <t>somme des deux catégories</t>
  </si>
  <si>
    <t>Elec spé hors terminaux (kWh/m²)</t>
  </si>
  <si>
    <t>pas de différenciation des terminaux car tout pris en compte dans la trajectoire DEET</t>
  </si>
  <si>
    <t>Augmentation presque 100% lié au data center</t>
  </si>
  <si>
    <t>Consommation unitaire de l'existant (kWh/m²) - 2019 (2020 pas bonne année avec le covid)</t>
  </si>
  <si>
    <t>Baisse 2010-2021</t>
  </si>
  <si>
    <t>Somme de 2019</t>
  </si>
  <si>
    <t>Modification par rapport à l'AME 23 des données initiales ADEME car il y avait une erreur</t>
  </si>
  <si>
    <t>mix chauff</t>
  </si>
  <si>
    <t>Electricité Joule etPAC</t>
  </si>
  <si>
    <t>Reprise AME 23</t>
  </si>
  <si>
    <t>Bâtiments qui suivent le décret : baisse du gaz et du joule au profit de RCU et surtout PAC qui sont favorisés dans le DEET. Pour le gaz : baisse supplémentaire liée au cadrage macro-éco. Pic RCU en 2030/2040 car plus de fonds chaleur et juste coup de pouce CEE + classement des fonds chaleur mais après ça s'arrête</t>
  </si>
  <si>
    <t>Bâtiments qui ne suivent pas le décret : légère baisse du gaz en faveur des PAC lié au cadrage macro-éco (ratio prix de l'élec/gaz de 1,5 en 2040/2050 qui oriente naturellement vers les PAC), pas de raccordement RCU car plus de fonds chaleur.</t>
  </si>
  <si>
    <t>Fioul, Gaz, GPL : ne respectent pas les seuils de la RE2020, donc plus de constructions neuves avec ces sytèmes.
RCU : pas d'augmentation (plus de fonds chaleur, juste classement des réseaux de chaleur)
Electricité :   Augmentation des PAC pour compenser gaz/fioul/gpl. Constant sur le Joule</t>
  </si>
  <si>
    <t>AME 2024</t>
  </si>
  <si>
    <t>Identique AME 23 ?</t>
  </si>
  <si>
    <t>Oui</t>
  </si>
  <si>
    <t>Non, outil numérique</t>
  </si>
  <si>
    <t>Oui et non , recalcul LC</t>
  </si>
  <si>
    <t>Oui et non, recalcul pop</t>
  </si>
  <si>
    <t>Solaire thermique</t>
  </si>
  <si>
    <t>Indexé sur le mix de chauffage de l'AME 24 -&gt;</t>
  </si>
  <si>
    <t>"L:\4_Inventaires d'émissions, prospective et évaluation\42_Prospective\421_Scénarios prospectifs DGEC\4215_Scénarios 2023\12-Bâtiments\2_Travaux préparatoires\20240415_Tertiaire-parc_et_mix\Données Ceren Sdes.xlsx"</t>
  </si>
  <si>
    <t>AMS run 3</t>
  </si>
  <si>
    <t>Ne pas faire une extrapolation linéaire entre 2030 et 2040 mais un pic en 2035 et une stabilisation</t>
  </si>
  <si>
    <t>Projection surface tertiaire nette AMS run 3</t>
  </si>
  <si>
    <t>milliers de m²</t>
  </si>
  <si>
    <t>Elec tot</t>
  </si>
  <si>
    <t>retravailler l'enr thermique</t>
  </si>
  <si>
    <t>reprise AMS run 2</t>
  </si>
  <si>
    <t>Interdiction de gaz en 2027, avec compensation RCU et PAC mais pas à 50/50 en 2040 car trop de RCU</t>
  </si>
  <si>
    <t>Le reste sur du joule</t>
  </si>
  <si>
    <t>Le gaz est plus haut en 2030 malgré l'interdiction des chaudières à gaz du fait de la baisse des objectifs DEET dans les bureaux notamment et changement du parc</t>
  </si>
  <si>
    <t>J'aimerais bien que le tertiaire fasse plus d'effort que le résidentiel sur le gaz mais en comparent l'évolution du nombre de chaudière (res) à l'évolution du nombre de m², ce n'est pas équivalent</t>
  </si>
  <si>
    <t>Mm²</t>
  </si>
  <si>
    <t>Mis à jour avec modèle numérique le 08/01/25</t>
  </si>
  <si>
    <t>à faire</t>
  </si>
  <si>
    <t>constant hors DEET</t>
  </si>
  <si>
    <t xml:space="preserve">COP PAC </t>
  </si>
  <si>
    <t>Fonction élec</t>
  </si>
  <si>
    <t xml:space="preserve">Fonctionnement gaz </t>
  </si>
  <si>
    <t>Rendement chaudière gaz</t>
  </si>
  <si>
    <t>dont PAC hybride</t>
  </si>
  <si>
    <t>dont PAC géothermique</t>
  </si>
  <si>
    <t xml:space="preserve">           </t>
  </si>
  <si>
    <t>dont chaudière gaz</t>
  </si>
  <si>
    <t>dont PAC air/eau et air/air</t>
  </si>
  <si>
    <t>Besoins en TWh thermique</t>
  </si>
  <si>
    <t>COP PAC géo</t>
  </si>
  <si>
    <t>baisse du DEET</t>
  </si>
  <si>
    <t>Trajectoire de PAC géothermique (besoins thermiques) : 50% des besoins thermiques de la trajectoire géothermie (cf résidentiel)</t>
  </si>
  <si>
    <t>Gaz de réseau</t>
  </si>
  <si>
    <t>Trajectoire de PAC hybride (même proportion de surface PAC hybride/gaz que pour le résidentiel)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</si>
</sst>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3" formatCode="_-* #,##0.00_-;\-* #,##0.00_-;_-* &quot;-&quot;??_-;_-@_-"/>
    <numFmt numFmtId="164" formatCode="0.0%"/>
    <numFmt numFmtId="165" formatCode="#,##0.00&quot;    &quot;;#,##0.00&quot;    &quot;;&quot;-&quot;#&quot;    &quot;;@&quot; &quot;"/>
    <numFmt numFmtId="166" formatCode="_-* #,##0_-;\-* #,##0_-;_-* &quot;-&quot;??_-;_-@_-"/>
    <numFmt numFmtId="167" formatCode="#,##0&quot;    &quot;;#,##0&quot;    &quot;;&quot;-&quot;#&quot;    &quot;;@&quot; &quot;"/>
    <numFmt numFmtId="168" formatCode="0\ %"/>
    <numFmt numFmtId="169" formatCode="_-* #,##0.00\ _€_-;\-* #,##0.00\ _€_-;_-* &quot;-&quot;??\ _€_-;_-@_-"/>
    <numFmt numFmtId="170" formatCode="_-* #,##0\ _€_-;\-* #,##0\ _€_-;_-* &quot;-&quot;??\ _€_-;_-@_-"/>
    <numFmt numFmtId="171" formatCode="_-* #,##0.0\ _€_-;\-* #,##0.0\ _€_-;_-* \-??\ _€_-;_-@_-"/>
    <numFmt numFmtId="172" formatCode="_-* #,##0\ _€_-;\-* #,##0\ _€_-;_-* \-??\ _€_-;_-@_-"/>
    <numFmt numFmtId="173" formatCode="0.0"/>
    <numFmt numFmtId="174" formatCode="0.000000"/>
    <numFmt numFmtId="175" formatCode="_-* #,##0.0_-;\-* #,##0.0_-;_-* &quot;-&quot;??_-;_-@_-"/>
    <numFmt numFmtId="176" formatCode="_-* #,##0.000_-;\-* #,##0.000_-;_-* &quot;-&quot;??_-;_-@_-"/>
    <numFmt numFmtId="177" formatCode="_-* #,##0.000\ _€_-;\-* #,##0.000\ _€_-;_-* &quot;-&quot;??\ _€_-;_-@_-"/>
    <numFmt numFmtId="178" formatCode="_-* #,##0.0\ _€_-;\-* #,##0.0\ _€_-;_-* &quot;-&quot;?\ _€_-;_-@_-"/>
    <numFmt numFmtId="179" formatCode="_-* #,##0.00000000\ _€_-;\-* #,##0.00000000\ _€_-;_-* &quot;-&quot;?\ _€_-;_-@_-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 tint="-0.499984740745262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8"/>
      <color rgb="FFFFFFFF"/>
      <name val="Arial"/>
      <family val="2"/>
      <charset val="1"/>
    </font>
    <font>
      <b/>
      <sz val="11"/>
      <color rgb="FFFFFFFF"/>
      <name val="Helvetica Neue LT Std"/>
    </font>
    <font>
      <sz val="10"/>
      <color rgb="FFCE181E"/>
      <name val="Arial"/>
      <family val="2"/>
      <charset val="1"/>
    </font>
    <font>
      <b/>
      <sz val="2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rgb="FF000000"/>
      <name val="Calibri"/>
      <family val="2"/>
    </font>
    <font>
      <b/>
      <i/>
      <sz val="8"/>
      <color rgb="FF000000"/>
      <name val="Calibri"/>
      <family val="2"/>
    </font>
    <font>
      <b/>
      <i/>
      <sz val="14"/>
      <color theme="1"/>
      <name val="Calibri"/>
      <family val="2"/>
      <scheme val="minor"/>
    </font>
    <font>
      <b/>
      <i/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2"/>
      <color theme="1"/>
      <name val="Calibri Light"/>
      <family val="2"/>
    </font>
    <font>
      <sz val="10"/>
      <color theme="1"/>
      <name val="Calibri Light"/>
      <family val="2"/>
    </font>
    <font>
      <b/>
      <sz val="10"/>
      <color theme="0"/>
      <name val="Calibri Light"/>
      <family val="2"/>
    </font>
    <font>
      <b/>
      <sz val="8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8"/>
      <color indexed="9"/>
      <name val="Calibri"/>
      <family val="2"/>
      <scheme val="minor"/>
    </font>
    <font>
      <sz val="9"/>
      <color rgb="FF000000"/>
      <name val="Calibri1"/>
      <family val="2"/>
    </font>
  </fonts>
  <fills count="2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rgb="FF000080"/>
      </patternFill>
    </fill>
    <fill>
      <patternFill patternType="solid">
        <fgColor rgb="FFFFFFFF"/>
        <bgColor rgb="FFFFF2CC"/>
      </patternFill>
    </fill>
    <fill>
      <patternFill patternType="solid">
        <fgColor rgb="FFDAE3F3"/>
        <bgColor rgb="FFDEEBF7"/>
      </patternFill>
    </fill>
    <fill>
      <patternFill patternType="solid">
        <fgColor rgb="FF67829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B207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Dashed">
        <color theme="3" tint="0.59996337778862885"/>
      </left>
      <right/>
      <top style="mediumDashed">
        <color theme="3" tint="0.59996337778862885"/>
      </top>
      <bottom/>
      <diagonal/>
    </border>
    <border>
      <left/>
      <right/>
      <top style="mediumDashed">
        <color theme="3" tint="0.59996337778862885"/>
      </top>
      <bottom/>
      <diagonal/>
    </border>
    <border>
      <left/>
      <right style="mediumDashed">
        <color theme="3" tint="0.59996337778862885"/>
      </right>
      <top style="mediumDashed">
        <color theme="3" tint="0.59996337778862885"/>
      </top>
      <bottom/>
      <diagonal/>
    </border>
    <border>
      <left style="mediumDashed">
        <color theme="3" tint="0.59996337778862885"/>
      </left>
      <right/>
      <top/>
      <bottom/>
      <diagonal/>
    </border>
    <border>
      <left/>
      <right style="mediumDashed">
        <color theme="3" tint="0.59996337778862885"/>
      </right>
      <top/>
      <bottom/>
      <diagonal/>
    </border>
    <border>
      <left style="mediumDashed">
        <color theme="3" tint="0.59996337778862885"/>
      </left>
      <right/>
      <top/>
      <bottom style="mediumDashed">
        <color theme="3" tint="0.59996337778862885"/>
      </bottom>
      <diagonal/>
    </border>
    <border>
      <left/>
      <right/>
      <top/>
      <bottom style="mediumDashed">
        <color theme="3" tint="0.59996337778862885"/>
      </bottom>
      <diagonal/>
    </border>
    <border>
      <left/>
      <right style="mediumDashed">
        <color theme="3" tint="0.59996337778862885"/>
      </right>
      <top/>
      <bottom style="mediumDashed">
        <color theme="3" tint="0.59996337778862885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rgb="FF333399"/>
      </right>
      <top/>
      <bottom style="thin">
        <color rgb="FF3333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4" fillId="0" borderId="0"/>
    <xf numFmtId="0" fontId="17" fillId="0" borderId="0"/>
    <xf numFmtId="0" fontId="24" fillId="0" borderId="0"/>
    <xf numFmtId="43" fontId="1" fillId="0" borderId="0" applyFont="0" applyFill="0" applyBorder="0" applyAlignment="0" applyProtection="0"/>
    <xf numFmtId="165" fontId="25" fillId="0" borderId="0"/>
    <xf numFmtId="9" fontId="25" fillId="0" borderId="0"/>
    <xf numFmtId="168" fontId="28" fillId="0" borderId="0" applyBorder="0" applyProtection="0"/>
    <xf numFmtId="0" fontId="28" fillId="0" borderId="0"/>
    <xf numFmtId="43" fontId="1" fillId="0" borderId="0" applyFont="0" applyFill="0" applyBorder="0" applyAlignment="0" applyProtection="0"/>
    <xf numFmtId="0" fontId="66" fillId="0" borderId="0"/>
  </cellStyleXfs>
  <cellXfs count="529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5" xfId="0" applyFont="1" applyBorder="1"/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/>
    <xf numFmtId="0" fontId="4" fillId="0" borderId="5" xfId="2" applyFont="1" applyBorder="1" applyAlignment="1">
      <alignment vertical="center"/>
    </xf>
    <xf numFmtId="0" fontId="5" fillId="0" borderId="5" xfId="2" applyFont="1" applyBorder="1" applyAlignment="1">
      <alignment vertical="center"/>
    </xf>
    <xf numFmtId="0" fontId="6" fillId="7" borderId="5" xfId="0" applyFont="1" applyFill="1" applyBorder="1"/>
    <xf numFmtId="0" fontId="6" fillId="7" borderId="5" xfId="0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5" fillId="6" borderId="5" xfId="2" applyFont="1" applyFill="1" applyBorder="1" applyAlignment="1">
      <alignment vertical="center"/>
    </xf>
    <xf numFmtId="3" fontId="6" fillId="6" borderId="5" xfId="0" applyNumberFormat="1" applyFont="1" applyFill="1" applyBorder="1" applyAlignment="1">
      <alignment horizontal="center"/>
    </xf>
    <xf numFmtId="3" fontId="6" fillId="4" borderId="5" xfId="0" applyNumberFormat="1" applyFont="1" applyFill="1" applyBorder="1" applyAlignment="1">
      <alignment horizontal="center"/>
    </xf>
    <xf numFmtId="9" fontId="6" fillId="0" borderId="5" xfId="0" applyNumberFormat="1" applyFont="1" applyBorder="1" applyAlignment="1">
      <alignment horizontal="center"/>
    </xf>
    <xf numFmtId="0" fontId="13" fillId="0" borderId="0" xfId="0" applyFont="1"/>
    <xf numFmtId="0" fontId="2" fillId="8" borderId="0" xfId="0" applyFont="1" applyFill="1"/>
    <xf numFmtId="0" fontId="6" fillId="8" borderId="0" xfId="0" applyFont="1" applyFill="1"/>
    <xf numFmtId="9" fontId="2" fillId="8" borderId="0" xfId="1" applyFont="1" applyFill="1" applyAlignment="1">
      <alignment horizontal="center"/>
    </xf>
    <xf numFmtId="9" fontId="2" fillId="8" borderId="0" xfId="0" applyNumberFormat="1" applyFont="1" applyFill="1" applyAlignment="1">
      <alignment horizontal="center"/>
    </xf>
    <xf numFmtId="3" fontId="6" fillId="8" borderId="0" xfId="0" applyNumberFormat="1" applyFont="1" applyFill="1" applyAlignment="1">
      <alignment horizontal="center"/>
    </xf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6" fillId="8" borderId="15" xfId="0" applyFont="1" applyFill="1" applyBorder="1"/>
    <xf numFmtId="3" fontId="6" fillId="8" borderId="15" xfId="0" applyNumberFormat="1" applyFont="1" applyFill="1" applyBorder="1" applyAlignment="1">
      <alignment horizontal="center"/>
    </xf>
    <xf numFmtId="0" fontId="2" fillId="8" borderId="16" xfId="0" applyFont="1" applyFill="1" applyBorder="1"/>
    <xf numFmtId="0" fontId="10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9" fillId="8" borderId="0" xfId="0" applyFont="1" applyFill="1" applyAlignment="1">
      <alignment wrapText="1"/>
    </xf>
    <xf numFmtId="0" fontId="8" fillId="8" borderId="0" xfId="0" applyFont="1" applyFill="1" applyAlignment="1">
      <alignment horizontal="center" wrapText="1"/>
    </xf>
    <xf numFmtId="0" fontId="2" fillId="8" borderId="20" xfId="0" applyFont="1" applyFill="1" applyBorder="1"/>
    <xf numFmtId="0" fontId="2" fillId="8" borderId="21" xfId="0" applyFont="1" applyFill="1" applyBorder="1"/>
    <xf numFmtId="0" fontId="2" fillId="8" borderId="22" xfId="0" applyFont="1" applyFill="1" applyBorder="1"/>
    <xf numFmtId="0" fontId="2" fillId="8" borderId="23" xfId="0" applyFont="1" applyFill="1" applyBorder="1"/>
    <xf numFmtId="0" fontId="2" fillId="8" borderId="24" xfId="0" applyFont="1" applyFill="1" applyBorder="1"/>
    <xf numFmtId="0" fontId="2" fillId="8" borderId="0" xfId="0" applyFont="1" applyFill="1" applyAlignment="1">
      <alignment wrapText="1"/>
    </xf>
    <xf numFmtId="0" fontId="4" fillId="8" borderId="21" xfId="2" applyFont="1" applyFill="1" applyBorder="1" applyAlignment="1">
      <alignment vertical="center"/>
    </xf>
    <xf numFmtId="1" fontId="2" fillId="8" borderId="21" xfId="0" applyNumberFormat="1" applyFont="1" applyFill="1" applyBorder="1"/>
    <xf numFmtId="0" fontId="2" fillId="8" borderId="28" xfId="0" applyFont="1" applyFill="1" applyBorder="1"/>
    <xf numFmtId="0" fontId="11" fillId="8" borderId="0" xfId="0" applyFont="1" applyFill="1" applyAlignment="1">
      <alignment horizontal="center"/>
    </xf>
    <xf numFmtId="0" fontId="2" fillId="8" borderId="29" xfId="0" applyFont="1" applyFill="1" applyBorder="1"/>
    <xf numFmtId="1" fontId="2" fillId="8" borderId="29" xfId="0" applyNumberFormat="1" applyFont="1" applyFill="1" applyBorder="1"/>
    <xf numFmtId="0" fontId="2" fillId="8" borderId="15" xfId="0" applyFont="1" applyFill="1" applyBorder="1"/>
    <xf numFmtId="3" fontId="2" fillId="3" borderId="5" xfId="0" applyNumberFormat="1" applyFont="1" applyFill="1" applyBorder="1" applyAlignment="1">
      <alignment horizontal="center"/>
    </xf>
    <xf numFmtId="3" fontId="2" fillId="8" borderId="0" xfId="0" applyNumberFormat="1" applyFont="1" applyFill="1" applyAlignment="1">
      <alignment horizontal="center"/>
    </xf>
    <xf numFmtId="9" fontId="2" fillId="3" borderId="5" xfId="1" applyFont="1" applyFill="1" applyBorder="1" applyAlignment="1">
      <alignment horizontal="center" vertical="center"/>
    </xf>
    <xf numFmtId="0" fontId="6" fillId="8" borderId="28" xfId="0" applyFont="1" applyFill="1" applyBorder="1"/>
    <xf numFmtId="0" fontId="6" fillId="8" borderId="20" xfId="0" applyFont="1" applyFill="1" applyBorder="1"/>
    <xf numFmtId="0" fontId="6" fillId="8" borderId="21" xfId="0" applyFont="1" applyFill="1" applyBorder="1"/>
    <xf numFmtId="0" fontId="6" fillId="8" borderId="29" xfId="0" applyFont="1" applyFill="1" applyBorder="1"/>
    <xf numFmtId="1" fontId="2" fillId="8" borderId="0" xfId="0" applyNumberFormat="1" applyFont="1" applyFill="1"/>
    <xf numFmtId="9" fontId="6" fillId="4" borderId="5" xfId="0" applyNumberFormat="1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/>
    </xf>
    <xf numFmtId="9" fontId="2" fillId="4" borderId="5" xfId="1" applyFont="1" applyFill="1" applyBorder="1" applyAlignment="1">
      <alignment horizontal="center" vertical="center"/>
    </xf>
    <xf numFmtId="0" fontId="2" fillId="2" borderId="0" xfId="0" applyFont="1" applyFill="1"/>
    <xf numFmtId="0" fontId="6" fillId="2" borderId="0" xfId="0" applyFont="1" applyFill="1"/>
    <xf numFmtId="0" fontId="7" fillId="8" borderId="0" xfId="0" applyFont="1" applyFill="1"/>
    <xf numFmtId="0" fontId="6" fillId="4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/>
    </xf>
    <xf numFmtId="9" fontId="6" fillId="8" borderId="0" xfId="0" applyNumberFormat="1" applyFont="1" applyFill="1" applyAlignment="1">
      <alignment horizontal="center"/>
    </xf>
    <xf numFmtId="9" fontId="2" fillId="8" borderId="0" xfId="1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1" fontId="2" fillId="8" borderId="0" xfId="0" applyNumberFormat="1" applyFont="1" applyFill="1" applyAlignment="1">
      <alignment horizontal="center"/>
    </xf>
    <xf numFmtId="0" fontId="2" fillId="3" borderId="5" xfId="0" applyFont="1" applyFill="1" applyBorder="1" applyAlignment="1">
      <alignment vertical="center" wrapText="1"/>
    </xf>
    <xf numFmtId="0" fontId="16" fillId="8" borderId="0" xfId="0" applyFont="1" applyFill="1" applyAlignment="1">
      <alignment vertical="center"/>
    </xf>
    <xf numFmtId="0" fontId="2" fillId="8" borderId="15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0" fillId="0" borderId="0" xfId="0" applyAlignment="1">
      <alignment wrapText="1"/>
    </xf>
    <xf numFmtId="3" fontId="2" fillId="4" borderId="5" xfId="0" applyNumberFormat="1" applyFont="1" applyFill="1" applyBorder="1" applyAlignment="1">
      <alignment horizontal="center"/>
    </xf>
    <xf numFmtId="3" fontId="2" fillId="8" borderId="5" xfId="0" applyNumberFormat="1" applyFont="1" applyFill="1" applyBorder="1" applyAlignment="1">
      <alignment horizontal="center" vertical="center"/>
    </xf>
    <xf numFmtId="164" fontId="2" fillId="4" borderId="5" xfId="1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9" fontId="22" fillId="8" borderId="5" xfId="1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/>
    </xf>
    <xf numFmtId="9" fontId="2" fillId="4" borderId="31" xfId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right" vertical="center" wrapText="1"/>
    </xf>
    <xf numFmtId="0" fontId="2" fillId="8" borderId="5" xfId="0" applyFont="1" applyFill="1" applyBorder="1" applyAlignment="1">
      <alignment vertical="center" wrapText="1"/>
    </xf>
    <xf numFmtId="9" fontId="2" fillId="4" borderId="5" xfId="1" applyFont="1" applyFill="1" applyBorder="1" applyAlignment="1">
      <alignment horizontal="right" vertical="center"/>
    </xf>
    <xf numFmtId="3" fontId="2" fillId="0" borderId="5" xfId="0" applyNumberFormat="1" applyFont="1" applyBorder="1" applyAlignment="1">
      <alignment horizontal="right"/>
    </xf>
    <xf numFmtId="1" fontId="2" fillId="4" borderId="5" xfId="0" applyNumberFormat="1" applyFont="1" applyFill="1" applyBorder="1" applyAlignment="1">
      <alignment horizontal="right"/>
    </xf>
    <xf numFmtId="0" fontId="7" fillId="2" borderId="5" xfId="0" applyFont="1" applyFill="1" applyBorder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6" fillId="8" borderId="5" xfId="0" applyFont="1" applyFill="1" applyBorder="1" applyAlignment="1">
      <alignment wrapText="1"/>
    </xf>
    <xf numFmtId="0" fontId="6" fillId="8" borderId="0" xfId="0" applyFont="1" applyFill="1" applyAlignment="1">
      <alignment wrapText="1"/>
    </xf>
    <xf numFmtId="9" fontId="2" fillId="3" borderId="5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2" fillId="8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3" fontId="20" fillId="0" borderId="5" xfId="0" applyNumberFormat="1" applyFont="1" applyBorder="1" applyAlignment="1">
      <alignment horizontal="center" vertical="center"/>
    </xf>
    <xf numFmtId="0" fontId="23" fillId="8" borderId="0" xfId="0" applyFont="1" applyFill="1" applyAlignment="1">
      <alignment vertical="center" wrapText="1"/>
    </xf>
    <xf numFmtId="0" fontId="22" fillId="8" borderId="0" xfId="0" applyFont="1" applyFill="1" applyAlignment="1">
      <alignment horizontal="right" vertical="center"/>
    </xf>
    <xf numFmtId="3" fontId="22" fillId="8" borderId="0" xfId="0" applyNumberFormat="1" applyFont="1" applyFill="1" applyAlignment="1">
      <alignment vertical="center"/>
    </xf>
    <xf numFmtId="9" fontId="22" fillId="8" borderId="0" xfId="1" applyFont="1" applyFill="1" applyAlignment="1">
      <alignment vertical="center"/>
    </xf>
    <xf numFmtId="9" fontId="2" fillId="8" borderId="0" xfId="1" applyFont="1" applyFill="1"/>
    <xf numFmtId="9" fontId="0" fillId="0" borderId="5" xfId="1" applyFont="1" applyBorder="1" applyAlignment="1">
      <alignment horizontal="center"/>
    </xf>
    <xf numFmtId="3" fontId="10" fillId="8" borderId="0" xfId="0" applyNumberFormat="1" applyFont="1" applyFill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8" fillId="0" borderId="5" xfId="0" applyFont="1" applyBorder="1"/>
    <xf numFmtId="9" fontId="18" fillId="0" borderId="5" xfId="1" applyFont="1" applyBorder="1" applyAlignment="1">
      <alignment horizontal="center"/>
    </xf>
    <xf numFmtId="166" fontId="0" fillId="0" borderId="0" xfId="6" applyNumberFormat="1" applyFont="1"/>
    <xf numFmtId="166" fontId="13" fillId="0" borderId="0" xfId="6" applyNumberFormat="1" applyFont="1"/>
    <xf numFmtId="0" fontId="27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26" fillId="0" borderId="0" xfId="3" applyFont="1" applyFill="1" applyBorder="1" applyAlignment="1" applyProtection="1"/>
    <xf numFmtId="10" fontId="26" fillId="0" borderId="0" xfId="8" applyNumberFormat="1" applyFont="1" applyFill="1" applyBorder="1" applyAlignment="1" applyProtection="1">
      <alignment horizontal="center" vertical="center"/>
    </xf>
    <xf numFmtId="0" fontId="26" fillId="0" borderId="0" xfId="0" applyFont="1" applyFill="1" applyBorder="1"/>
    <xf numFmtId="169" fontId="0" fillId="0" borderId="0" xfId="0" applyNumberFormat="1"/>
    <xf numFmtId="170" fontId="0" fillId="0" borderId="0" xfId="0" applyNumberFormat="1"/>
    <xf numFmtId="0" fontId="29" fillId="0" borderId="0" xfId="3" applyFont="1" applyFill="1" applyBorder="1" applyAlignment="1" applyProtection="1"/>
    <xf numFmtId="0" fontId="0" fillId="0" borderId="0" xfId="0" applyFill="1" applyBorder="1"/>
    <xf numFmtId="167" fontId="29" fillId="0" borderId="0" xfId="7" applyNumberFormat="1" applyFont="1" applyFill="1" applyBorder="1" applyAlignment="1" applyProtection="1"/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0" fontId="23" fillId="8" borderId="0" xfId="0" applyFont="1" applyFill="1" applyAlignment="1">
      <alignment horizontal="center" wrapText="1"/>
    </xf>
    <xf numFmtId="9" fontId="19" fillId="3" borderId="5" xfId="1" applyFont="1" applyFill="1" applyBorder="1" applyAlignment="1">
      <alignment horizontal="center" vertical="center"/>
    </xf>
    <xf numFmtId="0" fontId="4" fillId="6" borderId="5" xfId="2" applyFont="1" applyFill="1" applyBorder="1" applyAlignment="1">
      <alignment vertical="center"/>
    </xf>
    <xf numFmtId="166" fontId="2" fillId="3" borderId="5" xfId="6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/>
    </xf>
    <xf numFmtId="0" fontId="4" fillId="0" borderId="0" xfId="2" applyFont="1" applyBorder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30" fillId="0" borderId="0" xfId="0" applyFont="1"/>
    <xf numFmtId="0" fontId="4" fillId="0" borderId="6" xfId="2" applyFont="1" applyBorder="1" applyAlignment="1">
      <alignment vertical="center"/>
    </xf>
    <xf numFmtId="1" fontId="0" fillId="0" borderId="1" xfId="0" applyNumberFormat="1" applyBorder="1"/>
    <xf numFmtId="9" fontId="30" fillId="0" borderId="30" xfId="1" applyFont="1" applyBorder="1"/>
    <xf numFmtId="43" fontId="30" fillId="0" borderId="0" xfId="6" applyFont="1" applyBorder="1"/>
    <xf numFmtId="43" fontId="30" fillId="0" borderId="1" xfId="6" applyFont="1" applyBorder="1"/>
    <xf numFmtId="0" fontId="31" fillId="0" borderId="5" xfId="0" applyFont="1" applyBorder="1" applyAlignment="1">
      <alignment vertical="top" wrapText="1"/>
    </xf>
    <xf numFmtId="0" fontId="31" fillId="0" borderId="8" xfId="0" applyFont="1" applyBorder="1" applyAlignment="1">
      <alignment vertical="top" wrapText="1"/>
    </xf>
    <xf numFmtId="0" fontId="5" fillId="0" borderId="0" xfId="2" applyFont="1" applyBorder="1" applyAlignment="1">
      <alignment vertical="center"/>
    </xf>
    <xf numFmtId="3" fontId="6" fillId="0" borderId="0" xfId="0" applyNumberFormat="1" applyFont="1" applyBorder="1" applyAlignment="1">
      <alignment horizontal="center"/>
    </xf>
    <xf numFmtId="3" fontId="2" fillId="8" borderId="0" xfId="0" applyNumberFormat="1" applyFont="1" applyFill="1" applyAlignment="1">
      <alignment vertical="center"/>
    </xf>
    <xf numFmtId="164" fontId="6" fillId="4" borderId="5" xfId="0" applyNumberFormat="1" applyFont="1" applyFill="1" applyBorder="1" applyAlignment="1">
      <alignment horizontal="center"/>
    </xf>
    <xf numFmtId="166" fontId="2" fillId="3" borderId="5" xfId="6" applyNumberFormat="1" applyFont="1" applyFill="1" applyBorder="1" applyAlignment="1">
      <alignment horizontal="center"/>
    </xf>
    <xf numFmtId="166" fontId="6" fillId="3" borderId="5" xfId="6" applyNumberFormat="1" applyFont="1" applyFill="1" applyBorder="1" applyAlignment="1">
      <alignment horizontal="center" vertical="center"/>
    </xf>
    <xf numFmtId="166" fontId="6" fillId="3" borderId="5" xfId="6" applyNumberFormat="1" applyFont="1" applyFill="1" applyBorder="1" applyAlignment="1">
      <alignment horizontal="center"/>
    </xf>
    <xf numFmtId="1" fontId="6" fillId="4" borderId="5" xfId="0" applyNumberFormat="1" applyFont="1" applyFill="1" applyBorder="1" applyAlignment="1">
      <alignment horizontal="center"/>
    </xf>
    <xf numFmtId="166" fontId="2" fillId="4" borderId="5" xfId="6" applyNumberFormat="1" applyFont="1" applyFill="1" applyBorder="1" applyAlignment="1">
      <alignment horizontal="center"/>
    </xf>
    <xf numFmtId="166" fontId="6" fillId="4" borderId="5" xfId="6" applyNumberFormat="1" applyFont="1" applyFill="1" applyBorder="1" applyAlignment="1">
      <alignment horizontal="center"/>
    </xf>
    <xf numFmtId="9" fontId="6" fillId="4" borderId="5" xfId="1" applyFont="1" applyFill="1" applyBorder="1" applyAlignment="1">
      <alignment horizontal="center" vertical="center"/>
    </xf>
    <xf numFmtId="0" fontId="4" fillId="0" borderId="5" xfId="2" applyFont="1" applyBorder="1" applyAlignment="1">
      <alignment horizontal="left" vertical="center"/>
    </xf>
    <xf numFmtId="0" fontId="2" fillId="8" borderId="5" xfId="0" applyFont="1" applyFill="1" applyBorder="1" applyAlignment="1">
      <alignment horizontal="left" wrapText="1"/>
    </xf>
    <xf numFmtId="9" fontId="6" fillId="8" borderId="0" xfId="0" applyNumberFormat="1" applyFont="1" applyFill="1" applyBorder="1" applyAlignment="1">
      <alignment horizontal="center"/>
    </xf>
    <xf numFmtId="9" fontId="6" fillId="0" borderId="0" xfId="0" applyNumberFormat="1" applyFont="1" applyBorder="1" applyAlignment="1">
      <alignment horizontal="center"/>
    </xf>
    <xf numFmtId="0" fontId="9" fillId="0" borderId="0" xfId="0" applyFont="1" applyAlignment="1">
      <alignment vertical="center"/>
    </xf>
    <xf numFmtId="9" fontId="6" fillId="3" borderId="5" xfId="1" applyFont="1" applyFill="1" applyBorder="1" applyAlignment="1">
      <alignment horizontal="center" vertical="center"/>
    </xf>
    <xf numFmtId="9" fontId="0" fillId="0" borderId="0" xfId="1" applyFont="1"/>
    <xf numFmtId="9" fontId="0" fillId="0" borderId="0" xfId="0" applyNumberFormat="1"/>
    <xf numFmtId="0" fontId="0" fillId="0" borderId="0" xfId="0" applyFont="1"/>
    <xf numFmtId="0" fontId="0" fillId="0" borderId="0" xfId="0" applyFont="1" applyAlignment="1">
      <alignment wrapText="1"/>
    </xf>
    <xf numFmtId="9" fontId="0" fillId="4" borderId="5" xfId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9" fontId="0" fillId="0" borderId="0" xfId="0" applyNumberFormat="1" applyFont="1"/>
    <xf numFmtId="9" fontId="0" fillId="3" borderId="5" xfId="1" applyFont="1" applyFill="1" applyBorder="1" applyAlignment="1">
      <alignment vertical="center"/>
    </xf>
    <xf numFmtId="0" fontId="0" fillId="0" borderId="5" xfId="0" applyFont="1" applyBorder="1" applyAlignment="1">
      <alignment wrapText="1"/>
    </xf>
    <xf numFmtId="0" fontId="32" fillId="2" borderId="5" xfId="0" applyFont="1" applyFill="1" applyBorder="1" applyAlignment="1">
      <alignment horizontal="center" vertical="top" wrapText="1"/>
    </xf>
    <xf numFmtId="0" fontId="32" fillId="2" borderId="3" xfId="0" applyFont="1" applyFill="1" applyBorder="1" applyAlignment="1">
      <alignment horizontal="center" vertical="top" wrapText="1"/>
    </xf>
    <xf numFmtId="166" fontId="13" fillId="0" borderId="5" xfId="6" applyNumberFormat="1" applyFont="1" applyBorder="1" applyAlignment="1">
      <alignment horizontal="center" vertical="center"/>
    </xf>
    <xf numFmtId="9" fontId="13" fillId="4" borderId="5" xfId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9" fontId="13" fillId="3" borderId="5" xfId="1" applyFont="1" applyFill="1" applyBorder="1" applyAlignment="1">
      <alignment horizontal="center" vertical="center"/>
    </xf>
    <xf numFmtId="9" fontId="13" fillId="0" borderId="0" xfId="1" applyFont="1" applyAlignment="1">
      <alignment horizontal="center"/>
    </xf>
    <xf numFmtId="9" fontId="0" fillId="3" borderId="6" xfId="1" applyFont="1" applyFill="1" applyBorder="1" applyAlignment="1">
      <alignment vertical="center"/>
    </xf>
    <xf numFmtId="9" fontId="13" fillId="3" borderId="35" xfId="1" applyFont="1" applyFill="1" applyBorder="1" applyAlignment="1">
      <alignment horizontal="center" vertical="center"/>
    </xf>
    <xf numFmtId="9" fontId="13" fillId="3" borderId="36" xfId="1" applyFont="1" applyFill="1" applyBorder="1" applyAlignment="1">
      <alignment horizontal="center" vertical="center"/>
    </xf>
    <xf numFmtId="0" fontId="4" fillId="6" borderId="5" xfId="2" applyFont="1" applyFill="1" applyBorder="1" applyAlignment="1">
      <alignment vertical="center" wrapText="1"/>
    </xf>
    <xf numFmtId="9" fontId="2" fillId="8" borderId="0" xfId="1" applyFont="1" applyFill="1" applyAlignment="1">
      <alignment vertical="center"/>
    </xf>
    <xf numFmtId="3" fontId="0" fillId="0" borderId="0" xfId="0" applyNumberFormat="1"/>
    <xf numFmtId="0" fontId="5" fillId="6" borderId="3" xfId="2" applyFont="1" applyFill="1" applyBorder="1" applyAlignment="1">
      <alignment vertical="center"/>
    </xf>
    <xf numFmtId="9" fontId="6" fillId="6" borderId="5" xfId="1" applyFont="1" applyFill="1" applyBorder="1" applyAlignment="1">
      <alignment horizontal="center"/>
    </xf>
    <xf numFmtId="0" fontId="0" fillId="12" borderId="0" xfId="0" applyFill="1"/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166" fontId="8" fillId="4" borderId="5" xfId="6" applyNumberFormat="1" applyFont="1" applyFill="1" applyBorder="1" applyAlignment="1">
      <alignment horizontal="center" vertical="center"/>
    </xf>
    <xf numFmtId="9" fontId="34" fillId="13" borderId="5" xfId="1" applyFont="1" applyFill="1" applyBorder="1" applyAlignment="1">
      <alignment horizontal="center"/>
    </xf>
    <xf numFmtId="10" fontId="0" fillId="0" borderId="0" xfId="1" applyNumberFormat="1" applyFont="1"/>
    <xf numFmtId="166" fontId="1" fillId="0" borderId="0" xfId="6" applyNumberFormat="1" applyFont="1"/>
    <xf numFmtId="0" fontId="0" fillId="0" borderId="37" xfId="0" applyBorder="1"/>
    <xf numFmtId="1" fontId="0" fillId="0" borderId="37" xfId="0" applyNumberFormat="1" applyBorder="1"/>
    <xf numFmtId="0" fontId="0" fillId="0" borderId="33" xfId="0" applyFont="1" applyBorder="1"/>
    <xf numFmtId="3" fontId="24" fillId="0" borderId="5" xfId="5" applyNumberFormat="1" applyBorder="1" applyAlignment="1"/>
    <xf numFmtId="0" fontId="36" fillId="0" borderId="0" xfId="0" applyFont="1"/>
    <xf numFmtId="0" fontId="37" fillId="0" borderId="5" xfId="0" applyFont="1" applyBorder="1"/>
    <xf numFmtId="1" fontId="37" fillId="0" borderId="5" xfId="0" applyNumberFormat="1" applyFont="1" applyBorder="1"/>
    <xf numFmtId="0" fontId="38" fillId="0" borderId="37" xfId="0" applyFont="1" applyBorder="1"/>
    <xf numFmtId="0" fontId="35" fillId="0" borderId="37" xfId="0" applyFont="1" applyBorder="1"/>
    <xf numFmtId="164" fontId="0" fillId="0" borderId="37" xfId="0" applyNumberFormat="1" applyBorder="1"/>
    <xf numFmtId="2" fontId="0" fillId="0" borderId="0" xfId="0" applyNumberFormat="1"/>
    <xf numFmtId="1" fontId="0" fillId="0" borderId="5" xfId="0" applyNumberFormat="1" applyBorder="1"/>
    <xf numFmtId="0" fontId="39" fillId="15" borderId="38" xfId="0" applyFont="1" applyFill="1" applyBorder="1"/>
    <xf numFmtId="0" fontId="0" fillId="15" borderId="39" xfId="0" applyFill="1" applyBorder="1"/>
    <xf numFmtId="0" fontId="40" fillId="15" borderId="39" xfId="0" applyFont="1" applyFill="1" applyBorder="1"/>
    <xf numFmtId="0" fontId="40" fillId="15" borderId="40" xfId="0" applyFont="1" applyFill="1" applyBorder="1"/>
    <xf numFmtId="0" fontId="0" fillId="16" borderId="41" xfId="0" applyFont="1" applyFill="1" applyBorder="1"/>
    <xf numFmtId="0" fontId="0" fillId="16" borderId="0" xfId="0" applyFill="1" applyBorder="1"/>
    <xf numFmtId="171" fontId="0" fillId="16" borderId="0" xfId="9" applyNumberFormat="1" applyFont="1" applyFill="1" applyBorder="1" applyAlignment="1" applyProtection="1"/>
    <xf numFmtId="171" fontId="0" fillId="16" borderId="32" xfId="9" applyNumberFormat="1" applyFont="1" applyFill="1" applyBorder="1" applyAlignment="1" applyProtection="1"/>
    <xf numFmtId="0" fontId="0" fillId="17" borderId="41" xfId="0" applyFont="1" applyFill="1" applyBorder="1"/>
    <xf numFmtId="0" fontId="0" fillId="17" borderId="0" xfId="0" applyFill="1" applyBorder="1"/>
    <xf numFmtId="171" fontId="0" fillId="17" borderId="0" xfId="9" applyNumberFormat="1" applyFont="1" applyFill="1" applyBorder="1" applyAlignment="1" applyProtection="1"/>
    <xf numFmtId="171" fontId="0" fillId="17" borderId="32" xfId="9" applyNumberFormat="1" applyFont="1" applyFill="1" applyBorder="1" applyAlignment="1" applyProtection="1"/>
    <xf numFmtId="0" fontId="0" fillId="16" borderId="42" xfId="0" applyFont="1" applyFill="1" applyBorder="1"/>
    <xf numFmtId="0" fontId="0" fillId="16" borderId="43" xfId="0" applyFill="1" applyBorder="1"/>
    <xf numFmtId="171" fontId="0" fillId="16" borderId="43" xfId="9" applyNumberFormat="1" applyFont="1" applyFill="1" applyBorder="1" applyAlignment="1" applyProtection="1"/>
    <xf numFmtId="172" fontId="41" fillId="15" borderId="43" xfId="0" applyNumberFormat="1" applyFont="1" applyFill="1" applyBorder="1" applyAlignment="1">
      <alignment horizontal="left"/>
    </xf>
    <xf numFmtId="171" fontId="0" fillId="0" borderId="0" xfId="0" applyNumberFormat="1"/>
    <xf numFmtId="0" fontId="38" fillId="0" borderId="0" xfId="0" applyFont="1"/>
    <xf numFmtId="173" fontId="0" fillId="0" borderId="37" xfId="0" applyNumberFormat="1" applyBorder="1"/>
    <xf numFmtId="0" fontId="35" fillId="0" borderId="0" xfId="0" applyFont="1"/>
    <xf numFmtId="173" fontId="0" fillId="0" borderId="0" xfId="0" applyNumberFormat="1"/>
    <xf numFmtId="173" fontId="38" fillId="0" borderId="0" xfId="0" applyNumberFormat="1" applyFont="1"/>
    <xf numFmtId="166" fontId="2" fillId="0" borderId="5" xfId="6" applyNumberFormat="1" applyFont="1" applyBorder="1" applyAlignment="1">
      <alignment horizontal="right"/>
    </xf>
    <xf numFmtId="166" fontId="2" fillId="0" borderId="5" xfId="6" applyNumberFormat="1" applyFont="1" applyBorder="1" applyAlignment="1">
      <alignment horizontal="center"/>
    </xf>
    <xf numFmtId="9" fontId="2" fillId="0" borderId="5" xfId="1" applyFont="1" applyBorder="1" applyAlignment="1">
      <alignment horizontal="right"/>
    </xf>
    <xf numFmtId="166" fontId="6" fillId="0" borderId="5" xfId="6" applyNumberFormat="1" applyFont="1" applyBorder="1" applyAlignment="1">
      <alignment horizontal="right"/>
    </xf>
    <xf numFmtId="0" fontId="42" fillId="18" borderId="44" xfId="0" applyFont="1" applyFill="1" applyBorder="1" applyAlignment="1">
      <alignment vertical="center" wrapText="1"/>
    </xf>
    <xf numFmtId="164" fontId="0" fillId="0" borderId="0" xfId="9" applyNumberFormat="1" applyFont="1" applyBorder="1" applyAlignment="1" applyProtection="1"/>
    <xf numFmtId="171" fontId="0" fillId="16" borderId="45" xfId="9" applyNumberFormat="1" applyFont="1" applyFill="1" applyBorder="1" applyAlignment="1" applyProtection="1"/>
    <xf numFmtId="0" fontId="43" fillId="0" borderId="0" xfId="0" applyFont="1"/>
    <xf numFmtId="0" fontId="0" fillId="9" borderId="0" xfId="0" applyFill="1"/>
    <xf numFmtId="0" fontId="4" fillId="6" borderId="3" xfId="2" applyFont="1" applyFill="1" applyBorder="1" applyAlignment="1">
      <alignment vertical="center"/>
    </xf>
    <xf numFmtId="166" fontId="6" fillId="0" borderId="7" xfId="6" applyNumberFormat="1" applyFont="1" applyBorder="1" applyAlignment="1">
      <alignment horizontal="right"/>
    </xf>
    <xf numFmtId="43" fontId="0" fillId="0" borderId="0" xfId="0" applyNumberFormat="1"/>
    <xf numFmtId="174" fontId="0" fillId="0" borderId="0" xfId="0" applyNumberFormat="1"/>
    <xf numFmtId="0" fontId="45" fillId="0" borderId="0" xfId="0" applyFont="1"/>
    <xf numFmtId="0" fontId="45" fillId="12" borderId="0" xfId="0" applyFont="1" applyFill="1"/>
    <xf numFmtId="0" fontId="9" fillId="14" borderId="5" xfId="0" applyFont="1" applyFill="1" applyBorder="1"/>
    <xf numFmtId="0" fontId="9" fillId="14" borderId="5" xfId="0" applyFont="1" applyFill="1" applyBorder="1" applyAlignment="1">
      <alignment horizontal="center"/>
    </xf>
    <xf numFmtId="0" fontId="46" fillId="14" borderId="5" xfId="2" applyFont="1" applyFill="1" applyBorder="1" applyAlignment="1">
      <alignment vertical="center"/>
    </xf>
    <xf numFmtId="3" fontId="8" fillId="14" borderId="5" xfId="0" applyNumberFormat="1" applyFont="1" applyFill="1" applyBorder="1" applyAlignment="1">
      <alignment horizontal="right"/>
    </xf>
    <xf numFmtId="0" fontId="47" fillId="14" borderId="5" xfId="2" applyFont="1" applyFill="1" applyBorder="1" applyAlignment="1">
      <alignment vertical="center"/>
    </xf>
    <xf numFmtId="3" fontId="9" fillId="14" borderId="5" xfId="0" applyNumberFormat="1" applyFont="1" applyFill="1" applyBorder="1" applyAlignment="1">
      <alignment horizontal="center"/>
    </xf>
    <xf numFmtId="0" fontId="47" fillId="14" borderId="3" xfId="2" applyFont="1" applyFill="1" applyBorder="1" applyAlignment="1">
      <alignment vertical="center"/>
    </xf>
    <xf numFmtId="9" fontId="9" fillId="14" borderId="5" xfId="1" applyFont="1" applyFill="1" applyBorder="1" applyAlignment="1">
      <alignment horizontal="center"/>
    </xf>
    <xf numFmtId="9" fontId="48" fillId="14" borderId="5" xfId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9" fontId="2" fillId="13" borderId="5" xfId="1" applyFont="1" applyFill="1" applyBorder="1" applyAlignment="1">
      <alignment horizontal="right"/>
    </xf>
    <xf numFmtId="166" fontId="0" fillId="0" borderId="5" xfId="6" applyNumberFormat="1" applyFont="1" applyBorder="1"/>
    <xf numFmtId="166" fontId="0" fillId="0" borderId="5" xfId="0" applyNumberFormat="1" applyBorder="1"/>
    <xf numFmtId="0" fontId="4" fillId="8" borderId="3" xfId="2" applyFont="1" applyFill="1" applyBorder="1" applyAlignment="1">
      <alignment vertical="center"/>
    </xf>
    <xf numFmtId="166" fontId="0" fillId="0" borderId="0" xfId="0" applyNumberFormat="1" applyBorder="1"/>
    <xf numFmtId="0" fontId="29" fillId="0" borderId="0" xfId="3" applyFont="1" applyFill="1" applyBorder="1" applyAlignment="1" applyProtection="1">
      <alignment wrapText="1"/>
    </xf>
    <xf numFmtId="166" fontId="0" fillId="0" borderId="0" xfId="0" applyNumberFormat="1"/>
    <xf numFmtId="1" fontId="0" fillId="0" borderId="0" xfId="0" applyNumberForma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7" fillId="2" borderId="5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19" borderId="0" xfId="0" applyFill="1" applyAlignment="1">
      <alignment wrapText="1"/>
    </xf>
    <xf numFmtId="0" fontId="0" fillId="19" borderId="0" xfId="0" applyFill="1" applyAlignment="1">
      <alignment horizontal="center" vertical="top" wrapText="1"/>
    </xf>
    <xf numFmtId="173" fontId="13" fillId="0" borderId="0" xfId="0" applyNumberFormat="1" applyFont="1"/>
    <xf numFmtId="3" fontId="6" fillId="0" borderId="5" xfId="0" applyNumberFormat="1" applyFont="1" applyBorder="1" applyAlignment="1">
      <alignment horizontal="right"/>
    </xf>
    <xf numFmtId="3" fontId="22" fillId="0" borderId="5" xfId="0" applyNumberFormat="1" applyFont="1" applyBorder="1" applyAlignment="1">
      <alignment horizontal="right"/>
    </xf>
    <xf numFmtId="3" fontId="50" fillId="0" borderId="0" xfId="0" applyNumberFormat="1" applyFont="1"/>
    <xf numFmtId="0" fontId="51" fillId="0" borderId="0" xfId="0" applyFont="1" applyFill="1" applyBorder="1"/>
    <xf numFmtId="0" fontId="51" fillId="0" borderId="0" xfId="0" applyFont="1" applyFill="1" applyBorder="1" applyAlignment="1">
      <alignment horizontal="left"/>
    </xf>
    <xf numFmtId="166" fontId="51" fillId="0" borderId="0" xfId="0" applyNumberFormat="1" applyFont="1" applyFill="1" applyBorder="1"/>
    <xf numFmtId="0" fontId="52" fillId="0" borderId="0" xfId="0" applyFont="1" applyFill="1" applyBorder="1" applyAlignment="1">
      <alignment horizontal="left"/>
    </xf>
    <xf numFmtId="166" fontId="52" fillId="0" borderId="0" xfId="0" applyNumberFormat="1" applyFont="1" applyFill="1" applyBorder="1"/>
    <xf numFmtId="166" fontId="13" fillId="0" borderId="0" xfId="0" applyNumberFormat="1" applyFont="1"/>
    <xf numFmtId="1" fontId="37" fillId="3" borderId="5" xfId="0" applyNumberFormat="1" applyFont="1" applyFill="1" applyBorder="1"/>
    <xf numFmtId="164" fontId="0" fillId="3" borderId="37" xfId="0" applyNumberFormat="1" applyFill="1" applyBorder="1"/>
    <xf numFmtId="3" fontId="24" fillId="3" borderId="5" xfId="5" applyNumberFormat="1" applyFill="1" applyBorder="1" applyAlignment="1"/>
    <xf numFmtId="3" fontId="2" fillId="0" borderId="0" xfId="0" applyNumberFormat="1" applyFont="1" applyBorder="1" applyAlignment="1">
      <alignment horizontal="center"/>
    </xf>
    <xf numFmtId="166" fontId="2" fillId="0" borderId="0" xfId="6" applyNumberFormat="1" applyFont="1" applyBorder="1" applyAlignment="1">
      <alignment horizontal="center"/>
    </xf>
    <xf numFmtId="166" fontId="2" fillId="0" borderId="0" xfId="6" applyNumberFormat="1" applyFont="1" applyBorder="1" applyAlignment="1">
      <alignment horizontal="right"/>
    </xf>
    <xf numFmtId="0" fontId="0" fillId="0" borderId="5" xfId="0" applyFont="1" applyBorder="1" applyAlignment="1">
      <alignment horizontal="center" vertical="center" wrapText="1"/>
    </xf>
    <xf numFmtId="175" fontId="0" fillId="0" borderId="0" xfId="0" applyNumberFormat="1" applyBorder="1"/>
    <xf numFmtId="0" fontId="13" fillId="0" borderId="0" xfId="0" applyFont="1" applyBorder="1" applyAlignment="1"/>
    <xf numFmtId="175" fontId="0" fillId="0" borderId="5" xfId="6" applyNumberFormat="1" applyFont="1" applyBorder="1"/>
    <xf numFmtId="175" fontId="0" fillId="0" borderId="5" xfId="0" applyNumberFormat="1" applyBorder="1"/>
    <xf numFmtId="0" fontId="32" fillId="2" borderId="5" xfId="0" applyFont="1" applyFill="1" applyBorder="1" applyAlignment="1">
      <alignment horizontal="center" vertical="center" wrapText="1"/>
    </xf>
    <xf numFmtId="9" fontId="0" fillId="3" borderId="2" xfId="1" applyFont="1" applyFill="1" applyBorder="1" applyAlignment="1">
      <alignment vertical="center"/>
    </xf>
    <xf numFmtId="9" fontId="13" fillId="3" borderId="48" xfId="1" applyFont="1" applyFill="1" applyBorder="1" applyAlignment="1">
      <alignment vertical="center"/>
    </xf>
    <xf numFmtId="175" fontId="34" fillId="13" borderId="5" xfId="6" applyNumberFormat="1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52" fillId="0" borderId="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wrapText="1"/>
    </xf>
    <xf numFmtId="0" fontId="54" fillId="0" borderId="0" xfId="0" applyFont="1"/>
    <xf numFmtId="0" fontId="55" fillId="0" borderId="0" xfId="0" applyFont="1"/>
    <xf numFmtId="0" fontId="30" fillId="0" borderId="0" xfId="0" applyFont="1" applyAlignment="1">
      <alignment horizontal="center" vertical="center"/>
    </xf>
    <xf numFmtId="0" fontId="55" fillId="22" borderId="5" xfId="0" applyFont="1" applyFill="1" applyBorder="1" applyAlignment="1">
      <alignment horizontal="left"/>
    </xf>
    <xf numFmtId="3" fontId="55" fillId="0" borderId="5" xfId="0" applyNumberFormat="1" applyFont="1" applyBorder="1" applyAlignment="1">
      <alignment horizontal="right" wrapText="1" indent="1"/>
    </xf>
    <xf numFmtId="1" fontId="55" fillId="0" borderId="0" xfId="0" applyNumberFormat="1" applyFont="1"/>
    <xf numFmtId="3" fontId="55" fillId="0" borderId="0" xfId="0" applyNumberFormat="1" applyFont="1" applyAlignment="1">
      <alignment horizontal="right"/>
    </xf>
    <xf numFmtId="164" fontId="0" fillId="0" borderId="0" xfId="0" applyNumberFormat="1"/>
    <xf numFmtId="164" fontId="56" fillId="21" borderId="5" xfId="1" applyNumberFormat="1" applyFont="1" applyFill="1" applyBorder="1" applyAlignment="1">
      <alignment horizontal="right" wrapText="1" indent="1"/>
    </xf>
    <xf numFmtId="10" fontId="56" fillId="21" borderId="5" xfId="1" applyNumberFormat="1" applyFont="1" applyFill="1" applyBorder="1" applyAlignment="1">
      <alignment horizontal="right" wrapText="1" indent="1"/>
    </xf>
    <xf numFmtId="0" fontId="2" fillId="3" borderId="0" xfId="0" applyFont="1" applyFill="1" applyBorder="1" applyAlignment="1">
      <alignment horizontal="left" vertical="center" wrapText="1"/>
    </xf>
    <xf numFmtId="177" fontId="30" fillId="0" borderId="0" xfId="0" applyNumberFormat="1" applyFont="1" applyBorder="1"/>
    <xf numFmtId="0" fontId="2" fillId="4" borderId="5" xfId="0" applyFont="1" applyFill="1" applyBorder="1" applyAlignment="1">
      <alignment horizontal="center"/>
    </xf>
    <xf numFmtId="176" fontId="2" fillId="4" borderId="5" xfId="6" applyNumberFormat="1" applyFont="1" applyFill="1" applyBorder="1" applyAlignment="1">
      <alignment horizontal="center"/>
    </xf>
    <xf numFmtId="176" fontId="56" fillId="21" borderId="5" xfId="6" applyNumberFormat="1" applyFont="1" applyFill="1" applyBorder="1" applyAlignment="1">
      <alignment horizontal="right" wrapText="1" indent="1"/>
    </xf>
    <xf numFmtId="178" fontId="0" fillId="0" borderId="0" xfId="0" applyNumberFormat="1"/>
    <xf numFmtId="0" fontId="4" fillId="8" borderId="30" xfId="2" applyFont="1" applyFill="1" applyBorder="1" applyAlignment="1">
      <alignment vertical="center"/>
    </xf>
    <xf numFmtId="0" fontId="5" fillId="6" borderId="3" xfId="2" applyFont="1" applyFill="1" applyBorder="1" applyAlignment="1">
      <alignment vertical="center" wrapText="1"/>
    </xf>
    <xf numFmtId="9" fontId="57" fillId="8" borderId="0" xfId="1" applyFont="1" applyFill="1" applyAlignment="1">
      <alignment vertical="center"/>
    </xf>
    <xf numFmtId="9" fontId="2" fillId="6" borderId="5" xfId="1" applyFont="1" applyFill="1" applyBorder="1" applyAlignment="1">
      <alignment horizontal="center" vertical="center"/>
    </xf>
    <xf numFmtId="9" fontId="19" fillId="6" borderId="5" xfId="1" applyFont="1" applyFill="1" applyBorder="1" applyAlignment="1">
      <alignment horizontal="center" vertical="center"/>
    </xf>
    <xf numFmtId="3" fontId="2" fillId="10" borderId="5" xfId="0" applyNumberFormat="1" applyFont="1" applyFill="1" applyBorder="1" applyAlignment="1">
      <alignment horizontal="center"/>
    </xf>
    <xf numFmtId="0" fontId="0" fillId="6" borderId="5" xfId="0" applyFont="1" applyFill="1" applyBorder="1" applyAlignment="1">
      <alignment horizontal="left" vertical="center" wrapText="1"/>
    </xf>
    <xf numFmtId="167" fontId="26" fillId="23" borderId="47" xfId="7" applyNumberFormat="1" applyFont="1" applyFill="1" applyBorder="1" applyAlignment="1" applyProtection="1"/>
    <xf numFmtId="167" fontId="26" fillId="6" borderId="0" xfId="7" applyNumberFormat="1" applyFont="1" applyFill="1" applyBorder="1" applyAlignment="1" applyProtection="1"/>
    <xf numFmtId="0" fontId="0" fillId="6" borderId="0" xfId="0" applyFill="1"/>
    <xf numFmtId="10" fontId="31" fillId="6" borderId="32" xfId="1" applyNumberFormat="1" applyFont="1" applyFill="1" applyBorder="1"/>
    <xf numFmtId="10" fontId="31" fillId="6" borderId="34" xfId="1" applyNumberFormat="1" applyFont="1" applyFill="1" applyBorder="1"/>
    <xf numFmtId="0" fontId="7" fillId="2" borderId="5" xfId="0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32" fillId="2" borderId="30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66" fontId="0" fillId="0" borderId="5" xfId="6" applyNumberFormat="1" applyFont="1" applyBorder="1" applyAlignment="1">
      <alignment vertical="center"/>
    </xf>
    <xf numFmtId="0" fontId="58" fillId="24" borderId="0" xfId="0" applyFont="1" applyFill="1"/>
    <xf numFmtId="0" fontId="59" fillId="2" borderId="5" xfId="0" applyFont="1" applyFill="1" applyBorder="1" applyAlignment="1">
      <alignment horizontal="center" vertical="center" wrapText="1"/>
    </xf>
    <xf numFmtId="0" fontId="2" fillId="8" borderId="0" xfId="0" applyFont="1" applyFill="1" applyBorder="1"/>
    <xf numFmtId="0" fontId="2" fillId="8" borderId="0" xfId="0" applyFont="1" applyFill="1" applyBorder="1" applyAlignment="1">
      <alignment vertical="center"/>
    </xf>
    <xf numFmtId="0" fontId="0" fillId="3" borderId="0" xfId="0" applyFill="1"/>
    <xf numFmtId="0" fontId="0" fillId="3" borderId="5" xfId="0" applyFill="1" applyBorder="1"/>
    <xf numFmtId="0" fontId="0" fillId="3" borderId="5" xfId="0" applyFill="1" applyBorder="1" applyAlignment="1">
      <alignment wrapText="1"/>
    </xf>
    <xf numFmtId="0" fontId="0" fillId="3" borderId="0" xfId="0" applyFill="1" applyAlignment="1">
      <alignment wrapText="1"/>
    </xf>
    <xf numFmtId="1" fontId="0" fillId="8" borderId="0" xfId="0" applyNumberFormat="1" applyFill="1"/>
    <xf numFmtId="1" fontId="0" fillId="8" borderId="1" xfId="0" applyNumberFormat="1" applyFill="1" applyBorder="1"/>
    <xf numFmtId="0" fontId="13" fillId="0" borderId="5" xfId="0" applyFont="1" applyBorder="1"/>
    <xf numFmtId="0" fontId="60" fillId="0" borderId="0" xfId="0" applyFont="1"/>
    <xf numFmtId="9" fontId="2" fillId="8" borderId="5" xfId="1" applyFont="1" applyFill="1" applyBorder="1" applyAlignment="1">
      <alignment horizontal="center" vertical="center"/>
    </xf>
    <xf numFmtId="166" fontId="2" fillId="8" borderId="5" xfId="6" applyNumberFormat="1" applyFont="1" applyFill="1" applyBorder="1" applyAlignment="1">
      <alignment horizontal="center" vertical="center"/>
    </xf>
    <xf numFmtId="166" fontId="1" fillId="0" borderId="0" xfId="6" applyNumberFormat="1" applyFont="1" applyFill="1" applyBorder="1"/>
    <xf numFmtId="167" fontId="29" fillId="0" borderId="0" xfId="7" applyNumberFormat="1" applyFont="1"/>
    <xf numFmtId="10" fontId="26" fillId="6" borderId="0" xfId="8" applyNumberFormat="1" applyFont="1" applyFill="1" applyAlignment="1">
      <alignment horizontal="center" vertical="center"/>
    </xf>
    <xf numFmtId="0" fontId="29" fillId="0" borderId="0" xfId="3" applyFont="1" applyAlignment="1">
      <alignment wrapText="1"/>
    </xf>
    <xf numFmtId="0" fontId="26" fillId="0" borderId="0" xfId="3" applyFont="1"/>
    <xf numFmtId="0" fontId="29" fillId="0" borderId="0" xfId="3" applyFont="1"/>
    <xf numFmtId="10" fontId="1" fillId="0" borderId="0" xfId="1" applyNumberFormat="1" applyFont="1"/>
    <xf numFmtId="0" fontId="7" fillId="2" borderId="5" xfId="0" applyFont="1" applyFill="1" applyBorder="1" applyAlignment="1">
      <alignment horizontal="center" wrapText="1"/>
    </xf>
    <xf numFmtId="164" fontId="30" fillId="0" borderId="0" xfId="1" applyNumberFormat="1" applyFont="1"/>
    <xf numFmtId="0" fontId="30" fillId="3" borderId="0" xfId="0" applyFont="1" applyFill="1"/>
    <xf numFmtId="0" fontId="0" fillId="0" borderId="0" xfId="0" applyBorder="1"/>
    <xf numFmtId="0" fontId="0" fillId="0" borderId="0" xfId="0" applyFont="1" applyBorder="1"/>
    <xf numFmtId="3" fontId="24" fillId="0" borderId="0" xfId="5" applyNumberFormat="1" applyBorder="1" applyAlignment="1"/>
    <xf numFmtId="0" fontId="61" fillId="0" borderId="0" xfId="0" applyFont="1"/>
    <xf numFmtId="0" fontId="2" fillId="0" borderId="5" xfId="0" applyFont="1" applyBorder="1" applyAlignment="1">
      <alignment vertical="center"/>
    </xf>
    <xf numFmtId="3" fontId="2" fillId="4" borderId="5" xfId="0" applyNumberFormat="1" applyFont="1" applyFill="1" applyBorder="1" applyAlignment="1">
      <alignment horizontal="center" vertical="center"/>
    </xf>
    <xf numFmtId="9" fontId="38" fillId="0" borderId="0" xfId="1" applyFont="1"/>
    <xf numFmtId="0" fontId="0" fillId="25" borderId="0" xfId="0" applyFill="1"/>
    <xf numFmtId="179" fontId="0" fillId="0" borderId="5" xfId="0" applyNumberFormat="1" applyBorder="1"/>
    <xf numFmtId="173" fontId="0" fillId="0" borderId="5" xfId="0" applyNumberFormat="1" applyBorder="1"/>
    <xf numFmtId="0" fontId="37" fillId="0" borderId="0" xfId="0" applyFont="1"/>
    <xf numFmtId="0" fontId="13" fillId="0" borderId="50" xfId="0" applyFont="1" applyBorder="1"/>
    <xf numFmtId="0" fontId="13" fillId="0" borderId="51" xfId="0" applyFont="1" applyBorder="1"/>
    <xf numFmtId="1" fontId="0" fillId="0" borderId="32" xfId="0" applyNumberFormat="1" applyBorder="1"/>
    <xf numFmtId="1" fontId="0" fillId="0" borderId="34" xfId="0" applyNumberFormat="1" applyBorder="1"/>
    <xf numFmtId="0" fontId="56" fillId="21" borderId="5" xfId="0" applyFont="1" applyFill="1" applyBorder="1" applyAlignment="1">
      <alignment horizontal="left"/>
    </xf>
    <xf numFmtId="0" fontId="56" fillId="21" borderId="5" xfId="0" applyFont="1" applyFill="1" applyBorder="1" applyAlignment="1">
      <alignment horizontal="center" wrapText="1"/>
    </xf>
    <xf numFmtId="3" fontId="56" fillId="21" borderId="5" xfId="0" applyNumberFormat="1" applyFont="1" applyFill="1" applyBorder="1" applyAlignment="1">
      <alignment horizontal="right" wrapText="1" indent="1"/>
    </xf>
    <xf numFmtId="0" fontId="4" fillId="0" borderId="0" xfId="2" applyFont="1" applyFill="1" applyBorder="1" applyAlignment="1">
      <alignment vertical="center"/>
    </xf>
    <xf numFmtId="173" fontId="62" fillId="0" borderId="37" xfId="0" applyNumberFormat="1" applyFont="1" applyBorder="1"/>
    <xf numFmtId="0" fontId="62" fillId="0" borderId="0" xfId="0" applyFont="1"/>
    <xf numFmtId="166" fontId="62" fillId="0" borderId="5" xfId="6" applyNumberFormat="1" applyFont="1" applyBorder="1"/>
    <xf numFmtId="173" fontId="0" fillId="0" borderId="5" xfId="0" applyNumberFormat="1" applyBorder="1" applyAlignment="1">
      <alignment horizontal="center" vertical="center"/>
    </xf>
    <xf numFmtId="166" fontId="51" fillId="0" borderId="0" xfId="0" applyNumberFormat="1" applyFont="1"/>
    <xf numFmtId="0" fontId="0" fillId="0" borderId="46" xfId="0" applyBorder="1" applyAlignment="1">
      <alignment vertical="center" wrapText="1"/>
    </xf>
    <xf numFmtId="0" fontId="0" fillId="0" borderId="0" xfId="0" applyAlignment="1">
      <alignment vertical="center" wrapText="1"/>
    </xf>
    <xf numFmtId="9" fontId="34" fillId="13" borderId="5" xfId="1" applyNumberFormat="1" applyFont="1" applyFill="1" applyBorder="1" applyAlignment="1">
      <alignment horizontal="center"/>
    </xf>
    <xf numFmtId="0" fontId="13" fillId="26" borderId="0" xfId="0" applyFont="1" applyFill="1"/>
    <xf numFmtId="0" fontId="63" fillId="7" borderId="5" xfId="0" applyFont="1" applyFill="1" applyBorder="1" applyAlignment="1">
      <alignment horizontal="center"/>
    </xf>
    <xf numFmtId="9" fontId="64" fillId="0" borderId="0" xfId="1" applyFont="1"/>
    <xf numFmtId="0" fontId="32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9" fontId="0" fillId="3" borderId="53" xfId="1" applyFont="1" applyFill="1" applyBorder="1" applyAlignment="1">
      <alignment vertical="center"/>
    </xf>
    <xf numFmtId="9" fontId="0" fillId="3" borderId="62" xfId="1" applyFont="1" applyFill="1" applyBorder="1" applyAlignment="1">
      <alignment vertical="center"/>
    </xf>
    <xf numFmtId="9" fontId="13" fillId="0" borderId="48" xfId="1" applyFont="1" applyBorder="1"/>
    <xf numFmtId="9" fontId="13" fillId="0" borderId="48" xfId="0" applyNumberFormat="1" applyFont="1" applyBorder="1"/>
    <xf numFmtId="0" fontId="2" fillId="8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9" fontId="2" fillId="8" borderId="0" xfId="1" applyFont="1" applyFill="1" applyBorder="1" applyAlignment="1">
      <alignment horizontal="center" vertical="center"/>
    </xf>
    <xf numFmtId="9" fontId="2" fillId="8" borderId="0" xfId="0" applyNumberFormat="1" applyFont="1" applyFill="1" applyBorder="1" applyAlignment="1">
      <alignment horizontal="center" vertical="center" wrapText="1"/>
    </xf>
    <xf numFmtId="0" fontId="65" fillId="2" borderId="5" xfId="0" applyFont="1" applyFill="1" applyBorder="1" applyAlignment="1">
      <alignment horizontal="center" vertical="center" wrapText="1"/>
    </xf>
    <xf numFmtId="0" fontId="7" fillId="8" borderId="0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26" fillId="0" borderId="0" xfId="3" applyFont="1" applyFill="1" applyBorder="1" applyAlignment="1" applyProtection="1">
      <alignment wrapText="1"/>
    </xf>
    <xf numFmtId="0" fontId="35" fillId="27" borderId="37" xfId="0" applyFont="1" applyFill="1" applyBorder="1"/>
    <xf numFmtId="164" fontId="0" fillId="0" borderId="37" xfId="0" applyNumberFormat="1" applyBorder="1"/>
    <xf numFmtId="175" fontId="0" fillId="0" borderId="0" xfId="0" applyNumberFormat="1"/>
    <xf numFmtId="0" fontId="35" fillId="0" borderId="37" xfId="0" applyFont="1" applyFill="1" applyBorder="1"/>
    <xf numFmtId="173" fontId="35" fillId="0" borderId="37" xfId="0" applyNumberFormat="1" applyFont="1" applyFill="1" applyBorder="1"/>
    <xf numFmtId="173" fontId="0" fillId="27" borderId="37" xfId="0" applyNumberFormat="1" applyFill="1" applyBorder="1"/>
    <xf numFmtId="0" fontId="35" fillId="27" borderId="0" xfId="0" applyFont="1" applyFill="1"/>
    <xf numFmtId="0" fontId="0" fillId="27" borderId="0" xfId="0" applyFill="1"/>
    <xf numFmtId="0" fontId="37" fillId="0" borderId="0" xfId="0" applyFont="1" applyBorder="1"/>
    <xf numFmtId="1" fontId="37" fillId="0" borderId="0" xfId="0" applyNumberFormat="1" applyFont="1" applyBorder="1"/>
    <xf numFmtId="1" fontId="37" fillId="0" borderId="0" xfId="0" applyNumberFormat="1" applyFont="1" applyFill="1" applyBorder="1"/>
    <xf numFmtId="0" fontId="0" fillId="0" borderId="0" xfId="0" applyFill="1" applyAlignment="1"/>
    <xf numFmtId="164" fontId="61" fillId="27" borderId="37" xfId="0" applyNumberFormat="1" applyFont="1" applyFill="1" applyBorder="1"/>
    <xf numFmtId="175" fontId="0" fillId="0" borderId="0" xfId="6" applyNumberFormat="1" applyFont="1"/>
    <xf numFmtId="0" fontId="46" fillId="28" borderId="5" xfId="2" applyFont="1" applyFill="1" applyBorder="1" applyAlignment="1">
      <alignment horizontal="right" vertical="center" wrapText="1"/>
    </xf>
    <xf numFmtId="3" fontId="2" fillId="28" borderId="5" xfId="0" applyNumberFormat="1" applyFont="1" applyFill="1" applyBorder="1" applyAlignment="1">
      <alignment horizontal="right"/>
    </xf>
    <xf numFmtId="0" fontId="46" fillId="28" borderId="5" xfId="2" applyFont="1" applyFill="1" applyBorder="1" applyAlignment="1">
      <alignment horizontal="right" vertical="center"/>
    </xf>
    <xf numFmtId="3" fontId="8" fillId="28" borderId="5" xfId="0" applyNumberFormat="1" applyFont="1" applyFill="1" applyBorder="1" applyAlignment="1">
      <alignment horizontal="right"/>
    </xf>
    <xf numFmtId="0" fontId="0" fillId="28" borderId="0" xfId="0" applyFill="1"/>
    <xf numFmtId="0" fontId="45" fillId="28" borderId="0" xfId="0" applyFont="1" applyFill="1"/>
    <xf numFmtId="0" fontId="46" fillId="28" borderId="3" xfId="2" applyFont="1" applyFill="1" applyBorder="1" applyAlignment="1">
      <alignment horizontal="right" vertical="center"/>
    </xf>
    <xf numFmtId="166" fontId="45" fillId="28" borderId="0" xfId="6" applyNumberFormat="1" applyFont="1" applyFill="1"/>
    <xf numFmtId="166" fontId="45" fillId="28" borderId="0" xfId="0" applyNumberFormat="1" applyFont="1" applyFill="1"/>
    <xf numFmtId="175" fontId="0" fillId="28" borderId="0" xfId="0" applyNumberFormat="1" applyFill="1"/>
    <xf numFmtId="1" fontId="13" fillId="0" borderId="5" xfId="0" applyNumberFormat="1" applyFont="1" applyBorder="1"/>
    <xf numFmtId="0" fontId="32" fillId="2" borderId="52" xfId="0" applyFont="1" applyFill="1" applyBorder="1" applyAlignment="1">
      <alignment horizontal="center" vertical="center" wrapText="1"/>
    </xf>
    <xf numFmtId="0" fontId="32" fillId="2" borderId="57" xfId="0" applyFont="1" applyFill="1" applyBorder="1" applyAlignment="1">
      <alignment horizontal="center" vertical="center" wrapText="1"/>
    </xf>
    <xf numFmtId="0" fontId="32" fillId="2" borderId="60" xfId="0" applyFont="1" applyFill="1" applyBorder="1" applyAlignment="1">
      <alignment horizontal="center" vertical="center" wrapText="1"/>
    </xf>
    <xf numFmtId="0" fontId="0" fillId="6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6" borderId="5" xfId="0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8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59" xfId="0" applyBorder="1" applyAlignment="1">
      <alignment vertical="center"/>
    </xf>
    <xf numFmtId="0" fontId="13" fillId="6" borderId="61" xfId="0" applyFont="1" applyFill="1" applyBorder="1" applyAlignment="1">
      <alignment vertical="center" wrapText="1"/>
    </xf>
    <xf numFmtId="0" fontId="0" fillId="0" borderId="63" xfId="0" quotePrefix="1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0" fillId="0" borderId="64" xfId="0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6" borderId="6" xfId="0" applyFont="1" applyFill="1" applyBorder="1" applyAlignment="1">
      <alignment horizontal="center" vertical="center" wrapText="1"/>
    </xf>
    <xf numFmtId="0" fontId="0" fillId="6" borderId="8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32" fillId="2" borderId="49" xfId="0" applyFont="1" applyFill="1" applyBorder="1" applyAlignment="1">
      <alignment horizontal="center" vertical="center" wrapText="1"/>
    </xf>
    <xf numFmtId="0" fontId="32" fillId="2" borderId="50" xfId="0" applyFont="1" applyFill="1" applyBorder="1" applyAlignment="1">
      <alignment horizontal="center" vertical="center" wrapText="1"/>
    </xf>
    <xf numFmtId="0" fontId="32" fillId="2" borderId="51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53" fillId="20" borderId="6" xfId="0" applyFont="1" applyFill="1" applyBorder="1" applyAlignment="1">
      <alignment horizontal="center" vertical="top" wrapText="1"/>
    </xf>
    <xf numFmtId="0" fontId="53" fillId="20" borderId="7" xfId="0" applyFont="1" applyFill="1" applyBorder="1" applyAlignment="1">
      <alignment horizontal="center" vertical="top" wrapText="1"/>
    </xf>
    <xf numFmtId="0" fontId="53" fillId="20" borderId="8" xfId="0" applyFont="1" applyFill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/>
    </xf>
    <xf numFmtId="0" fontId="32" fillId="2" borderId="6" xfId="0" applyFont="1" applyFill="1" applyBorder="1" applyAlignment="1">
      <alignment horizontal="center" vertical="center" wrapText="1"/>
    </xf>
    <xf numFmtId="0" fontId="32" fillId="2" borderId="7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0" fillId="6" borderId="53" xfId="0" applyFill="1" applyBorder="1" applyAlignment="1">
      <alignment horizontal="left" vertical="top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top" wrapText="1"/>
    </xf>
    <xf numFmtId="0" fontId="0" fillId="0" borderId="8" xfId="0" applyBorder="1" applyAlignment="1">
      <alignment vertical="center" wrapText="1"/>
    </xf>
    <xf numFmtId="0" fontId="13" fillId="6" borderId="61" xfId="0" applyFont="1" applyFill="1" applyBorder="1" applyAlignment="1">
      <alignment wrapText="1"/>
    </xf>
    <xf numFmtId="0" fontId="0" fillId="0" borderId="63" xfId="0" quotePrefix="1" applyBorder="1" applyAlignment="1">
      <alignment wrapText="1"/>
    </xf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13" fillId="6" borderId="5" xfId="0" applyFont="1" applyFill="1" applyBorder="1" applyAlignment="1">
      <alignment wrapText="1"/>
    </xf>
    <xf numFmtId="0" fontId="0" fillId="0" borderId="7" xfId="0" quotePrefix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horizontal="left" vertical="top" wrapText="1"/>
    </xf>
    <xf numFmtId="0" fontId="33" fillId="12" borderId="0" xfId="0" applyFont="1" applyFill="1" applyAlignment="1">
      <alignment horizontal="center" vertic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44" fillId="9" borderId="0" xfId="0" applyFont="1" applyFill="1" applyAlignment="1">
      <alignment horizontal="center" wrapText="1"/>
    </xf>
    <xf numFmtId="0" fontId="49" fillId="14" borderId="33" xfId="0" applyFont="1" applyFill="1" applyBorder="1" applyAlignment="1">
      <alignment horizontal="center"/>
    </xf>
    <xf numFmtId="0" fontId="49" fillId="14" borderId="1" xfId="0" applyFont="1" applyFill="1" applyBorder="1" applyAlignment="1">
      <alignment horizontal="center"/>
    </xf>
    <xf numFmtId="3" fontId="0" fillId="13" borderId="30" xfId="0" applyNumberFormat="1" applyFill="1" applyBorder="1" applyAlignment="1">
      <alignment horizontal="center"/>
    </xf>
    <xf numFmtId="3" fontId="0" fillId="13" borderId="0" xfId="0" applyNumberFormat="1" applyFill="1" applyBorder="1" applyAlignment="1">
      <alignment horizontal="center"/>
    </xf>
    <xf numFmtId="0" fontId="0" fillId="28" borderId="0" xfId="0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wrapText="1"/>
    </xf>
    <xf numFmtId="0" fontId="15" fillId="2" borderId="0" xfId="0" applyFont="1" applyFill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12" fillId="2" borderId="27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7" fillId="11" borderId="0" xfId="0" applyFont="1" applyFill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 vertical="center" wrapText="1"/>
    </xf>
    <xf numFmtId="0" fontId="52" fillId="0" borderId="0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10" borderId="0" xfId="0" applyFont="1" applyFill="1" applyBorder="1" applyAlignment="1">
      <alignment horizontal="center"/>
    </xf>
    <xf numFmtId="0" fontId="0" fillId="3" borderId="49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3" fillId="0" borderId="0" xfId="0" applyFont="1" applyAlignment="1">
      <alignment horizontal="center"/>
    </xf>
    <xf numFmtId="0" fontId="30" fillId="0" borderId="46" xfId="0" applyFont="1" applyFill="1" applyBorder="1" applyAlignment="1">
      <alignment horizontal="left" vertical="center" wrapText="1"/>
    </xf>
    <xf numFmtId="0" fontId="30" fillId="0" borderId="0" xfId="0" applyFont="1" applyFill="1" applyBorder="1" applyAlignment="1">
      <alignment horizontal="left" vertical="center" wrapText="1"/>
    </xf>
    <xf numFmtId="0" fontId="35" fillId="0" borderId="37" xfId="0" applyFont="1" applyBorder="1" applyAlignment="1">
      <alignment horizontal="center" vertical="center" wrapText="1"/>
    </xf>
    <xf numFmtId="0" fontId="40" fillId="15" borderId="4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6" xfId="0" applyBorder="1" applyAlignment="1">
      <alignment horizontal="center" wrapText="1"/>
    </xf>
    <xf numFmtId="0" fontId="0" fillId="0" borderId="0" xfId="0" applyBorder="1" applyAlignment="1">
      <alignment horizontal="center" wrapText="1"/>
    </xf>
  </cellXfs>
  <cellStyles count="13">
    <cellStyle name="Excel_BuiltIn_Comma" xfId="7" xr:uid="{00000000-0005-0000-0000-000000000000}"/>
    <cellStyle name="Milliers" xfId="6" builtinId="3"/>
    <cellStyle name="Milliers 2" xfId="11" xr:uid="{3BE57057-8C4B-4EE9-8409-DC2D31BD307B}"/>
    <cellStyle name="Normal" xfId="0" builtinId="0"/>
    <cellStyle name="Normal 2" xfId="2" xr:uid="{00000000-0005-0000-0000-000003000000}"/>
    <cellStyle name="Normal 2 2" xfId="5" xr:uid="{00000000-0005-0000-0000-000004000000}"/>
    <cellStyle name="Normal 3" xfId="3" xr:uid="{00000000-0005-0000-0000-000005000000}"/>
    <cellStyle name="Normal 3 2" xfId="12" xr:uid="{5825308F-446E-4105-B249-9A348AACC192}"/>
    <cellStyle name="Normal 4" xfId="4" xr:uid="{00000000-0005-0000-0000-000006000000}"/>
    <cellStyle name="Normal 7" xfId="10" xr:uid="{D04550EC-CE91-4978-BAC8-8A07BDEF22E9}"/>
    <cellStyle name="Pourcentage" xfId="1" builtinId="5"/>
    <cellStyle name="Pourcentage 3" xfId="8" xr:uid="{00000000-0005-0000-0000-000008000000}"/>
    <cellStyle name="Pourcentage 3 4" xfId="9" xr:uid="{00000000-0005-0000-0000-000009000000}"/>
  </cellStyles>
  <dxfs count="33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3" defaultTableStyle="TableStyleMedium2" defaultPivotStyle="PivotStyleLight16">
    <tableStyle name="PivotStyleLight16 2" table="0" count="11" xr9:uid="{00000000-0011-0000-FFFF-FFFF00000000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Column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  <tableStyle name="PivotStyleLight16 3" table="0" count="11" xr9:uid="{00000000-0011-0000-FFFF-FFFF01000000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4" table="0" count="11" xr9:uid="{00000000-0011-0000-FFFF-FFFF02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3DB84B"/>
      <color rgb="FFFFC000"/>
      <color rgb="FF44546A"/>
      <color rgb="FFFF5328"/>
      <color rgb="FF020407"/>
      <color rgb="FFD5DBDA"/>
      <color rgb="FF00B9F2"/>
      <color rgb="FF1D60B3"/>
      <color rgb="FF3CB74B"/>
      <color rgb="FF9882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Parc tertiaire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Résultats!$B$23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Résultats!$C$8:$F$8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Résultats!$C$23:$F$23</c:f>
              <c:numCache>
                <c:formatCode>#,##0</c:formatCode>
                <c:ptCount val="4"/>
                <c:pt idx="0">
                  <c:v>0</c:v>
                </c:pt>
                <c:pt idx="1">
                  <c:v>58277.964078281715</c:v>
                </c:pt>
                <c:pt idx="2">
                  <c:v>44695.977271057833</c:v>
                </c:pt>
                <c:pt idx="3">
                  <c:v>36825.330038225744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8-4621-9EB7-F26240277A5A}"/>
            </c:ext>
          </c:extLst>
        </c:ser>
        <c:ser>
          <c:idx val="1"/>
          <c:order val="1"/>
          <c:tx>
            <c:strRef>
              <c:f>Résultats!$B$24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Résultats!$C$8:$F$8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Résultats!$C$24:$F$24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944733.51227938244</c:v>
                </c:pt>
                <c:pt idx="2">
                  <c:v>973895.55314713239</c:v>
                </c:pt>
                <c:pt idx="3">
                  <c:v>972631.48261654528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8-4621-9EB7-F26240277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783488"/>
        <c:axId val="1017780992"/>
      </c:barChart>
      <c:catAx>
        <c:axId val="101778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0992"/>
        <c:crosses val="autoZero"/>
        <c:auto val="1"/>
        <c:lblAlgn val="ctr"/>
        <c:lblOffset val="100"/>
        <c:noMultiLvlLbl val="0"/>
      </c:catAx>
      <c:valAx>
        <c:axId val="10177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totale de chauffage en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Résultats!$A$57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Résultats!$B$57:$E$57</c:f>
              <c:numCache>
                <c:formatCode>#,##0</c:formatCode>
                <c:ptCount val="4"/>
                <c:pt idx="0">
                  <c:v>17636.41517514189</c:v>
                </c:pt>
                <c:pt idx="1">
                  <c:v>12584.182610662096</c:v>
                </c:pt>
                <c:pt idx="2">
                  <c:v>10229.37334549831</c:v>
                </c:pt>
                <c:pt idx="3">
                  <c:v>7821.9678438685432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2-470A-98DB-97B4ABBC0734}"/>
            </c:ext>
          </c:extLst>
        </c:ser>
        <c:ser>
          <c:idx val="1"/>
          <c:order val="1"/>
          <c:tx>
            <c:strRef>
              <c:f>Résultats!$A$58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Résultats!$B$58:$E$58</c:f>
              <c:numCache>
                <c:formatCode>#,##0</c:formatCode>
                <c:ptCount val="4"/>
                <c:pt idx="0">
                  <c:v>55805.569818181473</c:v>
                </c:pt>
                <c:pt idx="1">
                  <c:v>44705.077226923924</c:v>
                </c:pt>
                <c:pt idx="2">
                  <c:v>40854.269011504766</c:v>
                </c:pt>
                <c:pt idx="3">
                  <c:v>36337.094926563266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2-470A-98DB-97B4ABBC0734}"/>
            </c:ext>
          </c:extLst>
        </c:ser>
        <c:ser>
          <c:idx val="2"/>
          <c:order val="2"/>
          <c:tx>
            <c:strRef>
              <c:f>Résultats!$A$59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Résultats!$B$59:$E$59</c:f>
              <c:numCache>
                <c:formatCode>#,##0</c:formatCode>
                <c:ptCount val="4"/>
                <c:pt idx="0">
                  <c:v>7405.5823362088131</c:v>
                </c:pt>
                <c:pt idx="1">
                  <c:v>7048.9529855965102</c:v>
                </c:pt>
                <c:pt idx="2">
                  <c:v>6658.4541853988148</c:v>
                </c:pt>
                <c:pt idx="3">
                  <c:v>5916.0549484635621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E2-470A-98DB-97B4ABBC0734}"/>
            </c:ext>
          </c:extLst>
        </c:ser>
        <c:ser>
          <c:idx val="3"/>
          <c:order val="3"/>
          <c:tx>
            <c:strRef>
              <c:f>Résultats!$A$60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Résultats!$B$60:$E$60</c:f>
              <c:numCache>
                <c:formatCode>#,##0</c:formatCode>
                <c:ptCount val="4"/>
                <c:pt idx="0">
                  <c:v>1272.5786804340246</c:v>
                </c:pt>
                <c:pt idx="1">
                  <c:v>1096.1877318231943</c:v>
                </c:pt>
                <c:pt idx="2">
                  <c:v>1044.2803407172721</c:v>
                </c:pt>
                <c:pt idx="3">
                  <c:v>969.07550599965407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E2-470A-98DB-97B4ABBC0734}"/>
            </c:ext>
          </c:extLst>
        </c:ser>
        <c:ser>
          <c:idx val="4"/>
          <c:order val="4"/>
          <c:tx>
            <c:strRef>
              <c:f>Résultats!$A$61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Résultats!$B$61:$E$61</c:f>
              <c:numCache>
                <c:formatCode>#,##0</c:formatCode>
                <c:ptCount val="4"/>
                <c:pt idx="0">
                  <c:v>1294.6736683610475</c:v>
                </c:pt>
                <c:pt idx="1">
                  <c:v>1301.9332915284222</c:v>
                </c:pt>
                <c:pt idx="2">
                  <c:v>1378.0056117330932</c:v>
                </c:pt>
                <c:pt idx="3">
                  <c:v>1409.2486004040202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E2-470A-98DB-97B4ABBC0734}"/>
            </c:ext>
          </c:extLst>
        </c:ser>
        <c:ser>
          <c:idx val="5"/>
          <c:order val="5"/>
          <c:tx>
            <c:strRef>
              <c:f>Résultats!$A$62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Résultats!$B$62:$E$62</c:f>
              <c:numCache>
                <c:formatCode>#,##0</c:formatCode>
                <c:ptCount val="4"/>
                <c:pt idx="0">
                  <c:v>14607.452993119286</c:v>
                </c:pt>
                <c:pt idx="1">
                  <c:v>10422.470509805571</c:v>
                </c:pt>
                <c:pt idx="2">
                  <c:v>8187.5358792873649</c:v>
                </c:pt>
                <c:pt idx="3">
                  <c:v>5993.7366700902885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E2-470A-98DB-97B4ABBC0734}"/>
            </c:ext>
          </c:extLst>
        </c:ser>
        <c:ser>
          <c:idx val="6"/>
          <c:order val="6"/>
          <c:tx>
            <c:strRef>
              <c:f>Résultats!$A$63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Résultats!$B$63:$E$63</c:f>
              <c:numCache>
                <c:formatCode>#,##0</c:formatCode>
                <c:ptCount val="4"/>
                <c:pt idx="0">
                  <c:v>2975.3947624956108</c:v>
                </c:pt>
                <c:pt idx="1">
                  <c:v>5620.3727033937375</c:v>
                </c:pt>
                <c:pt idx="2">
                  <c:v>7304.4367432002919</c:v>
                </c:pt>
                <c:pt idx="3">
                  <c:v>8429.2692540370481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E2-470A-98DB-97B4ABBC0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suivant le décret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Résultats!$A$81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Résultats!$B$81:$E$81</c:f>
              <c:numCache>
                <c:formatCode>#,##0</c:formatCode>
                <c:ptCount val="4"/>
                <c:pt idx="0">
                  <c:v>6972.2797501238183</c:v>
                </c:pt>
                <c:pt idx="1">
                  <c:v>4111.1754441729572</c:v>
                </c:pt>
                <c:pt idx="2">
                  <c:v>3116.8321546808706</c:v>
                </c:pt>
                <c:pt idx="3">
                  <c:v>2159.2824101097335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3-42CD-A851-C8AECE606C6E}"/>
            </c:ext>
          </c:extLst>
        </c:ser>
        <c:ser>
          <c:idx val="1"/>
          <c:order val="1"/>
          <c:tx>
            <c:strRef>
              <c:f>Résultats!$A$82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Résultats!$B$82:$E$82</c:f>
              <c:numCache>
                <c:formatCode>#,##0</c:formatCode>
                <c:ptCount val="4"/>
                <c:pt idx="0">
                  <c:v>21704.940201780224</c:v>
                </c:pt>
                <c:pt idx="1">
                  <c:v>14287.534621015844</c:v>
                </c:pt>
                <c:pt idx="2">
                  <c:v>12077.573828638489</c:v>
                </c:pt>
                <c:pt idx="3">
                  <c:v>9839.8144785180684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3-42CD-A851-C8AECE606C6E}"/>
            </c:ext>
          </c:extLst>
        </c:ser>
        <c:ser>
          <c:idx val="2"/>
          <c:order val="2"/>
          <c:tx>
            <c:strRef>
              <c:f>Résultats!$A$83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Résultats!$B$83:$E$83</c:f>
              <c:numCache>
                <c:formatCode>#,##0</c:formatCode>
                <c:ptCount val="4"/>
                <c:pt idx="0">
                  <c:v>2920.2151325253244</c:v>
                </c:pt>
                <c:pt idx="1">
                  <c:v>2518.4435815088054</c:v>
                </c:pt>
                <c:pt idx="2">
                  <c:v>2207.783880149022</c:v>
                </c:pt>
                <c:pt idx="3">
                  <c:v>1779.3642797679097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3-42CD-A851-C8AECE606C6E}"/>
            </c:ext>
          </c:extLst>
        </c:ser>
        <c:ser>
          <c:idx val="3"/>
          <c:order val="3"/>
          <c:tx>
            <c:strRef>
              <c:f>Résultats!$A$84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Résultats!$B$84:$E$84</c:f>
              <c:numCache>
                <c:formatCode>#,##0</c:formatCode>
                <c:ptCount val="4"/>
                <c:pt idx="0">
                  <c:v>495.96140968305934</c:v>
                </c:pt>
                <c:pt idx="1">
                  <c:v>341.84976693568865</c:v>
                </c:pt>
                <c:pt idx="2">
                  <c:v>307.33843778195393</c:v>
                </c:pt>
                <c:pt idx="3">
                  <c:v>269.30055743257861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23-42CD-A851-C8AECE606C6E}"/>
            </c:ext>
          </c:extLst>
        </c:ser>
        <c:ser>
          <c:idx val="4"/>
          <c:order val="4"/>
          <c:tx>
            <c:strRef>
              <c:f>Résultats!$A$85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Résultats!$B$85:$E$85</c:f>
              <c:numCache>
                <c:formatCode>#,##0</c:formatCode>
                <c:ptCount val="4"/>
                <c:pt idx="0">
                  <c:v>490.36175602403921</c:v>
                </c:pt>
                <c:pt idx="1">
                  <c:v>355.28732675483184</c:v>
                </c:pt>
                <c:pt idx="2">
                  <c:v>328.35295993095224</c:v>
                </c:pt>
                <c:pt idx="3">
                  <c:v>294.00984290647494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23-42CD-A851-C8AECE606C6E}"/>
            </c:ext>
          </c:extLst>
        </c:ser>
        <c:ser>
          <c:idx val="5"/>
          <c:order val="5"/>
          <c:tx>
            <c:strRef>
              <c:f>Résultats!$A$86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Résultats!$B$86:$E$86</c:f>
              <c:numCache>
                <c:formatCode>#,##0</c:formatCode>
                <c:ptCount val="4"/>
                <c:pt idx="0">
                  <c:v>5412.3541772314884</c:v>
                </c:pt>
                <c:pt idx="1">
                  <c:v>3196.4902213444984</c:v>
                </c:pt>
                <c:pt idx="2">
                  <c:v>2492.2800875622565</c:v>
                </c:pt>
                <c:pt idx="3">
                  <c:v>1740.3836633885383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23-42CD-A851-C8AECE606C6E}"/>
            </c:ext>
          </c:extLst>
        </c:ser>
        <c:ser>
          <c:idx val="6"/>
          <c:order val="6"/>
          <c:tx>
            <c:strRef>
              <c:f>Résultats!$A$87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Résultats!$B$87:$E$87</c:f>
              <c:numCache>
                <c:formatCode>#,##0</c:formatCode>
                <c:ptCount val="4"/>
                <c:pt idx="0">
                  <c:v>1068.6056721929394</c:v>
                </c:pt>
                <c:pt idx="1">
                  <c:v>1615.9998514832994</c:v>
                </c:pt>
                <c:pt idx="2">
                  <c:v>2249.9941176167463</c:v>
                </c:pt>
                <c:pt idx="3">
                  <c:v>2784.0591419598318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23-42CD-A851-C8AECE606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hors décret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Résultats!$A$93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Résultats!$B$93:$E$93</c:f>
              <c:numCache>
                <c:formatCode>#,##0</c:formatCode>
                <c:ptCount val="4"/>
                <c:pt idx="0">
                  <c:v>10664.135425018072</c:v>
                </c:pt>
                <c:pt idx="1">
                  <c:v>8469.3394445919093</c:v>
                </c:pt>
                <c:pt idx="2">
                  <c:v>7111.1063475589381</c:v>
                </c:pt>
                <c:pt idx="3">
                  <c:v>5661.3849403460372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B-4D16-BAD2-55148B93858E}"/>
            </c:ext>
          </c:extLst>
        </c:ser>
        <c:ser>
          <c:idx val="1"/>
          <c:order val="1"/>
          <c:tx>
            <c:strRef>
              <c:f>Résultats!$A$94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Résultats!$B$94:$E$94</c:f>
              <c:numCache>
                <c:formatCode>#,##0</c:formatCode>
                <c:ptCount val="4"/>
                <c:pt idx="0">
                  <c:v>34100.629616401253</c:v>
                </c:pt>
                <c:pt idx="1">
                  <c:v>30417.542605908071</c:v>
                </c:pt>
                <c:pt idx="2">
                  <c:v>28776.695182866275</c:v>
                </c:pt>
                <c:pt idx="3">
                  <c:v>26497.280448045203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B-4D16-BAD2-55148B93858E}"/>
            </c:ext>
          </c:extLst>
        </c:ser>
        <c:ser>
          <c:idx val="2"/>
          <c:order val="2"/>
          <c:tx>
            <c:strRef>
              <c:f>Résultats!$A$95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Résultats!$B$95:$E$95</c:f>
              <c:numCache>
                <c:formatCode>#,##0</c:formatCode>
                <c:ptCount val="4"/>
                <c:pt idx="0">
                  <c:v>4485.3672036834887</c:v>
                </c:pt>
                <c:pt idx="1">
                  <c:v>4107.7016038147231</c:v>
                </c:pt>
                <c:pt idx="2">
                  <c:v>4101.0629682288627</c:v>
                </c:pt>
                <c:pt idx="3">
                  <c:v>3861.5949442739256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B-4D16-BAD2-55148B93858E}"/>
            </c:ext>
          </c:extLst>
        </c:ser>
        <c:ser>
          <c:idx val="3"/>
          <c:order val="3"/>
          <c:tx>
            <c:strRef>
              <c:f>Résultats!$A$96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Résultats!$B$96:$E$96</c:f>
              <c:numCache>
                <c:formatCode>#,##0</c:formatCode>
                <c:ptCount val="4"/>
                <c:pt idx="0">
                  <c:v>776.61727075096542</c:v>
                </c:pt>
                <c:pt idx="1">
                  <c:v>708.74035963160782</c:v>
                </c:pt>
                <c:pt idx="2">
                  <c:v>698.31184745678729</c:v>
                </c:pt>
                <c:pt idx="3">
                  <c:v>670.69558321777947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8B-4D16-BAD2-55148B93858E}"/>
            </c:ext>
          </c:extLst>
        </c:ser>
        <c:ser>
          <c:idx val="4"/>
          <c:order val="4"/>
          <c:tx>
            <c:strRef>
              <c:f>Résultats!$A$97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Résultats!$B$97:$E$97</c:f>
              <c:numCache>
                <c:formatCode>#,##0</c:formatCode>
                <c:ptCount val="4"/>
                <c:pt idx="0">
                  <c:v>804.31191233700827</c:v>
                </c:pt>
                <c:pt idx="1">
                  <c:v>869.15982965288754</c:v>
                </c:pt>
                <c:pt idx="2">
                  <c:v>986.02448796196029</c:v>
                </c:pt>
                <c:pt idx="3">
                  <c:v>1065.407126212112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8B-4D16-BAD2-55148B93858E}"/>
            </c:ext>
          </c:extLst>
        </c:ser>
        <c:ser>
          <c:idx val="5"/>
          <c:order val="5"/>
          <c:tx>
            <c:strRef>
              <c:f>Résultats!$A$98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Résultats!$B$98:$E$98</c:f>
              <c:numCache>
                <c:formatCode>#,##0</c:formatCode>
                <c:ptCount val="4"/>
                <c:pt idx="0">
                  <c:v>9195.0988158877972</c:v>
                </c:pt>
                <c:pt idx="1">
                  <c:v>6909.9241139897831</c:v>
                </c:pt>
                <c:pt idx="2">
                  <c:v>5455.2332800261493</c:v>
                </c:pt>
                <c:pt idx="3">
                  <c:v>4046.2273051491525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8B-4D16-BAD2-55148B93858E}"/>
            </c:ext>
          </c:extLst>
        </c:ser>
        <c:ser>
          <c:idx val="6"/>
          <c:order val="6"/>
          <c:tx>
            <c:strRef>
              <c:f>Résultats!$A$99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Résultats!$B$99:$E$99</c:f>
              <c:numCache>
                <c:formatCode>#,##0</c:formatCode>
                <c:ptCount val="4"/>
                <c:pt idx="0">
                  <c:v>1906.7890903026712</c:v>
                </c:pt>
                <c:pt idx="1">
                  <c:v>2967.0521594826173</c:v>
                </c:pt>
                <c:pt idx="2">
                  <c:v>4262.1098486524752</c:v>
                </c:pt>
                <c:pt idx="3">
                  <c:v>4989.1781380424372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8B-4D16-BAD2-55148B938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Parc tertiaire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Résultats!$B$23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Résultats!$Z$23:$AC$23</c:f>
              <c:numCache>
                <c:formatCode>#,##0</c:formatCode>
                <c:ptCount val="4"/>
                <c:pt idx="0">
                  <c:v>0</c:v>
                </c:pt>
                <c:pt idx="1">
                  <c:v>54508.804549841887</c:v>
                </c:pt>
                <c:pt idx="2">
                  <c:v>43094.231129653381</c:v>
                </c:pt>
                <c:pt idx="3">
                  <c:v>33683.415838559042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3-435E-81BF-1F15E705C503}"/>
            </c:ext>
          </c:extLst>
        </c:ser>
        <c:ser>
          <c:idx val="1"/>
          <c:order val="1"/>
          <c:tx>
            <c:strRef>
              <c:f>Résultats!$B$24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Résultats!$Z$24:$AC$24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943305.87487551966</c:v>
                </c:pt>
                <c:pt idx="2">
                  <c:v>954650.08370665286</c:v>
                </c:pt>
                <c:pt idx="3">
                  <c:v>931004.81064076687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3-435E-81BF-1F15E705C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783488"/>
        <c:axId val="1017780992"/>
      </c:barChart>
      <c:catAx>
        <c:axId val="101778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0992"/>
        <c:crosses val="autoZero"/>
        <c:auto val="1"/>
        <c:lblAlgn val="ctr"/>
        <c:lblOffset val="100"/>
        <c:noMultiLvlLbl val="0"/>
      </c:catAx>
      <c:valAx>
        <c:axId val="10177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totale de chauffage en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Résultats!$A$57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Résultats!$Y$57:$AB$57</c:f>
              <c:numCache>
                <c:formatCode>#,##0</c:formatCode>
                <c:ptCount val="4"/>
                <c:pt idx="0">
                  <c:v>17636.41517514189</c:v>
                </c:pt>
                <c:pt idx="1">
                  <c:v>1411.0973255369272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7-4539-AA67-0F702B6837F5}"/>
            </c:ext>
          </c:extLst>
        </c:ser>
        <c:ser>
          <c:idx val="1"/>
          <c:order val="1"/>
          <c:tx>
            <c:strRef>
              <c:f>Résultats!$A$58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Résultats!$Y$58:$AB$58</c:f>
              <c:numCache>
                <c:formatCode>#,##0</c:formatCode>
                <c:ptCount val="4"/>
                <c:pt idx="0">
                  <c:v>55805.569818181481</c:v>
                </c:pt>
                <c:pt idx="1">
                  <c:v>41301.667769533931</c:v>
                </c:pt>
                <c:pt idx="2">
                  <c:v>21174.698028326031</c:v>
                </c:pt>
                <c:pt idx="3">
                  <c:v>5708.0512736598066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7-4539-AA67-0F702B6837F5}"/>
            </c:ext>
          </c:extLst>
        </c:ser>
        <c:ser>
          <c:idx val="2"/>
          <c:order val="2"/>
          <c:tx>
            <c:strRef>
              <c:f>Résultats!$A$59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Résultats!$Y$59:$AB$59</c:f>
              <c:numCache>
                <c:formatCode>#,##0</c:formatCode>
                <c:ptCount val="4"/>
                <c:pt idx="0">
                  <c:v>7405.5823362088113</c:v>
                </c:pt>
                <c:pt idx="1">
                  <c:v>14974.44582558326</c:v>
                </c:pt>
                <c:pt idx="2">
                  <c:v>16388.069440834635</c:v>
                </c:pt>
                <c:pt idx="3">
                  <c:v>15701.441098252917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7-4539-AA67-0F702B6837F5}"/>
            </c:ext>
          </c:extLst>
        </c:ser>
        <c:ser>
          <c:idx val="3"/>
          <c:order val="3"/>
          <c:tx>
            <c:strRef>
              <c:f>Résultats!$A$60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Résultats!$Y$60:$AB$60</c:f>
              <c:numCache>
                <c:formatCode>#,##0</c:formatCode>
                <c:ptCount val="4"/>
                <c:pt idx="0">
                  <c:v>1272.578680434025</c:v>
                </c:pt>
                <c:pt idx="1">
                  <c:v>763.58375558271553</c:v>
                </c:pt>
                <c:pt idx="2">
                  <c:v>418.76061780507041</c:v>
                </c:pt>
                <c:pt idx="3">
                  <c:v>42.847815085769014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27-4539-AA67-0F702B6837F5}"/>
            </c:ext>
          </c:extLst>
        </c:ser>
        <c:ser>
          <c:idx val="4"/>
          <c:order val="4"/>
          <c:tx>
            <c:strRef>
              <c:f>Résultats!$A$61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Résultats!$Y$61:$AB$61</c:f>
              <c:numCache>
                <c:formatCode>#,##0</c:formatCode>
                <c:ptCount val="4"/>
                <c:pt idx="0">
                  <c:v>1294.6736683610477</c:v>
                </c:pt>
                <c:pt idx="1">
                  <c:v>1799.0293510602953</c:v>
                </c:pt>
                <c:pt idx="2">
                  <c:v>2297.5208873624133</c:v>
                </c:pt>
                <c:pt idx="3">
                  <c:v>3074.7129915548476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27-4539-AA67-0F702B6837F5}"/>
            </c:ext>
          </c:extLst>
        </c:ser>
        <c:ser>
          <c:idx val="5"/>
          <c:order val="5"/>
          <c:tx>
            <c:strRef>
              <c:f>Résultats!$A$62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Résultats!$Y$62:$AB$62</c:f>
              <c:numCache>
                <c:formatCode>#,##0</c:formatCode>
                <c:ptCount val="4"/>
                <c:pt idx="0">
                  <c:v>14607.452993119286</c:v>
                </c:pt>
                <c:pt idx="1">
                  <c:v>9539.9969199729494</c:v>
                </c:pt>
                <c:pt idx="2">
                  <c:v>5615.8800427847891</c:v>
                </c:pt>
                <c:pt idx="3">
                  <c:v>4770.5674859576711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27-4539-AA67-0F702B6837F5}"/>
            </c:ext>
          </c:extLst>
        </c:ser>
        <c:ser>
          <c:idx val="6"/>
          <c:order val="6"/>
          <c:tx>
            <c:strRef>
              <c:f>Résultats!$A$63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Résultats!$Y$63:$AB$63</c:f>
              <c:numCache>
                <c:formatCode>#,##0</c:formatCode>
                <c:ptCount val="4"/>
                <c:pt idx="0">
                  <c:v>2975.3947624956104</c:v>
                </c:pt>
                <c:pt idx="1">
                  <c:v>11422.844569805307</c:v>
                </c:pt>
                <c:pt idx="2">
                  <c:v>16878.929176102607</c:v>
                </c:pt>
                <c:pt idx="3">
                  <c:v>19771.464602507902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27-4539-AA67-0F702B683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suivant le décret en GWh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Résultats!$A$81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Résultats!$Y$81:$AB$81</c:f>
              <c:numCache>
                <c:formatCode>#,##0</c:formatCode>
                <c:ptCount val="4"/>
                <c:pt idx="0">
                  <c:v>15677.951348786632</c:v>
                </c:pt>
                <c:pt idx="1">
                  <c:v>1262.4677419521072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7-4BDC-9271-374D7BB41563}"/>
            </c:ext>
          </c:extLst>
        </c:ser>
        <c:ser>
          <c:idx val="1"/>
          <c:order val="1"/>
          <c:tx>
            <c:strRef>
              <c:f>Résultats!$A$82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Résultats!$Y$82:$AB$82</c:f>
              <c:numCache>
                <c:formatCode>#,##0</c:formatCode>
                <c:ptCount val="4"/>
                <c:pt idx="0">
                  <c:v>49305.068395925598</c:v>
                </c:pt>
                <c:pt idx="1">
                  <c:v>36264.477532485173</c:v>
                </c:pt>
                <c:pt idx="2">
                  <c:v>18424.760352637288</c:v>
                </c:pt>
                <c:pt idx="3">
                  <c:v>4958.0539034633202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7-4BDC-9271-374D7BB41563}"/>
            </c:ext>
          </c:extLst>
        </c:ser>
        <c:ser>
          <c:idx val="2"/>
          <c:order val="2"/>
          <c:tx>
            <c:strRef>
              <c:f>Résultats!$A$83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Résultats!$Y$83:$AB$83</c:f>
              <c:numCache>
                <c:formatCode>#,##0</c:formatCode>
                <c:ptCount val="4"/>
                <c:pt idx="0">
                  <c:v>6576.8119096490082</c:v>
                </c:pt>
                <c:pt idx="1">
                  <c:v>12216.240996504652</c:v>
                </c:pt>
                <c:pt idx="2">
                  <c:v>13378.21347567297</c:v>
                </c:pt>
                <c:pt idx="3">
                  <c:v>12841.102692948385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7-4BDC-9271-374D7BB41563}"/>
            </c:ext>
          </c:extLst>
        </c:ser>
        <c:ser>
          <c:idx val="3"/>
          <c:order val="3"/>
          <c:tx>
            <c:strRef>
              <c:f>Résultats!$A$84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Résultats!$Y$84:$AB$84</c:f>
              <c:numCache>
                <c:formatCode>#,##0</c:formatCode>
                <c:ptCount val="4"/>
                <c:pt idx="0">
                  <c:v>1122.0413510600783</c:v>
                </c:pt>
                <c:pt idx="1">
                  <c:v>596.06031780197088</c:v>
                </c:pt>
                <c:pt idx="2">
                  <c:v>309.68513993057707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7-4BDC-9271-374D7BB41563}"/>
            </c:ext>
          </c:extLst>
        </c:ser>
        <c:ser>
          <c:idx val="4"/>
          <c:order val="4"/>
          <c:tx>
            <c:strRef>
              <c:f>Résultats!$A$85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Résultats!$Y$85:$AB$85</c:f>
              <c:numCache>
                <c:formatCode>#,##0</c:formatCode>
                <c:ptCount val="4"/>
                <c:pt idx="0">
                  <c:v>1122.8654222832949</c:v>
                </c:pt>
                <c:pt idx="1">
                  <c:v>1454.5619876705118</c:v>
                </c:pt>
                <c:pt idx="2">
                  <c:v>1864.2030149103543</c:v>
                </c:pt>
                <c:pt idx="3">
                  <c:v>2473.9266403655552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7-4BDC-9271-374D7BB41563}"/>
            </c:ext>
          </c:extLst>
        </c:ser>
        <c:ser>
          <c:idx val="5"/>
          <c:order val="5"/>
          <c:tx>
            <c:strRef>
              <c:f>Résultats!$A$86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Résultats!$Y$86:$AB$86</c:f>
              <c:numCache>
                <c:formatCode>#,##0</c:formatCode>
                <c:ptCount val="4"/>
                <c:pt idx="0">
                  <c:v>12624.855913302805</c:v>
                </c:pt>
                <c:pt idx="1">
                  <c:v>8081.2028466867559</c:v>
                </c:pt>
                <c:pt idx="2">
                  <c:v>4803.4712544117619</c:v>
                </c:pt>
                <c:pt idx="3">
                  <c:v>4157.5113571996026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7-4BDC-9271-374D7BB41563}"/>
            </c:ext>
          </c:extLst>
        </c:ser>
        <c:ser>
          <c:idx val="6"/>
          <c:order val="6"/>
          <c:tx>
            <c:strRef>
              <c:f>Résultats!$A$87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Résultats!$Y$87:$AB$87</c:f>
              <c:numCache>
                <c:formatCode>#,##0</c:formatCode>
                <c:ptCount val="4"/>
                <c:pt idx="0">
                  <c:v>2527.148602483825</c:v>
                </c:pt>
                <c:pt idx="1">
                  <c:v>9078.5874596469712</c:v>
                </c:pt>
                <c:pt idx="2">
                  <c:v>14003.30841150595</c:v>
                </c:pt>
                <c:pt idx="3">
                  <c:v>16839.33133878608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7-4BDC-9271-374D7BB41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du parc hors décret en GWh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Résultats!$A$93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Résultats!$Y$93:$AB$93</c:f>
              <c:numCache>
                <c:formatCode>#,##0</c:formatCode>
                <c:ptCount val="4"/>
                <c:pt idx="0">
                  <c:v>1958.4638263552558</c:v>
                </c:pt>
                <c:pt idx="1">
                  <c:v>148.62958358481993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8-41BF-8E5E-FC2D03167088}"/>
            </c:ext>
          </c:extLst>
        </c:ser>
        <c:ser>
          <c:idx val="1"/>
          <c:order val="1"/>
          <c:tx>
            <c:strRef>
              <c:f>Résultats!$A$94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Résultats!$Y$94:$AB$94</c:f>
              <c:numCache>
                <c:formatCode>#,##0</c:formatCode>
                <c:ptCount val="4"/>
                <c:pt idx="0">
                  <c:v>6500.5014222558739</c:v>
                </c:pt>
                <c:pt idx="1">
                  <c:v>5007.2545323600489</c:v>
                </c:pt>
                <c:pt idx="2">
                  <c:v>2731.5337542600478</c:v>
                </c:pt>
                <c:pt idx="3">
                  <c:v>738.80071051777111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8-41BF-8E5E-FC2D03167088}"/>
            </c:ext>
          </c:extLst>
        </c:ser>
        <c:ser>
          <c:idx val="2"/>
          <c:order val="2"/>
          <c:tx>
            <c:strRef>
              <c:f>Résultats!$A$95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Résultats!$Y$95:$AB$95</c:f>
              <c:numCache>
                <c:formatCode>#,##0</c:formatCode>
                <c:ptCount val="4"/>
                <c:pt idx="0">
                  <c:v>828.77042655980381</c:v>
                </c:pt>
                <c:pt idx="1">
                  <c:v>1729.5923783732455</c:v>
                </c:pt>
                <c:pt idx="2">
                  <c:v>2166.5327814169841</c:v>
                </c:pt>
                <c:pt idx="3">
                  <c:v>2268.5550789167792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8-41BF-8E5E-FC2D03167088}"/>
            </c:ext>
          </c:extLst>
        </c:ser>
        <c:ser>
          <c:idx val="3"/>
          <c:order val="3"/>
          <c:tx>
            <c:strRef>
              <c:f>Résultats!$A$96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Résultats!$Y$96:$AB$96</c:f>
              <c:numCache>
                <c:formatCode>#,##0</c:formatCode>
                <c:ptCount val="4"/>
                <c:pt idx="0">
                  <c:v>150.53732937394653</c:v>
                </c:pt>
                <c:pt idx="1">
                  <c:v>91.961003463984241</c:v>
                </c:pt>
                <c:pt idx="2">
                  <c:v>47.619275982460785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8-41BF-8E5E-FC2D03167088}"/>
            </c:ext>
          </c:extLst>
        </c:ser>
        <c:ser>
          <c:idx val="4"/>
          <c:order val="4"/>
          <c:tx>
            <c:strRef>
              <c:f>Résultats!$A$97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Résultats!$Y$97:$AB$97</c:f>
              <c:numCache>
                <c:formatCode>#,##0</c:formatCode>
                <c:ptCount val="4"/>
                <c:pt idx="0">
                  <c:v>171.80824607775244</c:v>
                </c:pt>
                <c:pt idx="1">
                  <c:v>222.7834502447312</c:v>
                </c:pt>
                <c:pt idx="2">
                  <c:v>291.11526134109982</c:v>
                </c:pt>
                <c:pt idx="3">
                  <c:v>430.90688771250166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8-41BF-8E5E-FC2D03167088}"/>
            </c:ext>
          </c:extLst>
        </c:ser>
        <c:ser>
          <c:idx val="5"/>
          <c:order val="5"/>
          <c:tx>
            <c:strRef>
              <c:f>Résultats!$A$98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Résultats!$Y$98:$AB$98</c:f>
              <c:numCache>
                <c:formatCode>#,##0</c:formatCode>
                <c:ptCount val="4"/>
                <c:pt idx="0">
                  <c:v>1982.5970798164833</c:v>
                </c:pt>
                <c:pt idx="1">
                  <c:v>1047.67366667031</c:v>
                </c:pt>
                <c:pt idx="2">
                  <c:v>711.80498188046329</c:v>
                </c:pt>
                <c:pt idx="3">
                  <c:v>585.00394614614208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8-41BF-8E5E-FC2D03167088}"/>
            </c:ext>
          </c:extLst>
        </c:ser>
        <c:ser>
          <c:idx val="6"/>
          <c:order val="6"/>
          <c:tx>
            <c:strRef>
              <c:f>Résultats!$A$99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Résultats!$Y$99:$AB$99</c:f>
              <c:numCache>
                <c:formatCode>#,##0</c:formatCode>
                <c:ptCount val="4"/>
                <c:pt idx="0">
                  <c:v>448.24616001178532</c:v>
                </c:pt>
                <c:pt idx="1">
                  <c:v>1291.395074758743</c:v>
                </c:pt>
                <c:pt idx="2">
                  <c:v>1895.5744970827191</c:v>
                </c:pt>
                <c:pt idx="3">
                  <c:v>2138.2187809710877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F8-41BF-8E5E-FC2D03167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Résultats!$A$29</c:f>
              <c:strCache>
                <c:ptCount val="1"/>
                <c:pt idx="0">
                  <c:v>Chauffage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Résultats!$B$28:$E$28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Résultats!$B$29:$E$29</c:f>
              <c:numCache>
                <c:formatCode>#,##0</c:formatCode>
                <c:ptCount val="4"/>
                <c:pt idx="0">
                  <c:v>100997.66743394214</c:v>
                </c:pt>
                <c:pt idx="1">
                  <c:v>82779.17705973344</c:v>
                </c:pt>
                <c:pt idx="2">
                  <c:v>75656.355117339903</c:v>
                </c:pt>
                <c:pt idx="3">
                  <c:v>66876.447749426385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D-4947-BA4A-E39F1E48E90D}"/>
            </c:ext>
          </c:extLst>
        </c:ser>
        <c:ser>
          <c:idx val="1"/>
          <c:order val="1"/>
          <c:tx>
            <c:strRef>
              <c:f>Résultats!$A$30</c:f>
              <c:strCache>
                <c:ptCount val="1"/>
                <c:pt idx="0">
                  <c:v>Hors chauffage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Résultats!$B$28:$E$28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Résultats!$B$30:$E$30</c:f>
              <c:numCache>
                <c:formatCode>#,##0</c:formatCode>
                <c:ptCount val="4"/>
                <c:pt idx="0">
                  <c:v>158828.24117655741</c:v>
                </c:pt>
                <c:pt idx="1">
                  <c:v>163798.85340304166</c:v>
                </c:pt>
                <c:pt idx="2">
                  <c:v>185016.60117107874</c:v>
                </c:pt>
                <c:pt idx="3">
                  <c:v>213980.16858048382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D-4947-BA4A-E39F1E48E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118207"/>
        <c:axId val="1895409135"/>
      </c:areaChart>
      <c:catAx>
        <c:axId val="164811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5409135"/>
        <c:crosses val="autoZero"/>
        <c:auto val="1"/>
        <c:lblAlgn val="ctr"/>
        <c:lblOffset val="100"/>
        <c:noMultiLvlLbl val="0"/>
      </c:catAx>
      <c:valAx>
        <c:axId val="1895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8118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Résultats!$A$29</c:f>
              <c:strCache>
                <c:ptCount val="1"/>
                <c:pt idx="0">
                  <c:v>Chauffage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Résultats!$Y$28:$AB$28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Résultats!$Y$29:$AB$29</c:f>
              <c:numCache>
                <c:formatCode>#,##0</c:formatCode>
                <c:ptCount val="4"/>
                <c:pt idx="0">
                  <c:v>100997.66743394214</c:v>
                </c:pt>
                <c:pt idx="1">
                  <c:v>81212.66551707538</c:v>
                </c:pt>
                <c:pt idx="2">
                  <c:v>62773.85819321555</c:v>
                </c:pt>
                <c:pt idx="3">
                  <c:v>49069.08526701892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1-4B0B-9399-400D1379574E}"/>
            </c:ext>
          </c:extLst>
        </c:ser>
        <c:ser>
          <c:idx val="1"/>
          <c:order val="1"/>
          <c:tx>
            <c:strRef>
              <c:f>Résultats!$A$30</c:f>
              <c:strCache>
                <c:ptCount val="1"/>
                <c:pt idx="0">
                  <c:v>Hors chauffage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Résultats!$Y$28:$AB$28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Résultats!$Y$30:$AB$30</c:f>
              <c:numCache>
                <c:formatCode>#,##0</c:formatCode>
                <c:ptCount val="4"/>
                <c:pt idx="0">
                  <c:v>151855.23907705076</c:v>
                </c:pt>
                <c:pt idx="1">
                  <c:v>130305.86626704002</c:v>
                </c:pt>
                <c:pt idx="2">
                  <c:v>123681.66990754718</c:v>
                </c:pt>
                <c:pt idx="3">
                  <c:v>120626.19991206576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11-4B0B-9399-400D13795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118207"/>
        <c:axId val="1895409135"/>
      </c:areaChart>
      <c:catAx>
        <c:axId val="164811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5409135"/>
        <c:crosses val="autoZero"/>
        <c:auto val="1"/>
        <c:lblAlgn val="ctr"/>
        <c:lblOffset val="100"/>
        <c:noMultiLvlLbl val="0"/>
      </c:catAx>
      <c:valAx>
        <c:axId val="1895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8118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4759405074366"/>
          <c:y val="5.0925925925925923E-2"/>
          <c:w val="0.85219685039370074"/>
          <c:h val="0.683686934966462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Résultats!$A$34</c:f>
              <c:strCache>
                <c:ptCount val="1"/>
                <c:pt idx="0">
                  <c:v>Energie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3-4B03-81FB-0333B09A8D98}"/>
            </c:ext>
          </c:extLst>
        </c:ser>
        <c:ser>
          <c:idx val="1"/>
          <c:order val="1"/>
          <c:tx>
            <c:strRef>
              <c:f>Résultats!$A$35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Résultats!$B$35:$E$35</c:f>
              <c:numCache>
                <c:formatCode>#,##0</c:formatCode>
                <c:ptCount val="4"/>
                <c:pt idx="0">
                  <c:v>22595.21120051519</c:v>
                </c:pt>
                <c:pt idx="1">
                  <c:v>16467.226494066581</c:v>
                </c:pt>
                <c:pt idx="2">
                  <c:v>13527.856442167027</c:v>
                </c:pt>
                <c:pt idx="3">
                  <c:v>10756.58989531611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3-4B03-81FB-0333B09A8D98}"/>
            </c:ext>
          </c:extLst>
        </c:ser>
        <c:ser>
          <c:idx val="2"/>
          <c:order val="2"/>
          <c:tx>
            <c:strRef>
              <c:f>Résultats!$A$36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Résultats!$B$36:$E$36</c:f>
              <c:numCache>
                <c:formatCode>#,##0</c:formatCode>
                <c:ptCount val="4"/>
                <c:pt idx="0">
                  <c:v>72724.001974812665</c:v>
                </c:pt>
                <c:pt idx="1">
                  <c:v>59107.143599473755</c:v>
                </c:pt>
                <c:pt idx="2">
                  <c:v>54381.501280066455</c:v>
                </c:pt>
                <c:pt idx="3">
                  <c:v>48964.706450822312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63-4B03-81FB-0333B09A8D98}"/>
            </c:ext>
          </c:extLst>
        </c:ser>
        <c:ser>
          <c:idx val="3"/>
          <c:order val="3"/>
          <c:tx>
            <c:strRef>
              <c:f>Résultats!$A$37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Résultats!$B$37:$E$37</c:f>
              <c:numCache>
                <c:formatCode>#,##0</c:formatCode>
                <c:ptCount val="4"/>
                <c:pt idx="0">
                  <c:v>8956.0754726763971</c:v>
                </c:pt>
                <c:pt idx="1">
                  <c:v>8753.9663150461474</c:v>
                </c:pt>
                <c:pt idx="2">
                  <c:v>8305.5385010957034</c:v>
                </c:pt>
                <c:pt idx="3">
                  <c:v>7473.4207509827047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63-4B03-81FB-0333B09A8D98}"/>
            </c:ext>
          </c:extLst>
        </c:ser>
        <c:ser>
          <c:idx val="4"/>
          <c:order val="4"/>
          <c:tx>
            <c:strRef>
              <c:f>Résultats!$A$38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Résultats!$B$38:$E$38</c:f>
              <c:numCache>
                <c:formatCode>#,##0</c:formatCode>
                <c:ptCount val="4"/>
                <c:pt idx="0">
                  <c:v>1272.5786804340246</c:v>
                </c:pt>
                <c:pt idx="1">
                  <c:v>1096.1877318231943</c:v>
                </c:pt>
                <c:pt idx="2">
                  <c:v>1044.2803407172721</c:v>
                </c:pt>
                <c:pt idx="3">
                  <c:v>969.07550599965407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63-4B03-81FB-0333B09A8D98}"/>
            </c:ext>
          </c:extLst>
        </c:ser>
        <c:ser>
          <c:idx val="5"/>
          <c:order val="5"/>
          <c:tx>
            <c:strRef>
              <c:f>Résultats!$A$39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Résultats!$B$39:$E$39</c:f>
              <c:numCache>
                <c:formatCode>#,##0</c:formatCode>
                <c:ptCount val="4"/>
                <c:pt idx="0">
                  <c:v>1509.2890182714991</c:v>
                </c:pt>
                <c:pt idx="1">
                  <c:v>1539.1784578563154</c:v>
                </c:pt>
                <c:pt idx="2">
                  <c:v>1625.3271270041228</c:v>
                </c:pt>
                <c:pt idx="3">
                  <c:v>1663.1942136168313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63-4B03-81FB-0333B09A8D98}"/>
            </c:ext>
          </c:extLst>
        </c:ser>
        <c:ser>
          <c:idx val="6"/>
          <c:order val="6"/>
          <c:tx>
            <c:strRef>
              <c:f>Résultats!$A$40</c:f>
              <c:strCache>
                <c:ptCount val="1"/>
                <c:pt idx="0">
                  <c:v>Electricité (PAC incluses)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Résultats!$B$40:$E$40</c:f>
              <c:numCache>
                <c:formatCode>#,##0</c:formatCode>
                <c:ptCount val="4"/>
                <c:pt idx="0">
                  <c:v>152768.75226378979</c:v>
                </c:pt>
                <c:pt idx="1">
                  <c:v>159614.32786450916</c:v>
                </c:pt>
                <c:pt idx="2">
                  <c:v>181788.45259736807</c:v>
                </c:pt>
                <c:pt idx="3">
                  <c:v>211029.62951317258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63-4B03-81FB-0333B09A8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548031"/>
        <c:axId val="1727546783"/>
      </c:barChart>
      <c:catAx>
        <c:axId val="172754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546783"/>
        <c:crosses val="autoZero"/>
        <c:auto val="1"/>
        <c:lblAlgn val="ctr"/>
        <c:lblOffset val="100"/>
        <c:noMultiLvlLbl val="0"/>
      </c:catAx>
      <c:valAx>
        <c:axId val="172754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54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824803149606284E-2"/>
          <c:y val="0.82349372995042291"/>
          <c:w val="0.87490594925634291"/>
          <c:h val="0.148728492271799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48067962486376"/>
          <c:y val="5.3528001045271202E-2"/>
          <c:w val="0.85190302106388238"/>
          <c:h val="0.623729333103435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Résultats!$X$34</c:f>
              <c:strCache>
                <c:ptCount val="1"/>
                <c:pt idx="0">
                  <c:v>Energie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F-45B1-977A-EEA61785EC9F}"/>
            </c:ext>
          </c:extLst>
        </c:ser>
        <c:ser>
          <c:idx val="1"/>
          <c:order val="1"/>
          <c:tx>
            <c:strRef>
              <c:f>Résultats!$X$35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Résultats!$Y$35:$AB$35</c:f>
              <c:numCache>
                <c:formatCode>#,##0</c:formatCode>
                <c:ptCount val="4"/>
                <c:pt idx="0">
                  <c:v>22595.21120051519</c:v>
                </c:pt>
                <c:pt idx="1">
                  <c:v>1655.6173484742862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F-45B1-977A-EEA61785EC9F}"/>
            </c:ext>
          </c:extLst>
        </c:ser>
        <c:ser>
          <c:idx val="2"/>
          <c:order val="2"/>
          <c:tx>
            <c:strRef>
              <c:f>Résultats!$X$36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Résultats!$Y$36:$AB$36</c:f>
              <c:numCache>
                <c:formatCode>#,##0</c:formatCode>
                <c:ptCount val="4"/>
                <c:pt idx="0">
                  <c:v>72856.92088779372</c:v>
                </c:pt>
                <c:pt idx="1">
                  <c:v>51071.615911705252</c:v>
                </c:pt>
                <c:pt idx="2">
                  <c:v>25963.739370198418</c:v>
                </c:pt>
                <c:pt idx="3">
                  <c:v>7104.0709646472214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F-45B1-977A-EEA61785EC9F}"/>
            </c:ext>
          </c:extLst>
        </c:ser>
        <c:ser>
          <c:idx val="3"/>
          <c:order val="3"/>
          <c:tx>
            <c:strRef>
              <c:f>Résultats!$X$37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Résultats!$Y$37:$AB$37</c:f>
              <c:numCache>
                <c:formatCode>#,##0</c:formatCode>
                <c:ptCount val="4"/>
                <c:pt idx="0">
                  <c:v>8956.0754726763953</c:v>
                </c:pt>
                <c:pt idx="1">
                  <c:v>18485.672864157474</c:v>
                </c:pt>
                <c:pt idx="2">
                  <c:v>19824.186140330257</c:v>
                </c:pt>
                <c:pt idx="3">
                  <c:v>18758.833083694441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BF-45B1-977A-EEA61785EC9F}"/>
            </c:ext>
          </c:extLst>
        </c:ser>
        <c:ser>
          <c:idx val="4"/>
          <c:order val="4"/>
          <c:tx>
            <c:strRef>
              <c:f>Résultats!$X$38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Résultats!$Y$38:$AB$38</c:f>
              <c:numCache>
                <c:formatCode>#,##0</c:formatCode>
                <c:ptCount val="4"/>
                <c:pt idx="0">
                  <c:v>1272.578680434025</c:v>
                </c:pt>
                <c:pt idx="1">
                  <c:v>763.58375558271553</c:v>
                </c:pt>
                <c:pt idx="2">
                  <c:v>418.76061780507041</c:v>
                </c:pt>
                <c:pt idx="3">
                  <c:v>42.847815085769014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BF-45B1-977A-EEA61785EC9F}"/>
            </c:ext>
          </c:extLst>
        </c:ser>
        <c:ser>
          <c:idx val="5"/>
          <c:order val="5"/>
          <c:tx>
            <c:strRef>
              <c:f>Résultats!$X$39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Résultats!$Y$39:$AB$39</c:f>
              <c:numCache>
                <c:formatCode>#,##0</c:formatCode>
                <c:ptCount val="4"/>
                <c:pt idx="0">
                  <c:v>1509.2890182714993</c:v>
                </c:pt>
                <c:pt idx="1">
                  <c:v>2462.1507699560098</c:v>
                </c:pt>
                <c:pt idx="2">
                  <c:v>2831.1894581985521</c:v>
                </c:pt>
                <c:pt idx="3">
                  <c:v>3511.0257949634315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BF-45B1-977A-EEA61785EC9F}"/>
            </c:ext>
          </c:extLst>
        </c:ser>
        <c:ser>
          <c:idx val="6"/>
          <c:order val="6"/>
          <c:tx>
            <c:strRef>
              <c:f>Résultats!$X$40</c:f>
              <c:strCache>
                <c:ptCount val="1"/>
                <c:pt idx="0">
                  <c:v>Electricité (PAC incluses)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Résultats!$Y$40:$AB$40</c:f>
              <c:numCache>
                <c:formatCode>#,##0</c:formatCode>
                <c:ptCount val="4"/>
                <c:pt idx="0">
                  <c:v>145662.83125130209</c:v>
                </c:pt>
                <c:pt idx="1">
                  <c:v>136977.6224843802</c:v>
                </c:pt>
                <c:pt idx="2">
                  <c:v>137236.71449904685</c:v>
                </c:pt>
                <c:pt idx="3">
                  <c:v>140049.27998551042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BF-45B1-977A-EEA61785E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9923087"/>
        <c:axId val="1649920591"/>
      </c:barChart>
      <c:catAx>
        <c:axId val="164992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920591"/>
        <c:crosses val="autoZero"/>
        <c:auto val="1"/>
        <c:lblAlgn val="ctr"/>
        <c:lblOffset val="100"/>
        <c:noMultiLvlLbl val="0"/>
      </c:catAx>
      <c:valAx>
        <c:axId val="164992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92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685218420010485E-2"/>
          <c:y val="0.75608100082380203"/>
          <c:w val="0.82932914362682386"/>
          <c:h val="0.21958818307112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hors chauffage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Résultats!$A$114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Résultats!$B$114:$E$114</c:f>
              <c:numCache>
                <c:formatCode>_-* #\ ##0_-;\-* #\ ##0_-;_-* "-"??_-;_-@_-</c:formatCode>
                <c:ptCount val="4"/>
                <c:pt idx="0">
                  <c:v>135185.90450817489</c:v>
                </c:pt>
                <c:pt idx="1">
                  <c:v>143571.48465130985</c:v>
                </c:pt>
                <c:pt idx="2">
                  <c:v>166296.47997488041</c:v>
                </c:pt>
                <c:pt idx="3">
                  <c:v>196606.62358904525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9-4E0F-8169-7D149F47CDAC}"/>
            </c:ext>
          </c:extLst>
        </c:ser>
        <c:ser>
          <c:idx val="1"/>
          <c:order val="1"/>
          <c:tx>
            <c:strRef>
              <c:f>Résultats!$A$115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Résultats!$B$115:$E$115</c:f>
              <c:numCache>
                <c:formatCode>_-* #\ ##0_-;\-* #\ ##0_-;_-* "-"??_-;_-@_-</c:formatCode>
                <c:ptCount val="4"/>
                <c:pt idx="0">
                  <c:v>16918.432156631196</c:v>
                </c:pt>
                <c:pt idx="1">
                  <c:v>14402.066372549833</c:v>
                </c:pt>
                <c:pt idx="2">
                  <c:v>13527.232268561685</c:v>
                </c:pt>
                <c:pt idx="3">
                  <c:v>12627.611524259042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9-4E0F-8169-7D149F47CDAC}"/>
            </c:ext>
          </c:extLst>
        </c:ser>
        <c:ser>
          <c:idx val="2"/>
          <c:order val="2"/>
          <c:tx>
            <c:strRef>
              <c:f>Résultats!$A$116</c:f>
              <c:strCache>
                <c:ptCount val="1"/>
                <c:pt idx="0">
                  <c:v>Pétrole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Résultats!$B$116:$E$116</c:f>
              <c:numCache>
                <c:formatCode>_-* #\ ##0_-;\-* #\ ##0_-;_-* "-"??_-;_-@_-</c:formatCode>
                <c:ptCount val="4"/>
                <c:pt idx="0">
                  <c:v>4958.7960253733008</c:v>
                </c:pt>
                <c:pt idx="1">
                  <c:v>3883.0438834044844</c:v>
                </c:pt>
                <c:pt idx="2">
                  <c:v>3298.4830966687159</c:v>
                </c:pt>
                <c:pt idx="3">
                  <c:v>2934.6220514475667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19-4E0F-8169-7D149F47CDAC}"/>
            </c:ext>
          </c:extLst>
        </c:ser>
        <c:ser>
          <c:idx val="3"/>
          <c:order val="3"/>
          <c:tx>
            <c:strRef>
              <c:f>Résultats!$A$117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Résultats!$B$117:$E$117</c:f>
              <c:numCache>
                <c:formatCode>_-* #\ ##0_-;\-* #\ ##0_-;_-* "-"??_-;_-@_-</c:formatCode>
                <c:ptCount val="4"/>
                <c:pt idx="0">
                  <c:v>214.6153499104517</c:v>
                </c:pt>
                <c:pt idx="1">
                  <c:v>237.24516632789317</c:v>
                </c:pt>
                <c:pt idx="2">
                  <c:v>247.32151527102963</c:v>
                </c:pt>
                <c:pt idx="3">
                  <c:v>253.94561321281111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19-4E0F-8169-7D149F47CDAC}"/>
            </c:ext>
          </c:extLst>
        </c:ser>
        <c:ser>
          <c:idx val="4"/>
          <c:order val="4"/>
          <c:tx>
            <c:strRef>
              <c:f>Résultats!$A$118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Résultats!$B$118:$E$118</c:f>
              <c:numCache>
                <c:formatCode>_-* #\ ##0_-;\-* #\ ##0_-;_-* "-"??_-;_-@_-</c:formatCode>
                <c:ptCount val="4"/>
                <c:pt idx="0">
                  <c:v>1550.4931364675845</c:v>
                </c:pt>
                <c:pt idx="1">
                  <c:v>1705.013329449637</c:v>
                </c:pt>
                <c:pt idx="2">
                  <c:v>1647.084315696889</c:v>
                </c:pt>
                <c:pt idx="3">
                  <c:v>1557.3658025191423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19-4E0F-8169-7D149F47CDAC}"/>
            </c:ext>
          </c:extLst>
        </c:ser>
        <c:ser>
          <c:idx val="5"/>
          <c:order val="5"/>
          <c:tx>
            <c:strRef>
              <c:f>Résultats!$A$119</c:f>
              <c:strCache>
                <c:ptCount val="1"/>
                <c:pt idx="0">
                  <c:v>EnR thermique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Résultats!$B$119:$E$119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19-4E0F-8169-7D149F47C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hors chauffage en GWh AMS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Résultats!$A$114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Résultats!$Y$114:$AB$114</c:f>
              <c:numCache>
                <c:formatCode>_-* #\ ##0_-;\-* #\ ##0_-;_-* "-"??_-;_-@_-</c:formatCode>
                <c:ptCount val="4"/>
                <c:pt idx="0">
                  <c:v>128079.98349568721</c:v>
                </c:pt>
                <c:pt idx="1">
                  <c:v>116014.78099460196</c:v>
                </c:pt>
                <c:pt idx="2">
                  <c:v>114741.90528015945</c:v>
                </c:pt>
                <c:pt idx="3">
                  <c:v>115507.24789704484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D-47E5-92FF-FFC57E95CE96}"/>
            </c:ext>
          </c:extLst>
        </c:ser>
        <c:ser>
          <c:idx val="1"/>
          <c:order val="1"/>
          <c:tx>
            <c:strRef>
              <c:f>Résultats!$A$115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Résultats!$Y$115:$AB$115</c:f>
              <c:numCache>
                <c:formatCode>_-* #\ ##0_-;\-* #\ ##0_-;_-* "-"??_-;_-@_-</c:formatCode>
                <c:ptCount val="4"/>
                <c:pt idx="0">
                  <c:v>17051.351069612236</c:v>
                </c:pt>
                <c:pt idx="1">
                  <c:v>9769.9481421713226</c:v>
                </c:pt>
                <c:pt idx="2">
                  <c:v>4789.0413418723874</c:v>
                </c:pt>
                <c:pt idx="3">
                  <c:v>1396.0196909874151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D-47E5-92FF-FFC57E95CE96}"/>
            </c:ext>
          </c:extLst>
        </c:ser>
        <c:ser>
          <c:idx val="2"/>
          <c:order val="2"/>
          <c:tx>
            <c:strRef>
              <c:f>Résultats!$A$116</c:f>
              <c:strCache>
                <c:ptCount val="1"/>
                <c:pt idx="0">
                  <c:v>Pétrole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Résultats!$Y$116:$AB$116</c:f>
              <c:numCache>
                <c:formatCode>_-* #\ ##0_-;\-* #\ ##0_-;_-* "-"??_-;_-@_-</c:formatCode>
                <c:ptCount val="4"/>
                <c:pt idx="0">
                  <c:v>4958.7960253733008</c:v>
                </c:pt>
                <c:pt idx="1">
                  <c:v>244.5200229373591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D-47E5-92FF-FFC57E95CE96}"/>
            </c:ext>
          </c:extLst>
        </c:ser>
        <c:ser>
          <c:idx val="3"/>
          <c:order val="3"/>
          <c:tx>
            <c:strRef>
              <c:f>Résultats!$A$117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Résultats!$Y$117:$AB$117</c:f>
              <c:numCache>
                <c:formatCode>_-* #\ ##0_-;\-* #\ ##0_-;_-* "-"??_-;_-@_-</c:formatCode>
                <c:ptCount val="4"/>
                <c:pt idx="0">
                  <c:v>214.6153499104517</c:v>
                </c:pt>
                <c:pt idx="1">
                  <c:v>663.01904787483431</c:v>
                </c:pt>
                <c:pt idx="2">
                  <c:v>533.48745170182087</c:v>
                </c:pt>
                <c:pt idx="3">
                  <c:v>436.08334641640846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CD-47E5-92FF-FFC57E95CE96}"/>
            </c:ext>
          </c:extLst>
        </c:ser>
        <c:ser>
          <c:idx val="4"/>
          <c:order val="4"/>
          <c:tx>
            <c:strRef>
              <c:f>Résultats!$A$118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Résultats!$Y$118:$AB$118</c:f>
              <c:numCache>
                <c:formatCode>_-* #\ ##0_-;\-* #\ ##0_-;_-* "-"??_-;_-@_-</c:formatCode>
                <c:ptCount val="4"/>
                <c:pt idx="0">
                  <c:v>1550.4931364675845</c:v>
                </c:pt>
                <c:pt idx="1">
                  <c:v>3511.2270385742158</c:v>
                </c:pt>
                <c:pt idx="2">
                  <c:v>3436.1166994956225</c:v>
                </c:pt>
                <c:pt idx="3">
                  <c:v>3057.3919854415244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CD-47E5-92FF-FFC57E95CE96}"/>
            </c:ext>
          </c:extLst>
        </c:ser>
        <c:ser>
          <c:idx val="5"/>
          <c:order val="5"/>
          <c:tx>
            <c:strRef>
              <c:f>Résultats!$A$119</c:f>
              <c:strCache>
                <c:ptCount val="1"/>
                <c:pt idx="0">
                  <c:v>EnR thermique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Résultats!$Y$119:$AB$119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0.10237102088032506</c:v>
                </c:pt>
                <c:pt idx="2">
                  <c:v>0.18111913431789947</c:v>
                </c:pt>
                <c:pt idx="3">
                  <c:v>0.22945699217555426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CD-47E5-92FF-FFC57E95C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Résultats!$A$132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Résultats!$B$131:$E$131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Résultats!$B$132:$E$132</c:f>
              <c:numCache>
                <c:formatCode>_-* #\ ##0_-;\-* #\ ##0_-;_-* "-"??_-;_-@_-</c:formatCode>
                <c:ptCount val="4"/>
                <c:pt idx="0">
                  <c:v>6.1222742263570664</c:v>
                </c:pt>
                <c:pt idx="1">
                  <c:v>4.4618691743810457</c:v>
                </c:pt>
                <c:pt idx="2">
                  <c:v>3.6654336221406592</c:v>
                </c:pt>
                <c:pt idx="3">
                  <c:v>2.9145464716030243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8-48A5-8AAF-BB76D8FE5F8B}"/>
            </c:ext>
          </c:extLst>
        </c:ser>
        <c:ser>
          <c:idx val="1"/>
          <c:order val="1"/>
          <c:tx>
            <c:strRef>
              <c:f>Résultats!$A$133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Résultats!$B$131:$E$131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Résultats!$B$133:$E$133</c:f>
              <c:numCache>
                <c:formatCode>_-* #\ ##0_-;\-* #\ ##0_-;_-* "-"??_-;_-@_-</c:formatCode>
                <c:ptCount val="4"/>
                <c:pt idx="0">
                  <c:v>14.924105214138644</c:v>
                </c:pt>
                <c:pt idx="1">
                  <c:v>12.129712419996673</c:v>
                </c:pt>
                <c:pt idx="2">
                  <c:v>11.159936537700665</c:v>
                </c:pt>
                <c:pt idx="3">
                  <c:v>10.048325325998642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8-48A5-8AAF-BB76D8FE5F8B}"/>
            </c:ext>
          </c:extLst>
        </c:ser>
        <c:ser>
          <c:idx val="2"/>
          <c:order val="2"/>
          <c:tx>
            <c:strRef>
              <c:f>Résultats!$A$134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Résultats!$B$131:$E$131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Résultats!$B$134:$E$134</c:f>
              <c:numCache>
                <c:formatCode>_-* #\ ##0_-;\-* #\ ##0_-;_-* "-"??_-;_-@_-</c:formatCode>
                <c:ptCount val="4"/>
                <c:pt idx="0">
                  <c:v>1.3434113209014595</c:v>
                </c:pt>
                <c:pt idx="1">
                  <c:v>1.313094947256922</c:v>
                </c:pt>
                <c:pt idx="2">
                  <c:v>1.2458307751643554</c:v>
                </c:pt>
                <c:pt idx="3">
                  <c:v>1.1210131126474054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8-48A5-8AAF-BB76D8FE5F8B}"/>
            </c:ext>
          </c:extLst>
        </c:ser>
        <c:ser>
          <c:idx val="3"/>
          <c:order val="3"/>
          <c:tx>
            <c:strRef>
              <c:f>Résultats!$A$135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Résultats!$B$131:$E$131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Résultats!$B$135:$E$135</c:f>
              <c:numCache>
                <c:formatCode>_-* #\ ##0_-;\-* #\ ##0_-;_-* "-"??_-;_-@_-</c:formatCode>
                <c:ptCount val="4"/>
                <c:pt idx="0">
                  <c:v>0.34481092418623072</c:v>
                </c:pt>
                <c:pt idx="1">
                  <c:v>0.29701700232998635</c:v>
                </c:pt>
                <c:pt idx="2">
                  <c:v>0.28295246095858384</c:v>
                </c:pt>
                <c:pt idx="3">
                  <c:v>0.26257537232669625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8-48A5-8AAF-BB76D8FE5F8B}"/>
            </c:ext>
          </c:extLst>
        </c:ser>
        <c:ser>
          <c:idx val="4"/>
          <c:order val="4"/>
          <c:tx>
            <c:strRef>
              <c:f>Résultats!$A$136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Résultats!$B$131:$E$131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Résultats!$B$136:$E$136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8-48A5-8AAF-BB76D8FE5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66896"/>
        <c:axId val="179362320"/>
      </c:areaChart>
      <c:catAx>
        <c:axId val="17936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2320"/>
        <c:crosses val="autoZero"/>
        <c:auto val="1"/>
        <c:lblAlgn val="ctr"/>
        <c:lblOffset val="100"/>
        <c:noMultiLvlLbl val="0"/>
      </c:catAx>
      <c:valAx>
        <c:axId val="17936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Résultats!$A$132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Résultats!$Y$131:$AB$131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Résultats!$Y$132:$AB$132</c:f>
              <c:numCache>
                <c:formatCode>_-* #\ ##0.0_-;\-* #\ ##0.0_-;_-* "-"??_-;_-@_-</c:formatCode>
                <c:ptCount val="4"/>
                <c:pt idx="0">
                  <c:v>6.1222742263570664</c:v>
                </c:pt>
                <c:pt idx="1">
                  <c:v>0.448596976205411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1-4FE6-BA47-A6E6DCA90DEE}"/>
            </c:ext>
          </c:extLst>
        </c:ser>
        <c:ser>
          <c:idx val="1"/>
          <c:order val="1"/>
          <c:tx>
            <c:strRef>
              <c:f>Résultats!$A$133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Résultats!$Y$131:$AB$131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Résultats!$Y$133:$AB$133</c:f>
              <c:numCache>
                <c:formatCode>_-* #\ ##0.0_-;\-* #\ ##0.0_-;_-* "-"??_-;_-@_-</c:formatCode>
                <c:ptCount val="4"/>
                <c:pt idx="0">
                  <c:v>14.951382258696302</c:v>
                </c:pt>
                <c:pt idx="1">
                  <c:v>10.480696174921002</c:v>
                </c:pt>
                <c:pt idx="2">
                  <c:v>5.3281663218632733</c:v>
                </c:pt>
                <c:pt idx="3">
                  <c:v>1.4578667241363079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91-4FE6-BA47-A6E6DCA90DEE}"/>
            </c:ext>
          </c:extLst>
        </c:ser>
        <c:ser>
          <c:idx val="2"/>
          <c:order val="2"/>
          <c:tx>
            <c:strRef>
              <c:f>Résultats!$A$134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Résultats!$Y$131:$AB$131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Résultats!$Y$134:$AB$134</c:f>
              <c:numCache>
                <c:formatCode>_-* #\ ##0.0_-;\-* #\ ##0.0_-;_-* "-"??_-;_-@_-</c:formatCode>
                <c:ptCount val="4"/>
                <c:pt idx="0">
                  <c:v>1.3434113209014593</c:v>
                </c:pt>
                <c:pt idx="1">
                  <c:v>2.1566618341517052</c:v>
                </c:pt>
                <c:pt idx="2">
                  <c:v>1.5418811442479088</c:v>
                </c:pt>
                <c:pt idx="3">
                  <c:v>0.93794165418472197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91-4FE6-BA47-A6E6DCA90DEE}"/>
            </c:ext>
          </c:extLst>
        </c:ser>
        <c:ser>
          <c:idx val="3"/>
          <c:order val="3"/>
          <c:tx>
            <c:strRef>
              <c:f>Résultats!$A$135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Résultats!$Y$131:$AB$131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Résultats!$Y$135:$AB$135</c:f>
              <c:numCache>
                <c:formatCode>_-* #\ ##0.0_-;\-* #\ ##0.0_-;_-* "-"??_-;_-@_-</c:formatCode>
                <c:ptCount val="4"/>
                <c:pt idx="0">
                  <c:v>0.34481092418623083</c:v>
                </c:pt>
                <c:pt idx="1">
                  <c:v>0.20689645717329705</c:v>
                </c:pt>
                <c:pt idx="2">
                  <c:v>0.11346507517233954</c:v>
                </c:pt>
                <c:pt idx="3">
                  <c:v>1.1609808451329539E-2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91-4FE6-BA47-A6E6DCA90DEE}"/>
            </c:ext>
          </c:extLst>
        </c:ser>
        <c:ser>
          <c:idx val="4"/>
          <c:order val="4"/>
          <c:tx>
            <c:strRef>
              <c:f>Résultats!$A$136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Résultats!$Y$131:$AB$131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Résultats!$Y$136:$AB$136</c:f>
              <c:numCache>
                <c:formatCode>_-* #\ ##0.0_-;\-* #\ ##0.0_-;_-*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91-4FE6-BA47-A6E6DCA90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66896"/>
        <c:axId val="179362320"/>
      </c:areaChart>
      <c:catAx>
        <c:axId val="17936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2320"/>
        <c:crosses val="autoZero"/>
        <c:auto val="1"/>
        <c:lblAlgn val="ctr"/>
        <c:lblOffset val="100"/>
        <c:noMultiLvlLbl val="0"/>
      </c:catAx>
      <c:valAx>
        <c:axId val="17936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Répartition du parc par</a:t>
            </a:r>
            <a:r>
              <a:rPr lang="fr-FR" sz="1200" baseline="0"/>
              <a:t> énergie en AMS (en milliers de m²)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Résultats!$X$155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Résultats!$Y$155:$AB$155</c:f>
              <c:numCache>
                <c:formatCode>_-* #\ ##0_-;\-* #\ ##0_-;_-* "-"??_-;_-@_-</c:formatCode>
                <c:ptCount val="4"/>
                <c:pt idx="0">
                  <c:v>141901.09343289433</c:v>
                </c:pt>
                <c:pt idx="1">
                  <c:v>12854.882597958662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A-4700-9A36-D9EE627EC5FF}"/>
            </c:ext>
          </c:extLst>
        </c:ser>
        <c:ser>
          <c:idx val="1"/>
          <c:order val="1"/>
          <c:tx>
            <c:strRef>
              <c:f>Résultats!$X$156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Résultats!$Y$156:$AB$156</c:f>
              <c:numCache>
                <c:formatCode>_-* #\ ##0_-;\-* #\ ##0_-;_-* "-"??_-;_-@_-</c:formatCode>
                <c:ptCount val="4"/>
                <c:pt idx="0">
                  <c:v>454344.37842089933</c:v>
                </c:pt>
                <c:pt idx="1">
                  <c:v>375798.85805990337</c:v>
                </c:pt>
                <c:pt idx="2">
                  <c:v>221612.02081877773</c:v>
                </c:pt>
                <c:pt idx="3">
                  <c:v>65081.484843831073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A-4700-9A36-D9EE627EC5FF}"/>
            </c:ext>
          </c:extLst>
        </c:ser>
        <c:ser>
          <c:idx val="2"/>
          <c:order val="2"/>
          <c:tx>
            <c:strRef>
              <c:f>Résultats!$X$157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Résultats!$Y$157:$AB$157</c:f>
              <c:numCache>
                <c:formatCode>_-* #\ ##0_-;\-* #\ ##0_-;_-* "-"??_-;_-@_-</c:formatCode>
                <c:ptCount val="4"/>
                <c:pt idx="0">
                  <c:v>71441.245547844053</c:v>
                </c:pt>
                <c:pt idx="1">
                  <c:v>187778.06218926172</c:v>
                </c:pt>
                <c:pt idx="2">
                  <c:v>227415.30910128169</c:v>
                </c:pt>
                <c:pt idx="3">
                  <c:v>236382.27092098337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6A-4700-9A36-D9EE627EC5FF}"/>
            </c:ext>
          </c:extLst>
        </c:ser>
        <c:ser>
          <c:idx val="3"/>
          <c:order val="3"/>
          <c:tx>
            <c:strRef>
              <c:f>Résultats!$X$158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Résultats!$Y$158:$AB$158</c:f>
              <c:numCache>
                <c:formatCode>_-* #\ ##0_-;\-* #\ ##0_-;_-* "-"??_-;_-@_-</c:formatCode>
                <c:ptCount val="4"/>
                <c:pt idx="0">
                  <c:v>14072.698497935504</c:v>
                </c:pt>
                <c:pt idx="1">
                  <c:v>10239.909292832006</c:v>
                </c:pt>
                <c:pt idx="2">
                  <c:v>6168.4832918836091</c:v>
                </c:pt>
                <c:pt idx="3">
                  <c:v>723.61470960254644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6A-4700-9A36-D9EE627EC5FF}"/>
            </c:ext>
          </c:extLst>
        </c:ser>
        <c:ser>
          <c:idx val="4"/>
          <c:order val="4"/>
          <c:tx>
            <c:strRef>
              <c:f>Résultats!$X$159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Résultats!$Y$159:$AB$159</c:f>
              <c:numCache>
                <c:formatCode>_-* #\ ##0_-;\-* #\ ##0_-;_-* "-"??_-;_-@_-</c:formatCode>
                <c:ptCount val="4"/>
                <c:pt idx="0">
                  <c:v>12713.837338469146</c:v>
                </c:pt>
                <c:pt idx="1">
                  <c:v>21889.569103846479</c:v>
                </c:pt>
                <c:pt idx="2">
                  <c:v>32419.239495909082</c:v>
                </c:pt>
                <c:pt idx="3">
                  <c:v>45971.32954744211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6A-4700-9A36-D9EE627EC5FF}"/>
            </c:ext>
          </c:extLst>
        </c:ser>
        <c:ser>
          <c:idx val="5"/>
          <c:order val="5"/>
          <c:tx>
            <c:strRef>
              <c:f>Résultats!$X$160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Résultats!$Y$160:$AB$160</c:f>
              <c:numCache>
                <c:formatCode>_-* #\ ##0_-;\-* #\ ##0_-;_-* "-"??_-;_-@_-</c:formatCode>
                <c:ptCount val="4"/>
                <c:pt idx="0">
                  <c:v>230136.8893728843</c:v>
                </c:pt>
                <c:pt idx="1">
                  <c:v>154514.92716328381</c:v>
                </c:pt>
                <c:pt idx="2">
                  <c:v>108953.71079058354</c:v>
                </c:pt>
                <c:pt idx="3">
                  <c:v>101367.12962952405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6A-4700-9A36-D9EE627EC5FF}"/>
            </c:ext>
          </c:extLst>
        </c:ser>
        <c:ser>
          <c:idx val="6"/>
          <c:order val="6"/>
          <c:tx>
            <c:strRef>
              <c:f>Résultats!$X$161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Résultats!$Y$161:$AB$161</c:f>
              <c:numCache>
                <c:formatCode>_-* #\ ##0_-;\-* #\ ##0_-;_-* "-"??_-;_-@_-</c:formatCode>
                <c:ptCount val="4"/>
                <c:pt idx="0">
                  <c:v>58665.760521050746</c:v>
                </c:pt>
                <c:pt idx="1">
                  <c:v>234717.75133310686</c:v>
                </c:pt>
                <c:pt idx="2">
                  <c:v>400220.52002304565</c:v>
                </c:pt>
                <c:pt idx="3">
                  <c:v>515623.3766493274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6A-4700-9A36-D9EE627E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203679"/>
        <c:axId val="2031204095"/>
      </c:areaChart>
      <c:catAx>
        <c:axId val="203120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4095"/>
        <c:crosses val="autoZero"/>
        <c:auto val="1"/>
        <c:lblAlgn val="ctr"/>
        <c:lblOffset val="100"/>
        <c:noMultiLvlLbl val="0"/>
      </c:catAx>
      <c:valAx>
        <c:axId val="2031204095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3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Répartition du parc par</a:t>
            </a:r>
            <a:r>
              <a:rPr lang="fr-FR" sz="1200" baseline="0"/>
              <a:t> énergie en AMS (en milliers de m²)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Résultats!$H$156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Résultats!$I$156:$L$156</c:f>
              <c:numCache>
                <c:formatCode>_-* #\ ##0_-;\-* #\ ##0_-;_-* "-"??_-;_-@_-</c:formatCode>
                <c:ptCount val="4"/>
                <c:pt idx="0">
                  <c:v>141901.09343289433</c:v>
                </c:pt>
                <c:pt idx="1">
                  <c:v>119795.24600839353</c:v>
                </c:pt>
                <c:pt idx="2">
                  <c:v>106837.52312213337</c:v>
                </c:pt>
                <c:pt idx="3">
                  <c:v>89459.646012257595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E-46EB-B123-592B0EB7EF1A}"/>
            </c:ext>
          </c:extLst>
        </c:ser>
        <c:ser>
          <c:idx val="1"/>
          <c:order val="1"/>
          <c:tx>
            <c:strRef>
              <c:f>Résultats!$H$157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Résultats!$I$157:$L$157</c:f>
              <c:numCache>
                <c:formatCode>_-* #\ ##0_-;\-* #\ ##0_-;_-* "-"??_-;_-@_-</c:formatCode>
                <c:ptCount val="4"/>
                <c:pt idx="0">
                  <c:v>454344.37842089933</c:v>
                </c:pt>
                <c:pt idx="1">
                  <c:v>425698.0135294536</c:v>
                </c:pt>
                <c:pt idx="2">
                  <c:v>424752.27544970828</c:v>
                </c:pt>
                <c:pt idx="3">
                  <c:v>411072.66227964632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E-46EB-B123-592B0EB7EF1A}"/>
            </c:ext>
          </c:extLst>
        </c:ser>
        <c:ser>
          <c:idx val="2"/>
          <c:order val="2"/>
          <c:tx>
            <c:strRef>
              <c:f>Résultats!$H$158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Résultats!$I$158:$L$158</c:f>
              <c:numCache>
                <c:formatCode>_-* #\ ##0_-;\-* #\ ##0_-;_-* "-"??_-;_-@_-</c:formatCode>
                <c:ptCount val="4"/>
                <c:pt idx="0">
                  <c:v>71441.245547844053</c:v>
                </c:pt>
                <c:pt idx="1">
                  <c:v>81560.511200861423</c:v>
                </c:pt>
                <c:pt idx="2">
                  <c:v>82050.115232573749</c:v>
                </c:pt>
                <c:pt idx="3">
                  <c:v>77571.216481423311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4E-46EB-B123-592B0EB7EF1A}"/>
            </c:ext>
          </c:extLst>
        </c:ser>
        <c:ser>
          <c:idx val="3"/>
          <c:order val="3"/>
          <c:tx>
            <c:strRef>
              <c:f>Résultats!$H$159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Résultats!$I$159:$L$159</c:f>
              <c:numCache>
                <c:formatCode>_-* #\ ##0_-;\-* #\ ##0_-;_-* "-"??_-;_-@_-</c:formatCode>
                <c:ptCount val="4"/>
                <c:pt idx="0">
                  <c:v>14072.698497935502</c:v>
                </c:pt>
                <c:pt idx="1">
                  <c:v>14397.688968434337</c:v>
                </c:pt>
                <c:pt idx="2">
                  <c:v>14836.842407550766</c:v>
                </c:pt>
                <c:pt idx="3">
                  <c:v>14844.114596695159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4E-46EB-B123-592B0EB7EF1A}"/>
            </c:ext>
          </c:extLst>
        </c:ser>
        <c:ser>
          <c:idx val="4"/>
          <c:order val="4"/>
          <c:tx>
            <c:strRef>
              <c:f>Résultats!$H$160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Résultats!$I$160:$L$160</c:f>
              <c:numCache>
                <c:formatCode>_-* #\ ##0_-;\-* #\ ##0_-;_-* "-"??_-;_-@_-</c:formatCode>
                <c:ptCount val="4"/>
                <c:pt idx="0">
                  <c:v>12713.837338469146</c:v>
                </c:pt>
                <c:pt idx="1">
                  <c:v>14667.798089274911</c:v>
                </c:pt>
                <c:pt idx="2">
                  <c:v>16053.693516742846</c:v>
                </c:pt>
                <c:pt idx="3">
                  <c:v>17005.877321405918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4E-46EB-B123-592B0EB7EF1A}"/>
            </c:ext>
          </c:extLst>
        </c:ser>
        <c:ser>
          <c:idx val="5"/>
          <c:order val="5"/>
          <c:tx>
            <c:strRef>
              <c:f>Résultats!$H$161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Résultats!$I$161:$L$161</c:f>
              <c:numCache>
                <c:formatCode>_-* #\ ##0_-;\-* #\ ##0_-;_-* "-"??_-;_-@_-</c:formatCode>
                <c:ptCount val="4"/>
                <c:pt idx="0">
                  <c:v>230136.8893728843</c:v>
                </c:pt>
                <c:pt idx="1">
                  <c:v>197786.28475220225</c:v>
                </c:pt>
                <c:pt idx="2">
                  <c:v>172616.25557423016</c:v>
                </c:pt>
                <c:pt idx="3">
                  <c:v>139920.91422536096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4E-46EB-B123-592B0EB7EF1A}"/>
            </c:ext>
          </c:extLst>
        </c:ser>
        <c:ser>
          <c:idx val="6"/>
          <c:order val="6"/>
          <c:tx>
            <c:strRef>
              <c:f>Résultats!$H$162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Résultats!$I$162:$L$162</c:f>
              <c:numCache>
                <c:formatCode>_-* #\ ##0_-;\-* #\ ##0_-;_-* "-"??_-;_-@_-</c:formatCode>
                <c:ptCount val="4"/>
                <c:pt idx="0">
                  <c:v>58665.760521050746</c:v>
                </c:pt>
                <c:pt idx="1">
                  <c:v>148376.85497280321</c:v>
                </c:pt>
                <c:pt idx="2">
                  <c:v>203668.18796500482</c:v>
                </c:pt>
                <c:pt idx="3">
                  <c:v>259565.63894468066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4E-46EB-B123-592B0EB7E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203679"/>
        <c:axId val="2031204095"/>
      </c:areaChart>
      <c:catAx>
        <c:axId val="203120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4095"/>
        <c:crosses val="autoZero"/>
        <c:auto val="1"/>
        <c:lblAlgn val="ctr"/>
        <c:lblOffset val="100"/>
        <c:noMultiLvlLbl val="0"/>
      </c:catAx>
      <c:valAx>
        <c:axId val="2031204095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3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Résultats!$Y$24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Résultats!$Z$8:$AC$8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Résultats!$Z$24:$AC$24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943305.87487551966</c:v>
                </c:pt>
                <c:pt idx="2">
                  <c:v>954650.08370665286</c:v>
                </c:pt>
                <c:pt idx="3">
                  <c:v>931004.81064076687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80-498B-9660-A9649E434D01}"/>
            </c:ext>
          </c:extLst>
        </c:ser>
        <c:ser>
          <c:idx val="0"/>
          <c:order val="1"/>
          <c:tx>
            <c:strRef>
              <c:f>Résultats!$Y$23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Résultats!$Z$8:$AC$8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Résultats!$Z$23:$AC$23</c:f>
              <c:numCache>
                <c:formatCode>#,##0</c:formatCode>
                <c:ptCount val="4"/>
                <c:pt idx="0">
                  <c:v>0</c:v>
                </c:pt>
                <c:pt idx="1">
                  <c:v>54508.804549841887</c:v>
                </c:pt>
                <c:pt idx="2">
                  <c:v>43094.231129653381</c:v>
                </c:pt>
                <c:pt idx="3">
                  <c:v>33683.415838559042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80-498B-9660-A9649E434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51312"/>
        <c:axId val="1814052976"/>
      </c:areaChart>
      <c:catAx>
        <c:axId val="181405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4052976"/>
        <c:crosses val="autoZero"/>
        <c:auto val="1"/>
        <c:lblAlgn val="ctr"/>
        <c:lblOffset val="100"/>
        <c:noMultiLvlLbl val="0"/>
      </c:catAx>
      <c:valAx>
        <c:axId val="1814052976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milliers de</a:t>
                </a:r>
                <a:r>
                  <a:rPr lang="fr-FR" baseline="0"/>
                  <a:t> m²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4051312"/>
        <c:crosses val="autoZero"/>
        <c:crossBetween val="midCat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</a:t>
            </a:r>
            <a:r>
              <a:rPr lang="fr-FR" baseline="0"/>
              <a:t> du parc par énergie (Mm²)</a:t>
            </a:r>
            <a:endParaRPr lang="fr-FR"/>
          </a:p>
        </c:rich>
      </c:tx>
      <c:layout>
        <c:manualLayout>
          <c:xMode val="edge"/>
          <c:yMode val="edge"/>
          <c:x val="0.3566158230221223"/>
          <c:y val="1.3250515870231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Résultats!$X$167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Résultats!$Y$167:$AB$167</c:f>
              <c:numCache>
                <c:formatCode>_-* #\ ##0.0_-;\-* #\ ##0.0_-;_-* "-"??_-;_-@_-</c:formatCode>
                <c:ptCount val="4"/>
                <c:pt idx="0">
                  <c:v>141.90109343289433</c:v>
                </c:pt>
                <c:pt idx="1">
                  <c:v>12.854882597958662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3-445F-86B5-09475708041E}"/>
            </c:ext>
          </c:extLst>
        </c:ser>
        <c:ser>
          <c:idx val="1"/>
          <c:order val="1"/>
          <c:tx>
            <c:strRef>
              <c:f>Résultats!$X$168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Résultats!$Y$168:$AB$168</c:f>
              <c:numCache>
                <c:formatCode>_-* #\ ##0.0_-;\-* #\ ##0.0_-;_-* "-"??_-;_-@_-</c:formatCode>
                <c:ptCount val="4"/>
                <c:pt idx="0">
                  <c:v>454.34437842089932</c:v>
                </c:pt>
                <c:pt idx="1">
                  <c:v>375.79885805990335</c:v>
                </c:pt>
                <c:pt idx="2">
                  <c:v>221.61202081877772</c:v>
                </c:pt>
                <c:pt idx="3">
                  <c:v>65.081484843831078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3-445F-86B5-09475708041E}"/>
            </c:ext>
          </c:extLst>
        </c:ser>
        <c:ser>
          <c:idx val="2"/>
          <c:order val="2"/>
          <c:tx>
            <c:strRef>
              <c:f>Résultats!$X$169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96825396825397E-3"/>
                  <c:y val="-3.312628967557885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03-445F-86B5-0947570804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Résultats!$Y$169:$AB$169</c:f>
              <c:numCache>
                <c:formatCode>_-* #\ ##0.0_-;\-* #\ ##0.0_-;_-* "-"??_-;_-@_-</c:formatCode>
                <c:ptCount val="4"/>
                <c:pt idx="0">
                  <c:v>71.441245547844048</c:v>
                </c:pt>
                <c:pt idx="1">
                  <c:v>187.77806218926173</c:v>
                </c:pt>
                <c:pt idx="2">
                  <c:v>227.41530910128168</c:v>
                </c:pt>
                <c:pt idx="3">
                  <c:v>236.38227092098336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3-445F-86B5-09475708041E}"/>
            </c:ext>
          </c:extLst>
        </c:ser>
        <c:ser>
          <c:idx val="5"/>
          <c:order val="3"/>
          <c:tx>
            <c:strRef>
              <c:f>Résultats!$X$172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Résultats!$Y$172:$AB$172</c:f>
              <c:numCache>
                <c:formatCode>_-* #\ ##0.0_-;\-* #\ ##0.0_-;_-* "-"??_-;_-@_-</c:formatCode>
                <c:ptCount val="4"/>
                <c:pt idx="0">
                  <c:v>230.1368893728843</c:v>
                </c:pt>
                <c:pt idx="1">
                  <c:v>154.5149271632838</c:v>
                </c:pt>
                <c:pt idx="2">
                  <c:v>108.95371079058354</c:v>
                </c:pt>
                <c:pt idx="3">
                  <c:v>101.36712962952404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03-445F-86B5-09475708041E}"/>
            </c:ext>
          </c:extLst>
        </c:ser>
        <c:ser>
          <c:idx val="6"/>
          <c:order val="4"/>
          <c:tx>
            <c:strRef>
              <c:f>Résultats!$X$173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625257935115771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03-445F-86B5-0947570804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Résultats!$Y$173:$AB$173</c:f>
              <c:numCache>
                <c:formatCode>_-* #\ ##0.0_-;\-* #\ ##0.0_-;_-* "-"??_-;_-@_-</c:formatCode>
                <c:ptCount val="4"/>
                <c:pt idx="0">
                  <c:v>58.66576052105075</c:v>
                </c:pt>
                <c:pt idx="1">
                  <c:v>234.71775133310686</c:v>
                </c:pt>
                <c:pt idx="2">
                  <c:v>400.22052002304565</c:v>
                </c:pt>
                <c:pt idx="3">
                  <c:v>515.62337664932738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03-445F-86B5-09475708041E}"/>
            </c:ext>
          </c:extLst>
        </c:ser>
        <c:ser>
          <c:idx val="4"/>
          <c:order val="5"/>
          <c:tx>
            <c:strRef>
              <c:f>Résultats!$X$171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Résultats!$Y$171:$AB$171</c:f>
              <c:numCache>
                <c:formatCode>_-* #\ ##0.0_-;\-* #\ ##0.0_-;_-* "-"??_-;_-@_-</c:formatCode>
                <c:ptCount val="4"/>
                <c:pt idx="0">
                  <c:v>12.713837338469146</c:v>
                </c:pt>
                <c:pt idx="1">
                  <c:v>21.88956910384648</c:v>
                </c:pt>
                <c:pt idx="2">
                  <c:v>32.419239495909082</c:v>
                </c:pt>
                <c:pt idx="3">
                  <c:v>45.97132954744211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03-445F-86B5-09475708041E}"/>
            </c:ext>
          </c:extLst>
        </c:ser>
        <c:ser>
          <c:idx val="3"/>
          <c:order val="6"/>
          <c:tx>
            <c:strRef>
              <c:f>Résultats!$X$170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Résultats!$Y$170:$AB$170</c:f>
              <c:numCache>
                <c:formatCode>_-* #\ ##0.0_-;\-* #\ ##0.0_-;_-* "-"??_-;_-@_-</c:formatCode>
                <c:ptCount val="4"/>
                <c:pt idx="0">
                  <c:v>14.072698497935503</c:v>
                </c:pt>
                <c:pt idx="1">
                  <c:v>10.239909292832007</c:v>
                </c:pt>
                <c:pt idx="2">
                  <c:v>6.168483291883609</c:v>
                </c:pt>
                <c:pt idx="3">
                  <c:v>0.72361470960254648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03-445F-86B5-09475708041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95880736"/>
        <c:axId val="1495886560"/>
      </c:barChart>
      <c:catAx>
        <c:axId val="14958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886560"/>
        <c:crosses val="autoZero"/>
        <c:auto val="1"/>
        <c:lblAlgn val="ctr"/>
        <c:lblOffset val="100"/>
        <c:noMultiLvlLbl val="0"/>
      </c:catAx>
      <c:valAx>
        <c:axId val="14958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milliers</a:t>
                </a:r>
                <a:r>
                  <a:rPr lang="fr-FR" baseline="0"/>
                  <a:t> de m²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88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Parc tertiaire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traitement'!$B$23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traitement'!$C$8:$F$8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traitement'!$C$23:$F$23</c:f>
              <c:numCache>
                <c:formatCode>#,##0</c:formatCode>
                <c:ptCount val="4"/>
                <c:pt idx="0">
                  <c:v>0</c:v>
                </c:pt>
                <c:pt idx="1">
                  <c:v>58277.964078281715</c:v>
                </c:pt>
                <c:pt idx="2">
                  <c:v>44695.977271057833</c:v>
                </c:pt>
                <c:pt idx="3">
                  <c:v>36825.330038225744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1-44A0-BAC2-4032FFC8BCD1}"/>
            </c:ext>
          </c:extLst>
        </c:ser>
        <c:ser>
          <c:idx val="1"/>
          <c:order val="1"/>
          <c:tx>
            <c:strRef>
              <c:f>'Résultats - post traitement'!$B$24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traitement'!$C$8:$F$8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traitement'!$C$24:$F$24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944733.51227938244</c:v>
                </c:pt>
                <c:pt idx="2">
                  <c:v>973895.55314713239</c:v>
                </c:pt>
                <c:pt idx="3">
                  <c:v>972631.48261654528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81-44A0-BAC2-4032FFC8B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783488"/>
        <c:axId val="1017780992"/>
      </c:barChart>
      <c:catAx>
        <c:axId val="101778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0992"/>
        <c:crosses val="autoZero"/>
        <c:auto val="1"/>
        <c:lblAlgn val="ctr"/>
        <c:lblOffset val="100"/>
        <c:noMultiLvlLbl val="0"/>
      </c:catAx>
      <c:valAx>
        <c:axId val="10177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totale de chauffage en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traitement'!$A$57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traitement'!$B$57:$E$57</c:f>
              <c:numCache>
                <c:formatCode>#,##0</c:formatCode>
                <c:ptCount val="4"/>
                <c:pt idx="0">
                  <c:v>17636.41517514189</c:v>
                </c:pt>
                <c:pt idx="1">
                  <c:v>12584.182610662096</c:v>
                </c:pt>
                <c:pt idx="2">
                  <c:v>10229.37334549831</c:v>
                </c:pt>
                <c:pt idx="3">
                  <c:v>7821.9678438685432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F-4ABC-8D65-806F922DA59F}"/>
            </c:ext>
          </c:extLst>
        </c:ser>
        <c:ser>
          <c:idx val="1"/>
          <c:order val="1"/>
          <c:tx>
            <c:strRef>
              <c:f>'Résultats - post traitement'!$A$58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traitement'!$B$58:$E$58</c:f>
              <c:numCache>
                <c:formatCode>#,##0</c:formatCode>
                <c:ptCount val="4"/>
                <c:pt idx="0">
                  <c:v>55805.569818181473</c:v>
                </c:pt>
                <c:pt idx="1">
                  <c:v>44705.077226923924</c:v>
                </c:pt>
                <c:pt idx="2">
                  <c:v>40854.269011504766</c:v>
                </c:pt>
                <c:pt idx="3">
                  <c:v>36337.094926563266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F-4ABC-8D65-806F922DA59F}"/>
            </c:ext>
          </c:extLst>
        </c:ser>
        <c:ser>
          <c:idx val="2"/>
          <c:order val="2"/>
          <c:tx>
            <c:strRef>
              <c:f>'Résultats - post traitement'!$A$59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traitement'!$B$59:$E$59</c:f>
              <c:numCache>
                <c:formatCode>#,##0</c:formatCode>
                <c:ptCount val="4"/>
                <c:pt idx="0">
                  <c:v>7405.5823362088131</c:v>
                </c:pt>
                <c:pt idx="1">
                  <c:v>7048.9529855965102</c:v>
                </c:pt>
                <c:pt idx="2">
                  <c:v>6658.4541853988148</c:v>
                </c:pt>
                <c:pt idx="3">
                  <c:v>5916.0549484635621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2F-4ABC-8D65-806F922DA59F}"/>
            </c:ext>
          </c:extLst>
        </c:ser>
        <c:ser>
          <c:idx val="3"/>
          <c:order val="3"/>
          <c:tx>
            <c:strRef>
              <c:f>'Résultats - post traitement'!$A$60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traitement'!$B$60:$E$60</c:f>
              <c:numCache>
                <c:formatCode>#,##0</c:formatCode>
                <c:ptCount val="4"/>
                <c:pt idx="0">
                  <c:v>1272.5786804340246</c:v>
                </c:pt>
                <c:pt idx="1">
                  <c:v>1096.1877318231943</c:v>
                </c:pt>
                <c:pt idx="2">
                  <c:v>1044.2803407172721</c:v>
                </c:pt>
                <c:pt idx="3">
                  <c:v>969.07550599965407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2F-4ABC-8D65-806F922DA59F}"/>
            </c:ext>
          </c:extLst>
        </c:ser>
        <c:ser>
          <c:idx val="4"/>
          <c:order val="4"/>
          <c:tx>
            <c:strRef>
              <c:f>'Résultats - post traitement'!$A$61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traitement'!$B$61:$E$61</c:f>
              <c:numCache>
                <c:formatCode>#,##0</c:formatCode>
                <c:ptCount val="4"/>
                <c:pt idx="0">
                  <c:v>1294.6736683610475</c:v>
                </c:pt>
                <c:pt idx="1">
                  <c:v>1301.9332915284222</c:v>
                </c:pt>
                <c:pt idx="2">
                  <c:v>1378.0056117330932</c:v>
                </c:pt>
                <c:pt idx="3">
                  <c:v>1409.2486004040202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2F-4ABC-8D65-806F922DA59F}"/>
            </c:ext>
          </c:extLst>
        </c:ser>
        <c:ser>
          <c:idx val="5"/>
          <c:order val="5"/>
          <c:tx>
            <c:strRef>
              <c:f>'Résultats - post traitement'!$A$62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traitement'!$B$62:$E$62</c:f>
              <c:numCache>
                <c:formatCode>#,##0</c:formatCode>
                <c:ptCount val="4"/>
                <c:pt idx="0">
                  <c:v>14607.452993119286</c:v>
                </c:pt>
                <c:pt idx="1">
                  <c:v>10422.470509805571</c:v>
                </c:pt>
                <c:pt idx="2">
                  <c:v>8187.5358792873649</c:v>
                </c:pt>
                <c:pt idx="3">
                  <c:v>5993.7366700902885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2F-4ABC-8D65-806F922DA59F}"/>
            </c:ext>
          </c:extLst>
        </c:ser>
        <c:ser>
          <c:idx val="6"/>
          <c:order val="6"/>
          <c:tx>
            <c:strRef>
              <c:f>'Résultats - post traitement'!$A$63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traitement'!$B$63:$E$63</c:f>
              <c:numCache>
                <c:formatCode>#,##0</c:formatCode>
                <c:ptCount val="4"/>
                <c:pt idx="0">
                  <c:v>2975.3947624956108</c:v>
                </c:pt>
                <c:pt idx="1">
                  <c:v>5620.3727033937375</c:v>
                </c:pt>
                <c:pt idx="2">
                  <c:v>7304.4367432002919</c:v>
                </c:pt>
                <c:pt idx="3">
                  <c:v>8429.2692540370481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2F-4ABC-8D65-806F922DA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suivant le décret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traitement'!$A$81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traitement'!$B$81:$E$81</c:f>
              <c:numCache>
                <c:formatCode>#,##0</c:formatCode>
                <c:ptCount val="4"/>
                <c:pt idx="0">
                  <c:v>6972.2797501238183</c:v>
                </c:pt>
                <c:pt idx="1">
                  <c:v>4111.1754441729572</c:v>
                </c:pt>
                <c:pt idx="2">
                  <c:v>3116.8321546808706</c:v>
                </c:pt>
                <c:pt idx="3">
                  <c:v>2159.2824101097335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6-4CEB-9BE5-4DAF09ADF014}"/>
            </c:ext>
          </c:extLst>
        </c:ser>
        <c:ser>
          <c:idx val="1"/>
          <c:order val="1"/>
          <c:tx>
            <c:strRef>
              <c:f>'Résultats - post traitement'!$A$82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traitement'!$B$82:$E$82</c:f>
              <c:numCache>
                <c:formatCode>#,##0</c:formatCode>
                <c:ptCount val="4"/>
                <c:pt idx="0">
                  <c:v>21704.940201780224</c:v>
                </c:pt>
                <c:pt idx="1">
                  <c:v>14287.534621015844</c:v>
                </c:pt>
                <c:pt idx="2">
                  <c:v>12077.573828638489</c:v>
                </c:pt>
                <c:pt idx="3">
                  <c:v>9839.8144785180684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6-4CEB-9BE5-4DAF09ADF014}"/>
            </c:ext>
          </c:extLst>
        </c:ser>
        <c:ser>
          <c:idx val="2"/>
          <c:order val="2"/>
          <c:tx>
            <c:strRef>
              <c:f>'Résultats - post traitement'!$A$83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traitement'!$B$83:$E$83</c:f>
              <c:numCache>
                <c:formatCode>#,##0</c:formatCode>
                <c:ptCount val="4"/>
                <c:pt idx="0">
                  <c:v>2920.2151325253244</c:v>
                </c:pt>
                <c:pt idx="1">
                  <c:v>2518.4435815088054</c:v>
                </c:pt>
                <c:pt idx="2">
                  <c:v>2207.783880149022</c:v>
                </c:pt>
                <c:pt idx="3">
                  <c:v>1779.3642797679097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F6-4CEB-9BE5-4DAF09ADF014}"/>
            </c:ext>
          </c:extLst>
        </c:ser>
        <c:ser>
          <c:idx val="3"/>
          <c:order val="3"/>
          <c:tx>
            <c:strRef>
              <c:f>'Résultats - post traitement'!$A$84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traitement'!$B$84:$E$84</c:f>
              <c:numCache>
                <c:formatCode>#,##0</c:formatCode>
                <c:ptCount val="4"/>
                <c:pt idx="0">
                  <c:v>495.96140968305934</c:v>
                </c:pt>
                <c:pt idx="1">
                  <c:v>341.84976693568865</c:v>
                </c:pt>
                <c:pt idx="2">
                  <c:v>307.33843778195393</c:v>
                </c:pt>
                <c:pt idx="3">
                  <c:v>269.30055743257861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F6-4CEB-9BE5-4DAF09ADF014}"/>
            </c:ext>
          </c:extLst>
        </c:ser>
        <c:ser>
          <c:idx val="4"/>
          <c:order val="4"/>
          <c:tx>
            <c:strRef>
              <c:f>'Résultats - post traitement'!$A$85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traitement'!$B$85:$E$85</c:f>
              <c:numCache>
                <c:formatCode>#,##0</c:formatCode>
                <c:ptCount val="4"/>
                <c:pt idx="0">
                  <c:v>490.36175602403921</c:v>
                </c:pt>
                <c:pt idx="1">
                  <c:v>355.28732675483184</c:v>
                </c:pt>
                <c:pt idx="2">
                  <c:v>328.35295993095224</c:v>
                </c:pt>
                <c:pt idx="3">
                  <c:v>294.00984290647494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F6-4CEB-9BE5-4DAF09ADF014}"/>
            </c:ext>
          </c:extLst>
        </c:ser>
        <c:ser>
          <c:idx val="5"/>
          <c:order val="5"/>
          <c:tx>
            <c:strRef>
              <c:f>'Résultats - post traitement'!$A$86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traitement'!$B$86:$E$86</c:f>
              <c:numCache>
                <c:formatCode>#,##0</c:formatCode>
                <c:ptCount val="4"/>
                <c:pt idx="0">
                  <c:v>5412.3541772314884</c:v>
                </c:pt>
                <c:pt idx="1">
                  <c:v>3196.4902213444984</c:v>
                </c:pt>
                <c:pt idx="2">
                  <c:v>2492.2800875622565</c:v>
                </c:pt>
                <c:pt idx="3">
                  <c:v>1740.3836633885383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F6-4CEB-9BE5-4DAF09ADF014}"/>
            </c:ext>
          </c:extLst>
        </c:ser>
        <c:ser>
          <c:idx val="6"/>
          <c:order val="6"/>
          <c:tx>
            <c:strRef>
              <c:f>'Résultats - post traitement'!$A$87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traitement'!$B$87:$E$87</c:f>
              <c:numCache>
                <c:formatCode>#,##0</c:formatCode>
                <c:ptCount val="4"/>
                <c:pt idx="0">
                  <c:v>1068.6056721929394</c:v>
                </c:pt>
                <c:pt idx="1">
                  <c:v>1615.9998514832994</c:v>
                </c:pt>
                <c:pt idx="2">
                  <c:v>2249.9941176167463</c:v>
                </c:pt>
                <c:pt idx="3">
                  <c:v>2784.0591419598318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F6-4CEB-9BE5-4DAF09ADF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hors décret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traitement'!$A$93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traitement'!$B$93:$E$93</c:f>
              <c:numCache>
                <c:formatCode>#,##0</c:formatCode>
                <c:ptCount val="4"/>
                <c:pt idx="0">
                  <c:v>10664.135425018072</c:v>
                </c:pt>
                <c:pt idx="1">
                  <c:v>8469.3394445919093</c:v>
                </c:pt>
                <c:pt idx="2">
                  <c:v>7111.1063475589381</c:v>
                </c:pt>
                <c:pt idx="3">
                  <c:v>5661.3849403460372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3-469D-920E-4719803711F4}"/>
            </c:ext>
          </c:extLst>
        </c:ser>
        <c:ser>
          <c:idx val="1"/>
          <c:order val="1"/>
          <c:tx>
            <c:strRef>
              <c:f>'Résultats - post traitement'!$A$94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traitement'!$B$94:$E$94</c:f>
              <c:numCache>
                <c:formatCode>#,##0</c:formatCode>
                <c:ptCount val="4"/>
                <c:pt idx="0">
                  <c:v>34100.629616401253</c:v>
                </c:pt>
                <c:pt idx="1">
                  <c:v>30417.542605908071</c:v>
                </c:pt>
                <c:pt idx="2">
                  <c:v>28776.695182866275</c:v>
                </c:pt>
                <c:pt idx="3">
                  <c:v>26497.280448045203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3-469D-920E-4719803711F4}"/>
            </c:ext>
          </c:extLst>
        </c:ser>
        <c:ser>
          <c:idx val="2"/>
          <c:order val="2"/>
          <c:tx>
            <c:strRef>
              <c:f>'Résultats - post traitement'!$A$95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traitement'!$B$95:$E$95</c:f>
              <c:numCache>
                <c:formatCode>#,##0</c:formatCode>
                <c:ptCount val="4"/>
                <c:pt idx="0">
                  <c:v>4485.3672036834887</c:v>
                </c:pt>
                <c:pt idx="1">
                  <c:v>4107.7016038147231</c:v>
                </c:pt>
                <c:pt idx="2">
                  <c:v>4101.0629682288627</c:v>
                </c:pt>
                <c:pt idx="3">
                  <c:v>3861.5949442739256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23-469D-920E-4719803711F4}"/>
            </c:ext>
          </c:extLst>
        </c:ser>
        <c:ser>
          <c:idx val="3"/>
          <c:order val="3"/>
          <c:tx>
            <c:strRef>
              <c:f>'Résultats - post traitement'!$A$96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traitement'!$B$96:$E$96</c:f>
              <c:numCache>
                <c:formatCode>#,##0</c:formatCode>
                <c:ptCount val="4"/>
                <c:pt idx="0">
                  <c:v>776.61727075096542</c:v>
                </c:pt>
                <c:pt idx="1">
                  <c:v>708.74035963160782</c:v>
                </c:pt>
                <c:pt idx="2">
                  <c:v>698.31184745678729</c:v>
                </c:pt>
                <c:pt idx="3">
                  <c:v>670.69558321777947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23-469D-920E-4719803711F4}"/>
            </c:ext>
          </c:extLst>
        </c:ser>
        <c:ser>
          <c:idx val="4"/>
          <c:order val="4"/>
          <c:tx>
            <c:strRef>
              <c:f>'Résultats - post traitement'!$A$97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traitement'!$B$97:$E$97</c:f>
              <c:numCache>
                <c:formatCode>#,##0</c:formatCode>
                <c:ptCount val="4"/>
                <c:pt idx="0">
                  <c:v>804.31191233700827</c:v>
                </c:pt>
                <c:pt idx="1">
                  <c:v>869.15982965288754</c:v>
                </c:pt>
                <c:pt idx="2">
                  <c:v>986.02448796196029</c:v>
                </c:pt>
                <c:pt idx="3">
                  <c:v>1065.407126212112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23-469D-920E-4719803711F4}"/>
            </c:ext>
          </c:extLst>
        </c:ser>
        <c:ser>
          <c:idx val="5"/>
          <c:order val="5"/>
          <c:tx>
            <c:strRef>
              <c:f>'Résultats - post traitement'!$A$98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traitement'!$B$98:$E$98</c:f>
              <c:numCache>
                <c:formatCode>#,##0</c:formatCode>
                <c:ptCount val="4"/>
                <c:pt idx="0">
                  <c:v>9195.0988158877972</c:v>
                </c:pt>
                <c:pt idx="1">
                  <c:v>6909.9241139897831</c:v>
                </c:pt>
                <c:pt idx="2">
                  <c:v>5455.2332800261493</c:v>
                </c:pt>
                <c:pt idx="3">
                  <c:v>4046.2273051491525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23-469D-920E-4719803711F4}"/>
            </c:ext>
          </c:extLst>
        </c:ser>
        <c:ser>
          <c:idx val="6"/>
          <c:order val="6"/>
          <c:tx>
            <c:strRef>
              <c:f>'Résultats - post traitement'!$A$99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traitement'!$B$99:$E$99</c:f>
              <c:numCache>
                <c:formatCode>#,##0</c:formatCode>
                <c:ptCount val="4"/>
                <c:pt idx="0">
                  <c:v>1906.7890903026712</c:v>
                </c:pt>
                <c:pt idx="1">
                  <c:v>2967.0521594826173</c:v>
                </c:pt>
                <c:pt idx="2">
                  <c:v>4262.1098486524752</c:v>
                </c:pt>
                <c:pt idx="3">
                  <c:v>4989.1781380424372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23-469D-920E-471980371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Parc tertiaire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traitement'!$B$23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traitement'!$Z$23:$AC$23</c:f>
              <c:numCache>
                <c:formatCode>#,##0</c:formatCode>
                <c:ptCount val="4"/>
                <c:pt idx="0">
                  <c:v>0</c:v>
                </c:pt>
                <c:pt idx="1">
                  <c:v>54508.804549841887</c:v>
                </c:pt>
                <c:pt idx="2">
                  <c:v>43094.231129653381</c:v>
                </c:pt>
                <c:pt idx="3">
                  <c:v>33683.415838559042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D-4BDC-8B0F-720CA6F4D8A7}"/>
            </c:ext>
          </c:extLst>
        </c:ser>
        <c:ser>
          <c:idx val="1"/>
          <c:order val="1"/>
          <c:tx>
            <c:strRef>
              <c:f>'Résultats - post traitement'!$B$24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traitement'!$Z$24:$AC$24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943305.87487551966</c:v>
                </c:pt>
                <c:pt idx="2">
                  <c:v>954650.08370665286</c:v>
                </c:pt>
                <c:pt idx="3">
                  <c:v>931004.81064076687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D-4BDC-8B0F-720CA6F4D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783488"/>
        <c:axId val="1017780992"/>
      </c:barChart>
      <c:catAx>
        <c:axId val="101778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0992"/>
        <c:crosses val="autoZero"/>
        <c:auto val="1"/>
        <c:lblAlgn val="ctr"/>
        <c:lblOffset val="100"/>
        <c:noMultiLvlLbl val="0"/>
      </c:catAx>
      <c:valAx>
        <c:axId val="10177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totale de chauffage en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traitement'!$A$57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traitement'!$Y$57:$AB$57</c:f>
              <c:numCache>
                <c:formatCode>#,##0</c:formatCode>
                <c:ptCount val="4"/>
                <c:pt idx="0">
                  <c:v>17636.41517514189</c:v>
                </c:pt>
                <c:pt idx="1">
                  <c:v>1411.0973255369272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2-43C8-8C82-66CBB46261AA}"/>
            </c:ext>
          </c:extLst>
        </c:ser>
        <c:ser>
          <c:idx val="1"/>
          <c:order val="1"/>
          <c:tx>
            <c:strRef>
              <c:f>'Résultats - post traitement'!$A$58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traitement'!$Y$58:$AB$58</c:f>
              <c:numCache>
                <c:formatCode>#,##0</c:formatCode>
                <c:ptCount val="4"/>
                <c:pt idx="0">
                  <c:v>55805.569818181481</c:v>
                </c:pt>
                <c:pt idx="1">
                  <c:v>41405.844112010556</c:v>
                </c:pt>
                <c:pt idx="2">
                  <c:v>21482.569696498143</c:v>
                </c:pt>
                <c:pt idx="3">
                  <c:v>6429.3143023592947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2-43C8-8C82-66CBB46261AA}"/>
            </c:ext>
          </c:extLst>
        </c:ser>
        <c:ser>
          <c:idx val="2"/>
          <c:order val="2"/>
          <c:tx>
            <c:strRef>
              <c:f>'Résultats - post traitement'!$A$59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traitement'!$Y$61:$AB$61</c:f>
              <c:numCache>
                <c:formatCode>#,##0</c:formatCode>
                <c:ptCount val="4"/>
                <c:pt idx="0">
                  <c:v>7405.5823362088113</c:v>
                </c:pt>
                <c:pt idx="1">
                  <c:v>14974.44582558326</c:v>
                </c:pt>
                <c:pt idx="2">
                  <c:v>16388.069440834635</c:v>
                </c:pt>
                <c:pt idx="3">
                  <c:v>15701.441098252917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2-43C8-8C82-66CBB46261AA}"/>
            </c:ext>
          </c:extLst>
        </c:ser>
        <c:ser>
          <c:idx val="3"/>
          <c:order val="3"/>
          <c:tx>
            <c:strRef>
              <c:f>'Résultats - post traitement'!$A$60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traitement'!$Y$62:$AB$62</c:f>
              <c:numCache>
                <c:formatCode>#,##0</c:formatCode>
                <c:ptCount val="4"/>
                <c:pt idx="0">
                  <c:v>1272.578680434025</c:v>
                </c:pt>
                <c:pt idx="1">
                  <c:v>763.58375558271553</c:v>
                </c:pt>
                <c:pt idx="2">
                  <c:v>418.76061780507041</c:v>
                </c:pt>
                <c:pt idx="3">
                  <c:v>42.847815085769014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42-43C8-8C82-66CBB46261AA}"/>
            </c:ext>
          </c:extLst>
        </c:ser>
        <c:ser>
          <c:idx val="4"/>
          <c:order val="4"/>
          <c:tx>
            <c:strRef>
              <c:f>'Résultats - post traitement'!$A$61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traitement'!$Y$63:$AB$63</c:f>
              <c:numCache>
                <c:formatCode>#,##0</c:formatCode>
                <c:ptCount val="4"/>
                <c:pt idx="0">
                  <c:v>1294.6736683610477</c:v>
                </c:pt>
                <c:pt idx="1">
                  <c:v>1799.0293510602953</c:v>
                </c:pt>
                <c:pt idx="2">
                  <c:v>2297.5208873624133</c:v>
                </c:pt>
                <c:pt idx="3">
                  <c:v>3074.7129915548476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2-43C8-8C82-66CBB46261AA}"/>
            </c:ext>
          </c:extLst>
        </c:ser>
        <c:ser>
          <c:idx val="5"/>
          <c:order val="5"/>
          <c:tx>
            <c:strRef>
              <c:f>'Résultats - post traitement'!$A$62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traitement'!$Y$64:$AB$64</c:f>
              <c:numCache>
                <c:formatCode>#,##0</c:formatCode>
                <c:ptCount val="4"/>
                <c:pt idx="0">
                  <c:v>14607.452993119286</c:v>
                </c:pt>
                <c:pt idx="1">
                  <c:v>9539.9969199729494</c:v>
                </c:pt>
                <c:pt idx="2">
                  <c:v>5615.8800427847891</c:v>
                </c:pt>
                <c:pt idx="3">
                  <c:v>4770.5674859576711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42-43C8-8C82-66CBB46261AA}"/>
            </c:ext>
          </c:extLst>
        </c:ser>
        <c:ser>
          <c:idx val="6"/>
          <c:order val="6"/>
          <c:tx>
            <c:strRef>
              <c:f>'Résultats - post traitement'!$A$63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traitement'!$Y$65:$AB$65</c:f>
              <c:numCache>
                <c:formatCode>#,##0</c:formatCode>
                <c:ptCount val="4"/>
                <c:pt idx="0">
                  <c:v>2975.3947624956104</c:v>
                </c:pt>
                <c:pt idx="1">
                  <c:v>11016.552226572083</c:v>
                </c:pt>
                <c:pt idx="2">
                  <c:v>16033.607981998373</c:v>
                </c:pt>
                <c:pt idx="3">
                  <c:v>18492.540360611139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42-43C8-8C82-66CBB4626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suivant le décret en GWh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traitement'!$A$81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traitement'!$Y$81:$AB$81</c:f>
              <c:numCache>
                <c:formatCode>#,##0</c:formatCode>
                <c:ptCount val="4"/>
                <c:pt idx="0">
                  <c:v>15677.951348786632</c:v>
                </c:pt>
                <c:pt idx="1">
                  <c:v>1262.4677419521072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2-41C1-90B8-8B5C5D937F58}"/>
            </c:ext>
          </c:extLst>
        </c:ser>
        <c:ser>
          <c:idx val="1"/>
          <c:order val="1"/>
          <c:tx>
            <c:strRef>
              <c:f>'Résultats - post traitement'!$A$82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traitement'!$Y$82:$AB$82</c:f>
              <c:numCache>
                <c:formatCode>#,##0</c:formatCode>
                <c:ptCount val="4"/>
                <c:pt idx="0">
                  <c:v>49305.068395925598</c:v>
                </c:pt>
                <c:pt idx="1">
                  <c:v>36264.477532485173</c:v>
                </c:pt>
                <c:pt idx="2">
                  <c:v>18424.760352637288</c:v>
                </c:pt>
                <c:pt idx="3">
                  <c:v>4958.0539034633202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2-41C1-90B8-8B5C5D937F58}"/>
            </c:ext>
          </c:extLst>
        </c:ser>
        <c:ser>
          <c:idx val="2"/>
          <c:order val="2"/>
          <c:tx>
            <c:strRef>
              <c:f>'Résultats - post traitement'!$A$83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traitement'!$Y$83:$AB$83</c:f>
              <c:numCache>
                <c:formatCode>#,##0</c:formatCode>
                <c:ptCount val="4"/>
                <c:pt idx="0">
                  <c:v>6576.8119096490082</c:v>
                </c:pt>
                <c:pt idx="1">
                  <c:v>12216.240996504652</c:v>
                </c:pt>
                <c:pt idx="2">
                  <c:v>13378.21347567297</c:v>
                </c:pt>
                <c:pt idx="3">
                  <c:v>12841.102692948385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A2-41C1-90B8-8B5C5D937F58}"/>
            </c:ext>
          </c:extLst>
        </c:ser>
        <c:ser>
          <c:idx val="3"/>
          <c:order val="3"/>
          <c:tx>
            <c:strRef>
              <c:f>'Résultats - post traitement'!$A$84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traitement'!$Y$84:$AB$84</c:f>
              <c:numCache>
                <c:formatCode>#,##0</c:formatCode>
                <c:ptCount val="4"/>
                <c:pt idx="0">
                  <c:v>1122.0413510600783</c:v>
                </c:pt>
                <c:pt idx="1">
                  <c:v>596.06031780197088</c:v>
                </c:pt>
                <c:pt idx="2">
                  <c:v>309.68513993057707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A2-41C1-90B8-8B5C5D937F58}"/>
            </c:ext>
          </c:extLst>
        </c:ser>
        <c:ser>
          <c:idx val="4"/>
          <c:order val="4"/>
          <c:tx>
            <c:strRef>
              <c:f>'Résultats - post traitement'!$A$85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traitement'!$Y$85:$AB$85</c:f>
              <c:numCache>
                <c:formatCode>#,##0</c:formatCode>
                <c:ptCount val="4"/>
                <c:pt idx="0">
                  <c:v>1122.8654222832949</c:v>
                </c:pt>
                <c:pt idx="1">
                  <c:v>1454.5619876705118</c:v>
                </c:pt>
                <c:pt idx="2">
                  <c:v>1864.2030149103543</c:v>
                </c:pt>
                <c:pt idx="3">
                  <c:v>2473.9266403655552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A2-41C1-90B8-8B5C5D937F58}"/>
            </c:ext>
          </c:extLst>
        </c:ser>
        <c:ser>
          <c:idx val="5"/>
          <c:order val="5"/>
          <c:tx>
            <c:strRef>
              <c:f>'Résultats - post traitement'!$A$86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traitement'!$Y$86:$AB$86</c:f>
              <c:numCache>
                <c:formatCode>#,##0</c:formatCode>
                <c:ptCount val="4"/>
                <c:pt idx="0">
                  <c:v>12624.855913302805</c:v>
                </c:pt>
                <c:pt idx="1">
                  <c:v>8081.2028466867559</c:v>
                </c:pt>
                <c:pt idx="2">
                  <c:v>4803.4712544117619</c:v>
                </c:pt>
                <c:pt idx="3">
                  <c:v>4157.5113571996026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A2-41C1-90B8-8B5C5D937F58}"/>
            </c:ext>
          </c:extLst>
        </c:ser>
        <c:ser>
          <c:idx val="6"/>
          <c:order val="6"/>
          <c:tx>
            <c:strRef>
              <c:f>'Résultats - post traitement'!$A$87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traitement'!$Y$87:$AB$87</c:f>
              <c:numCache>
                <c:formatCode>#,##0</c:formatCode>
                <c:ptCount val="4"/>
                <c:pt idx="0">
                  <c:v>2527.148602483825</c:v>
                </c:pt>
                <c:pt idx="1">
                  <c:v>9078.5874596469712</c:v>
                </c:pt>
                <c:pt idx="2">
                  <c:v>14003.30841150595</c:v>
                </c:pt>
                <c:pt idx="3">
                  <c:v>16839.33133878608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A2-41C1-90B8-8B5C5D937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du parc hors décret en GWh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traitement'!$A$93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traitement'!$Y$93:$AB$93</c:f>
              <c:numCache>
                <c:formatCode>#,##0</c:formatCode>
                <c:ptCount val="4"/>
                <c:pt idx="0">
                  <c:v>1958.4638263552558</c:v>
                </c:pt>
                <c:pt idx="1">
                  <c:v>148.62958358481993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8-4772-9DE2-63D843A46866}"/>
            </c:ext>
          </c:extLst>
        </c:ser>
        <c:ser>
          <c:idx val="1"/>
          <c:order val="1"/>
          <c:tx>
            <c:strRef>
              <c:f>'Résultats - post traitement'!$A$94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traitement'!$Y$94:$AB$94</c:f>
              <c:numCache>
                <c:formatCode>#,##0</c:formatCode>
                <c:ptCount val="4"/>
                <c:pt idx="0">
                  <c:v>6500.5014222558739</c:v>
                </c:pt>
                <c:pt idx="1">
                  <c:v>5007.2545323600489</c:v>
                </c:pt>
                <c:pt idx="2">
                  <c:v>2731.5337542600478</c:v>
                </c:pt>
                <c:pt idx="3">
                  <c:v>738.80071051777111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8-4772-9DE2-63D843A46866}"/>
            </c:ext>
          </c:extLst>
        </c:ser>
        <c:ser>
          <c:idx val="2"/>
          <c:order val="2"/>
          <c:tx>
            <c:strRef>
              <c:f>'Résultats - post traitement'!$A$95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traitement'!$Y$95:$AB$95</c:f>
              <c:numCache>
                <c:formatCode>#,##0</c:formatCode>
                <c:ptCount val="4"/>
                <c:pt idx="0">
                  <c:v>828.77042655980381</c:v>
                </c:pt>
                <c:pt idx="1">
                  <c:v>1729.5923783732455</c:v>
                </c:pt>
                <c:pt idx="2">
                  <c:v>2166.5327814169841</c:v>
                </c:pt>
                <c:pt idx="3">
                  <c:v>2268.5550789167792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78-4772-9DE2-63D843A46866}"/>
            </c:ext>
          </c:extLst>
        </c:ser>
        <c:ser>
          <c:idx val="3"/>
          <c:order val="3"/>
          <c:tx>
            <c:strRef>
              <c:f>'Résultats - post traitement'!$A$96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traitement'!$Y$96:$AB$96</c:f>
              <c:numCache>
                <c:formatCode>#,##0</c:formatCode>
                <c:ptCount val="4"/>
                <c:pt idx="0">
                  <c:v>150.53732937394653</c:v>
                </c:pt>
                <c:pt idx="1">
                  <c:v>91.961003463984241</c:v>
                </c:pt>
                <c:pt idx="2">
                  <c:v>47.619275982460785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78-4772-9DE2-63D843A46866}"/>
            </c:ext>
          </c:extLst>
        </c:ser>
        <c:ser>
          <c:idx val="4"/>
          <c:order val="4"/>
          <c:tx>
            <c:strRef>
              <c:f>'Résultats - post traitement'!$A$97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traitement'!$Y$97:$AB$97</c:f>
              <c:numCache>
                <c:formatCode>#,##0</c:formatCode>
                <c:ptCount val="4"/>
                <c:pt idx="0">
                  <c:v>171.80824607775244</c:v>
                </c:pt>
                <c:pt idx="1">
                  <c:v>222.7834502447312</c:v>
                </c:pt>
                <c:pt idx="2">
                  <c:v>291.11526134109982</c:v>
                </c:pt>
                <c:pt idx="3">
                  <c:v>430.90688771250166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78-4772-9DE2-63D843A46866}"/>
            </c:ext>
          </c:extLst>
        </c:ser>
        <c:ser>
          <c:idx val="5"/>
          <c:order val="5"/>
          <c:tx>
            <c:strRef>
              <c:f>'Résultats - post traitement'!$A$98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traitement'!$Y$98:$AB$98</c:f>
              <c:numCache>
                <c:formatCode>#,##0</c:formatCode>
                <c:ptCount val="4"/>
                <c:pt idx="0">
                  <c:v>1982.5970798164833</c:v>
                </c:pt>
                <c:pt idx="1">
                  <c:v>1047.67366667031</c:v>
                </c:pt>
                <c:pt idx="2">
                  <c:v>711.80498188046329</c:v>
                </c:pt>
                <c:pt idx="3">
                  <c:v>585.00394614614208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78-4772-9DE2-63D843A46866}"/>
            </c:ext>
          </c:extLst>
        </c:ser>
        <c:ser>
          <c:idx val="6"/>
          <c:order val="6"/>
          <c:tx>
            <c:strRef>
              <c:f>'Résultats - post traitement'!$A$99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traitement'!$Y$99:$AB$99</c:f>
              <c:numCache>
                <c:formatCode>#,##0</c:formatCode>
                <c:ptCount val="4"/>
                <c:pt idx="0">
                  <c:v>448.24616001178532</c:v>
                </c:pt>
                <c:pt idx="1">
                  <c:v>1291.395074758743</c:v>
                </c:pt>
                <c:pt idx="2">
                  <c:v>1895.5744970827191</c:v>
                </c:pt>
                <c:pt idx="3">
                  <c:v>2138.2187809710877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78-4772-9DE2-63D843A46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traitement'!$A$29</c:f>
              <c:strCache>
                <c:ptCount val="1"/>
                <c:pt idx="0">
                  <c:v>Chauffage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'Résultats - post traitement'!$B$28:$E$28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traitement'!$B$29:$E$29</c:f>
              <c:numCache>
                <c:formatCode>#,##0</c:formatCode>
                <c:ptCount val="4"/>
                <c:pt idx="0">
                  <c:v>100997.66743394214</c:v>
                </c:pt>
                <c:pt idx="1">
                  <c:v>82779.17705973344</c:v>
                </c:pt>
                <c:pt idx="2">
                  <c:v>75656.355117339903</c:v>
                </c:pt>
                <c:pt idx="3">
                  <c:v>66876.447749426385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4-4CE9-850D-AFBA4103ABBD}"/>
            </c:ext>
          </c:extLst>
        </c:ser>
        <c:ser>
          <c:idx val="1"/>
          <c:order val="1"/>
          <c:tx>
            <c:strRef>
              <c:f>'Résultats - post traitement'!$A$30</c:f>
              <c:strCache>
                <c:ptCount val="1"/>
                <c:pt idx="0">
                  <c:v>Hors chauffage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'Résultats - post traitement'!$B$28:$E$28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traitement'!$B$30:$E$30</c:f>
              <c:numCache>
                <c:formatCode>#,##0</c:formatCode>
                <c:ptCount val="4"/>
                <c:pt idx="0">
                  <c:v>158828.24117655741</c:v>
                </c:pt>
                <c:pt idx="1">
                  <c:v>163798.85340304166</c:v>
                </c:pt>
                <c:pt idx="2">
                  <c:v>185016.60117107874</c:v>
                </c:pt>
                <c:pt idx="3">
                  <c:v>213980.16858048382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4-4CE9-850D-AFBA4103A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118207"/>
        <c:axId val="1895409135"/>
      </c:areaChart>
      <c:catAx>
        <c:axId val="164811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5409135"/>
        <c:crosses val="autoZero"/>
        <c:auto val="1"/>
        <c:lblAlgn val="ctr"/>
        <c:lblOffset val="100"/>
        <c:noMultiLvlLbl val="0"/>
      </c:catAx>
      <c:valAx>
        <c:axId val="1895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8118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traitement'!$A$29</c:f>
              <c:strCache>
                <c:ptCount val="1"/>
                <c:pt idx="0">
                  <c:v>Chauffage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'Résultats - post traitement'!$Y$28:$AB$28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traitement'!$Y$29:$AB$29</c:f>
              <c:numCache>
                <c:formatCode>#,##0</c:formatCode>
                <c:ptCount val="4"/>
                <c:pt idx="0">
                  <c:v>100997.66743394214</c:v>
                </c:pt>
                <c:pt idx="1">
                  <c:v>80910.549516318773</c:v>
                </c:pt>
                <c:pt idx="2">
                  <c:v>62236.408667283424</c:v>
                </c:pt>
                <c:pt idx="3">
                  <c:v>48511.42405382164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B-45D9-947D-CAF15E2FC3C1}"/>
            </c:ext>
          </c:extLst>
        </c:ser>
        <c:ser>
          <c:idx val="1"/>
          <c:order val="1"/>
          <c:tx>
            <c:strRef>
              <c:f>'Résultats - post traitement'!$A$30</c:f>
              <c:strCache>
                <c:ptCount val="1"/>
                <c:pt idx="0">
                  <c:v>Hors chauffage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'Résultats - post traitement'!$Y$28:$AB$28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traitement'!$Y$30:$AB$30</c:f>
              <c:numCache>
                <c:formatCode>#,##0</c:formatCode>
                <c:ptCount val="4"/>
                <c:pt idx="0">
                  <c:v>151855.23907705076</c:v>
                </c:pt>
                <c:pt idx="1">
                  <c:v>130305.86626704002</c:v>
                </c:pt>
                <c:pt idx="2">
                  <c:v>123681.66990754718</c:v>
                </c:pt>
                <c:pt idx="3">
                  <c:v>120626.19991206576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B-45D9-947D-CAF15E2FC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118207"/>
        <c:axId val="1895409135"/>
      </c:areaChart>
      <c:catAx>
        <c:axId val="164811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5409135"/>
        <c:crosses val="autoZero"/>
        <c:auto val="1"/>
        <c:lblAlgn val="ctr"/>
        <c:lblOffset val="100"/>
        <c:noMultiLvlLbl val="0"/>
      </c:catAx>
      <c:valAx>
        <c:axId val="1895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8118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4759405074366"/>
          <c:y val="5.0925925925925923E-2"/>
          <c:w val="0.85219685039370074"/>
          <c:h val="0.683686934966462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traitement'!$A$34</c:f>
              <c:strCache>
                <c:ptCount val="1"/>
                <c:pt idx="0">
                  <c:v>Energie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0-4FEA-B26D-52D4DB65E367}"/>
            </c:ext>
          </c:extLst>
        </c:ser>
        <c:ser>
          <c:idx val="1"/>
          <c:order val="1"/>
          <c:tx>
            <c:strRef>
              <c:f>'Résultats - post traitement'!$A$35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traitement'!$B$35:$E$35</c:f>
              <c:numCache>
                <c:formatCode>#,##0</c:formatCode>
                <c:ptCount val="4"/>
                <c:pt idx="0">
                  <c:v>22595.21120051519</c:v>
                </c:pt>
                <c:pt idx="1">
                  <c:v>16467.226494066581</c:v>
                </c:pt>
                <c:pt idx="2">
                  <c:v>13527.856442167027</c:v>
                </c:pt>
                <c:pt idx="3">
                  <c:v>10756.58989531611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0-4FEA-B26D-52D4DB65E367}"/>
            </c:ext>
          </c:extLst>
        </c:ser>
        <c:ser>
          <c:idx val="2"/>
          <c:order val="2"/>
          <c:tx>
            <c:strRef>
              <c:f>'Résultats - post traitement'!$A$36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traitement'!$B$36:$E$36</c:f>
              <c:numCache>
                <c:formatCode>#,##0</c:formatCode>
                <c:ptCount val="4"/>
                <c:pt idx="0">
                  <c:v>72724.001974812665</c:v>
                </c:pt>
                <c:pt idx="1">
                  <c:v>59107.143599473755</c:v>
                </c:pt>
                <c:pt idx="2">
                  <c:v>54381.501280066455</c:v>
                </c:pt>
                <c:pt idx="3">
                  <c:v>48964.706450822312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20-4FEA-B26D-52D4DB65E367}"/>
            </c:ext>
          </c:extLst>
        </c:ser>
        <c:ser>
          <c:idx val="3"/>
          <c:order val="3"/>
          <c:tx>
            <c:strRef>
              <c:f>'Résultats - post traitement'!$A$37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traitement'!$B$37:$E$37</c:f>
              <c:numCache>
                <c:formatCode>#,##0</c:formatCode>
                <c:ptCount val="4"/>
                <c:pt idx="0">
                  <c:v>8956.0754726763971</c:v>
                </c:pt>
                <c:pt idx="1">
                  <c:v>8753.9663150461474</c:v>
                </c:pt>
                <c:pt idx="2">
                  <c:v>8305.5385010957034</c:v>
                </c:pt>
                <c:pt idx="3">
                  <c:v>7473.4207509827047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20-4FEA-B26D-52D4DB65E367}"/>
            </c:ext>
          </c:extLst>
        </c:ser>
        <c:ser>
          <c:idx val="4"/>
          <c:order val="4"/>
          <c:tx>
            <c:strRef>
              <c:f>'Résultats - post traitement'!$A$38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traitement'!$B$38:$E$38</c:f>
              <c:numCache>
                <c:formatCode>#,##0</c:formatCode>
                <c:ptCount val="4"/>
                <c:pt idx="0">
                  <c:v>1272.5786804340246</c:v>
                </c:pt>
                <c:pt idx="1">
                  <c:v>1096.1877318231943</c:v>
                </c:pt>
                <c:pt idx="2">
                  <c:v>1044.2803407172721</c:v>
                </c:pt>
                <c:pt idx="3">
                  <c:v>969.07550599965407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20-4FEA-B26D-52D4DB65E367}"/>
            </c:ext>
          </c:extLst>
        </c:ser>
        <c:ser>
          <c:idx val="5"/>
          <c:order val="5"/>
          <c:tx>
            <c:strRef>
              <c:f>'Résultats - post traitement'!$A$39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traitement'!$B$39:$E$39</c:f>
              <c:numCache>
                <c:formatCode>#,##0</c:formatCode>
                <c:ptCount val="4"/>
                <c:pt idx="0">
                  <c:v>1509.2890182714991</c:v>
                </c:pt>
                <c:pt idx="1">
                  <c:v>1539.1784578563154</c:v>
                </c:pt>
                <c:pt idx="2">
                  <c:v>1625.3271270041228</c:v>
                </c:pt>
                <c:pt idx="3">
                  <c:v>1663.1942136168313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20-4FEA-B26D-52D4DB65E367}"/>
            </c:ext>
          </c:extLst>
        </c:ser>
        <c:ser>
          <c:idx val="6"/>
          <c:order val="6"/>
          <c:tx>
            <c:strRef>
              <c:f>'Résultats - post traitement'!$A$40</c:f>
              <c:strCache>
                <c:ptCount val="1"/>
                <c:pt idx="0">
                  <c:v>Electricité (PAC incluses)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traitement'!$B$40:$E$40</c:f>
              <c:numCache>
                <c:formatCode>#,##0</c:formatCode>
                <c:ptCount val="4"/>
                <c:pt idx="0">
                  <c:v>152768.75226378979</c:v>
                </c:pt>
                <c:pt idx="1">
                  <c:v>159614.32786450916</c:v>
                </c:pt>
                <c:pt idx="2">
                  <c:v>181788.45259736807</c:v>
                </c:pt>
                <c:pt idx="3">
                  <c:v>211029.62951317258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20-4FEA-B26D-52D4DB65E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548031"/>
        <c:axId val="1727546783"/>
      </c:barChart>
      <c:catAx>
        <c:axId val="172754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546783"/>
        <c:crosses val="autoZero"/>
        <c:auto val="1"/>
        <c:lblAlgn val="ctr"/>
        <c:lblOffset val="100"/>
        <c:noMultiLvlLbl val="0"/>
      </c:catAx>
      <c:valAx>
        <c:axId val="172754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54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824803149606284E-2"/>
          <c:y val="0.82349372995042291"/>
          <c:w val="0.87490594925634291"/>
          <c:h val="0.148728492271799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48067962486376"/>
          <c:y val="5.3528001045271202E-2"/>
          <c:w val="0.85190302106388238"/>
          <c:h val="0.623729333103435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traitement'!$X$34</c:f>
              <c:strCache>
                <c:ptCount val="1"/>
                <c:pt idx="0">
                  <c:v>Energie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0-4622-8C46-E644D1E140CC}"/>
            </c:ext>
          </c:extLst>
        </c:ser>
        <c:ser>
          <c:idx val="1"/>
          <c:order val="1"/>
          <c:tx>
            <c:strRef>
              <c:f>'Résultats - post traitement'!$X$35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traitement'!$Y$35:$AB$35</c:f>
              <c:numCache>
                <c:formatCode>#,##0</c:formatCode>
                <c:ptCount val="4"/>
                <c:pt idx="0">
                  <c:v>22595.21120051519</c:v>
                </c:pt>
                <c:pt idx="1">
                  <c:v>1655.6173484742862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0-4622-8C46-E644D1E140CC}"/>
            </c:ext>
          </c:extLst>
        </c:ser>
        <c:ser>
          <c:idx val="2"/>
          <c:order val="2"/>
          <c:tx>
            <c:strRef>
              <c:f>'Résultats - post traitement'!$X$36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traitement'!$Y$36:$AB$36</c:f>
              <c:numCache>
                <c:formatCode>#,##0</c:formatCode>
                <c:ptCount val="4"/>
                <c:pt idx="0">
                  <c:v>72856.92088779372</c:v>
                </c:pt>
                <c:pt idx="1">
                  <c:v>51175.792254181877</c:v>
                </c:pt>
                <c:pt idx="2">
                  <c:v>26271.611038370531</c:v>
                </c:pt>
                <c:pt idx="3">
                  <c:v>7825.3339933467096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60-4622-8C46-E644D1E140CC}"/>
            </c:ext>
          </c:extLst>
        </c:ser>
        <c:ser>
          <c:idx val="3"/>
          <c:order val="3"/>
          <c:tx>
            <c:strRef>
              <c:f>'Résultats - post traitement'!$X$37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traitement'!$Y$37:$AB$37</c:f>
              <c:numCache>
                <c:formatCode>#,##0</c:formatCode>
                <c:ptCount val="4"/>
                <c:pt idx="0">
                  <c:v>8956.0754726763953</c:v>
                </c:pt>
                <c:pt idx="1">
                  <c:v>18485.672864157474</c:v>
                </c:pt>
                <c:pt idx="2">
                  <c:v>19824.186140330257</c:v>
                </c:pt>
                <c:pt idx="3">
                  <c:v>18758.833083694441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60-4622-8C46-E644D1E140CC}"/>
            </c:ext>
          </c:extLst>
        </c:ser>
        <c:ser>
          <c:idx val="4"/>
          <c:order val="4"/>
          <c:tx>
            <c:strRef>
              <c:f>'Résultats - post traitement'!$X$38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traitement'!$Y$38:$AB$38</c:f>
              <c:numCache>
                <c:formatCode>#,##0</c:formatCode>
                <c:ptCount val="4"/>
                <c:pt idx="0">
                  <c:v>1272.578680434025</c:v>
                </c:pt>
                <c:pt idx="1">
                  <c:v>763.58375558271553</c:v>
                </c:pt>
                <c:pt idx="2">
                  <c:v>418.76061780507041</c:v>
                </c:pt>
                <c:pt idx="3">
                  <c:v>42.847815085769014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60-4622-8C46-E644D1E140CC}"/>
            </c:ext>
          </c:extLst>
        </c:ser>
        <c:ser>
          <c:idx val="5"/>
          <c:order val="5"/>
          <c:tx>
            <c:strRef>
              <c:f>'Résultats - post traitement'!$X$39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traitement'!$Y$39:$AB$39</c:f>
              <c:numCache>
                <c:formatCode>#,##0</c:formatCode>
                <c:ptCount val="4"/>
                <c:pt idx="0">
                  <c:v>1509.2890182714993</c:v>
                </c:pt>
                <c:pt idx="1">
                  <c:v>2462.1507699560098</c:v>
                </c:pt>
                <c:pt idx="2">
                  <c:v>2831.1894581985521</c:v>
                </c:pt>
                <c:pt idx="3">
                  <c:v>3511.0257949634315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60-4622-8C46-E644D1E140CC}"/>
            </c:ext>
          </c:extLst>
        </c:ser>
        <c:ser>
          <c:idx val="6"/>
          <c:order val="6"/>
          <c:tx>
            <c:strRef>
              <c:f>'Résultats - post traitement'!$X$40</c:f>
              <c:strCache>
                <c:ptCount val="1"/>
                <c:pt idx="0">
                  <c:v>Electricité (PAC incluses)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traitement'!$Y$40:$AB$40</c:f>
              <c:numCache>
                <c:formatCode>#,##0</c:formatCode>
                <c:ptCount val="4"/>
                <c:pt idx="0">
                  <c:v>145662.83125130209</c:v>
                </c:pt>
                <c:pt idx="1">
                  <c:v>136571.33014114699</c:v>
                </c:pt>
                <c:pt idx="2">
                  <c:v>136391.39330494261</c:v>
                </c:pt>
                <c:pt idx="3">
                  <c:v>138770.35574361365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60-4622-8C46-E644D1E14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9923087"/>
        <c:axId val="1649920591"/>
      </c:barChart>
      <c:catAx>
        <c:axId val="164992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920591"/>
        <c:crosses val="autoZero"/>
        <c:auto val="1"/>
        <c:lblAlgn val="ctr"/>
        <c:lblOffset val="100"/>
        <c:noMultiLvlLbl val="0"/>
      </c:catAx>
      <c:valAx>
        <c:axId val="164992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92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685218420010485E-2"/>
          <c:y val="0.75608100082380203"/>
          <c:w val="0.82932914362682386"/>
          <c:h val="0.21958818307112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hors chauffage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traitement'!$A$114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traitement'!$B$114:$E$114</c:f>
              <c:numCache>
                <c:formatCode>_-* #\ ##0_-;\-* #\ ##0_-;_-* "-"??_-;_-@_-</c:formatCode>
                <c:ptCount val="4"/>
                <c:pt idx="0">
                  <c:v>135185.90450817489</c:v>
                </c:pt>
                <c:pt idx="1">
                  <c:v>143571.48465130985</c:v>
                </c:pt>
                <c:pt idx="2">
                  <c:v>166296.47997488041</c:v>
                </c:pt>
                <c:pt idx="3">
                  <c:v>196606.62358904525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5-43D0-AF34-9C5F00B6D539}"/>
            </c:ext>
          </c:extLst>
        </c:ser>
        <c:ser>
          <c:idx val="1"/>
          <c:order val="1"/>
          <c:tx>
            <c:strRef>
              <c:f>'Résultats - post traitement'!$A$115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traitement'!$B$115:$E$115</c:f>
              <c:numCache>
                <c:formatCode>_-* #\ ##0_-;\-* #\ ##0_-;_-* "-"??_-;_-@_-</c:formatCode>
                <c:ptCount val="4"/>
                <c:pt idx="0">
                  <c:v>16918.432156631196</c:v>
                </c:pt>
                <c:pt idx="1">
                  <c:v>14402.066372549833</c:v>
                </c:pt>
                <c:pt idx="2">
                  <c:v>13527.232268561685</c:v>
                </c:pt>
                <c:pt idx="3">
                  <c:v>12627.611524259042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5-43D0-AF34-9C5F00B6D539}"/>
            </c:ext>
          </c:extLst>
        </c:ser>
        <c:ser>
          <c:idx val="2"/>
          <c:order val="2"/>
          <c:tx>
            <c:strRef>
              <c:f>'Résultats - post traitement'!$A$116</c:f>
              <c:strCache>
                <c:ptCount val="1"/>
                <c:pt idx="0">
                  <c:v>Pétrole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traitement'!$B$116:$E$116</c:f>
              <c:numCache>
                <c:formatCode>_-* #\ ##0_-;\-* #\ ##0_-;_-* "-"??_-;_-@_-</c:formatCode>
                <c:ptCount val="4"/>
                <c:pt idx="0">
                  <c:v>4958.7960253733008</c:v>
                </c:pt>
                <c:pt idx="1">
                  <c:v>3883.0438834044844</c:v>
                </c:pt>
                <c:pt idx="2">
                  <c:v>3298.4830966687159</c:v>
                </c:pt>
                <c:pt idx="3">
                  <c:v>2934.6220514475667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5-43D0-AF34-9C5F00B6D539}"/>
            </c:ext>
          </c:extLst>
        </c:ser>
        <c:ser>
          <c:idx val="3"/>
          <c:order val="3"/>
          <c:tx>
            <c:strRef>
              <c:f>'Résultats - post traitement'!$A$117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traitement'!$B$117:$E$117</c:f>
              <c:numCache>
                <c:formatCode>_-* #\ ##0_-;\-* #\ ##0_-;_-* "-"??_-;_-@_-</c:formatCode>
                <c:ptCount val="4"/>
                <c:pt idx="0">
                  <c:v>214.6153499104517</c:v>
                </c:pt>
                <c:pt idx="1">
                  <c:v>237.24516632789317</c:v>
                </c:pt>
                <c:pt idx="2">
                  <c:v>247.32151527102963</c:v>
                </c:pt>
                <c:pt idx="3">
                  <c:v>253.94561321281111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D5-43D0-AF34-9C5F00B6D539}"/>
            </c:ext>
          </c:extLst>
        </c:ser>
        <c:ser>
          <c:idx val="4"/>
          <c:order val="4"/>
          <c:tx>
            <c:strRef>
              <c:f>'Résultats - post traitement'!$A$118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traitement'!$B$118:$E$118</c:f>
              <c:numCache>
                <c:formatCode>_-* #\ ##0_-;\-* #\ ##0_-;_-* "-"??_-;_-@_-</c:formatCode>
                <c:ptCount val="4"/>
                <c:pt idx="0">
                  <c:v>1550.4931364675845</c:v>
                </c:pt>
                <c:pt idx="1">
                  <c:v>1705.013329449637</c:v>
                </c:pt>
                <c:pt idx="2">
                  <c:v>1647.084315696889</c:v>
                </c:pt>
                <c:pt idx="3">
                  <c:v>1557.3658025191423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D5-43D0-AF34-9C5F00B6D539}"/>
            </c:ext>
          </c:extLst>
        </c:ser>
        <c:ser>
          <c:idx val="5"/>
          <c:order val="5"/>
          <c:tx>
            <c:strRef>
              <c:f>'Résultats - post traitement'!$A$119</c:f>
              <c:strCache>
                <c:ptCount val="1"/>
                <c:pt idx="0">
                  <c:v>EnR thermique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traitement'!$B$119:$E$119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D5-43D0-AF34-9C5F00B6D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hors chauffage en GWh AMS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traitement'!$A$114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traitement'!$Y$114:$AB$114</c:f>
              <c:numCache>
                <c:formatCode>_-* #\ ##0_-;\-* #\ ##0_-;_-* "-"??_-;_-@_-</c:formatCode>
                <c:ptCount val="4"/>
                <c:pt idx="0">
                  <c:v>128079.98349568721</c:v>
                </c:pt>
                <c:pt idx="1">
                  <c:v>116014.78099460196</c:v>
                </c:pt>
                <c:pt idx="2">
                  <c:v>114741.90528015945</c:v>
                </c:pt>
                <c:pt idx="3">
                  <c:v>115507.24789704484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8-49DF-B419-7AD2D127BEC6}"/>
            </c:ext>
          </c:extLst>
        </c:ser>
        <c:ser>
          <c:idx val="1"/>
          <c:order val="1"/>
          <c:tx>
            <c:strRef>
              <c:f>'Résultats - post traitement'!$A$115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traitement'!$Y$115:$AB$115</c:f>
              <c:numCache>
                <c:formatCode>_-* #\ ##0_-;\-* #\ ##0_-;_-* "-"??_-;_-@_-</c:formatCode>
                <c:ptCount val="4"/>
                <c:pt idx="0">
                  <c:v>17051.351069612236</c:v>
                </c:pt>
                <c:pt idx="1">
                  <c:v>9769.9481421713226</c:v>
                </c:pt>
                <c:pt idx="2">
                  <c:v>4789.0413418723874</c:v>
                </c:pt>
                <c:pt idx="3">
                  <c:v>1396.0196909874151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8-49DF-B419-7AD2D127BEC6}"/>
            </c:ext>
          </c:extLst>
        </c:ser>
        <c:ser>
          <c:idx val="2"/>
          <c:order val="2"/>
          <c:tx>
            <c:strRef>
              <c:f>'Résultats - post traitement'!$A$116</c:f>
              <c:strCache>
                <c:ptCount val="1"/>
                <c:pt idx="0">
                  <c:v>Pétrole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traitement'!$Y$116:$AB$116</c:f>
              <c:numCache>
                <c:formatCode>_-* #\ ##0_-;\-* #\ ##0_-;_-* "-"??_-;_-@_-</c:formatCode>
                <c:ptCount val="4"/>
                <c:pt idx="0">
                  <c:v>4958.7960253733008</c:v>
                </c:pt>
                <c:pt idx="1">
                  <c:v>244.5200229373591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08-49DF-B419-7AD2D127BEC6}"/>
            </c:ext>
          </c:extLst>
        </c:ser>
        <c:ser>
          <c:idx val="3"/>
          <c:order val="3"/>
          <c:tx>
            <c:strRef>
              <c:f>'Résultats - post traitement'!$A$117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traitement'!$Y$117:$AB$117</c:f>
              <c:numCache>
                <c:formatCode>_-* #\ ##0_-;\-* #\ ##0_-;_-* "-"??_-;_-@_-</c:formatCode>
                <c:ptCount val="4"/>
                <c:pt idx="0">
                  <c:v>214.6153499104517</c:v>
                </c:pt>
                <c:pt idx="1">
                  <c:v>663.01904787483431</c:v>
                </c:pt>
                <c:pt idx="2">
                  <c:v>533.48745170182087</c:v>
                </c:pt>
                <c:pt idx="3">
                  <c:v>436.08334641640846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8-49DF-B419-7AD2D127BEC6}"/>
            </c:ext>
          </c:extLst>
        </c:ser>
        <c:ser>
          <c:idx val="4"/>
          <c:order val="4"/>
          <c:tx>
            <c:strRef>
              <c:f>'Résultats - post traitement'!$A$118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traitement'!$Y$118:$AB$118</c:f>
              <c:numCache>
                <c:formatCode>_-* #\ ##0_-;\-* #\ ##0_-;_-* "-"??_-;_-@_-</c:formatCode>
                <c:ptCount val="4"/>
                <c:pt idx="0">
                  <c:v>1550.4931364675845</c:v>
                </c:pt>
                <c:pt idx="1">
                  <c:v>3511.2270385742158</c:v>
                </c:pt>
                <c:pt idx="2">
                  <c:v>3436.1166994956225</c:v>
                </c:pt>
                <c:pt idx="3">
                  <c:v>3057.3919854415244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08-49DF-B419-7AD2D127BEC6}"/>
            </c:ext>
          </c:extLst>
        </c:ser>
        <c:ser>
          <c:idx val="5"/>
          <c:order val="5"/>
          <c:tx>
            <c:strRef>
              <c:f>'Résultats - post traitement'!$A$119</c:f>
              <c:strCache>
                <c:ptCount val="1"/>
                <c:pt idx="0">
                  <c:v>EnR thermique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traitement'!$Y$119:$AB$119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0.10237102088032506</c:v>
                </c:pt>
                <c:pt idx="2">
                  <c:v>0.18111913431789947</c:v>
                </c:pt>
                <c:pt idx="3">
                  <c:v>0.22945699217555426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08-49DF-B419-7AD2D127B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traitement'!$A$132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'Résultats - post traitement'!$B$131:$E$131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traitement'!$B$132:$E$132</c:f>
              <c:numCache>
                <c:formatCode>_-* #\ ##0_-;\-* #\ ##0_-;_-* "-"??_-;_-@_-</c:formatCode>
                <c:ptCount val="4"/>
                <c:pt idx="0">
                  <c:v>6.1222742263570664</c:v>
                </c:pt>
                <c:pt idx="1">
                  <c:v>4.4618691743810457</c:v>
                </c:pt>
                <c:pt idx="2">
                  <c:v>3.6654336221406592</c:v>
                </c:pt>
                <c:pt idx="3">
                  <c:v>2.9145464716030243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F-4EA5-BEA0-23DE06CBA7F5}"/>
            </c:ext>
          </c:extLst>
        </c:ser>
        <c:ser>
          <c:idx val="1"/>
          <c:order val="1"/>
          <c:tx>
            <c:strRef>
              <c:f>'Résultats - post traitement'!$A$133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'Résultats - post traitement'!$B$131:$E$131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traitement'!$B$133:$E$133</c:f>
              <c:numCache>
                <c:formatCode>_-* #\ ##0_-;\-* #\ ##0_-;_-* "-"??_-;_-@_-</c:formatCode>
                <c:ptCount val="4"/>
                <c:pt idx="0">
                  <c:v>14.924105214138644</c:v>
                </c:pt>
                <c:pt idx="1">
                  <c:v>12.129712419996673</c:v>
                </c:pt>
                <c:pt idx="2">
                  <c:v>11.159936537700665</c:v>
                </c:pt>
                <c:pt idx="3">
                  <c:v>10.048325325998642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F-4EA5-BEA0-23DE06CBA7F5}"/>
            </c:ext>
          </c:extLst>
        </c:ser>
        <c:ser>
          <c:idx val="2"/>
          <c:order val="2"/>
          <c:tx>
            <c:strRef>
              <c:f>'Résultats - post traitement'!$A$134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'Résultats - post traitement'!$B$131:$E$131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traitement'!$B$134:$E$134</c:f>
              <c:numCache>
                <c:formatCode>_-* #\ ##0_-;\-* #\ ##0_-;_-* "-"??_-;_-@_-</c:formatCode>
                <c:ptCount val="4"/>
                <c:pt idx="0">
                  <c:v>1.3434113209014595</c:v>
                </c:pt>
                <c:pt idx="1">
                  <c:v>1.313094947256922</c:v>
                </c:pt>
                <c:pt idx="2">
                  <c:v>1.2458307751643554</c:v>
                </c:pt>
                <c:pt idx="3">
                  <c:v>1.1210131126474054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BF-4EA5-BEA0-23DE06CBA7F5}"/>
            </c:ext>
          </c:extLst>
        </c:ser>
        <c:ser>
          <c:idx val="3"/>
          <c:order val="3"/>
          <c:tx>
            <c:strRef>
              <c:f>'Résultats - post traitement'!$A$135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'Résultats - post traitement'!$B$131:$E$131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traitement'!$B$135:$E$135</c:f>
              <c:numCache>
                <c:formatCode>_-* #\ ##0_-;\-* #\ ##0_-;_-* "-"??_-;_-@_-</c:formatCode>
                <c:ptCount val="4"/>
                <c:pt idx="0">
                  <c:v>0.34481092418623072</c:v>
                </c:pt>
                <c:pt idx="1">
                  <c:v>0.29701700232998635</c:v>
                </c:pt>
                <c:pt idx="2">
                  <c:v>0.28295246095858384</c:v>
                </c:pt>
                <c:pt idx="3">
                  <c:v>0.26257537232669625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BF-4EA5-BEA0-23DE06CBA7F5}"/>
            </c:ext>
          </c:extLst>
        </c:ser>
        <c:ser>
          <c:idx val="4"/>
          <c:order val="4"/>
          <c:tx>
            <c:strRef>
              <c:f>'Résultats - post traitement'!$A$136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'Résultats - post traitement'!$B$131:$E$131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traitement'!$B$136:$E$136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BF-4EA5-BEA0-23DE06CBA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66896"/>
        <c:axId val="179362320"/>
      </c:areaChart>
      <c:catAx>
        <c:axId val="17936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2320"/>
        <c:crosses val="autoZero"/>
        <c:auto val="1"/>
        <c:lblAlgn val="ctr"/>
        <c:lblOffset val="100"/>
        <c:noMultiLvlLbl val="0"/>
      </c:catAx>
      <c:valAx>
        <c:axId val="17936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traitement'!$A$132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'Résultats - post traitement'!$Y$131:$AB$131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traitement'!$Y$132:$AB$132</c:f>
              <c:numCache>
                <c:formatCode>_-* #\ ##0.0_-;\-* #\ ##0.0_-;_-* "-"??_-;_-@_-</c:formatCode>
                <c:ptCount val="4"/>
                <c:pt idx="0">
                  <c:v>6.1222742263570664</c:v>
                </c:pt>
                <c:pt idx="1">
                  <c:v>0.448596976205411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8-4B25-A78D-970E5DE26CC4}"/>
            </c:ext>
          </c:extLst>
        </c:ser>
        <c:ser>
          <c:idx val="1"/>
          <c:order val="1"/>
          <c:tx>
            <c:strRef>
              <c:f>'Résultats - post traitement'!$A$133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'Résultats - post traitement'!$Y$131:$AB$131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traitement'!$Y$133:$AB$133</c:f>
              <c:numCache>
                <c:formatCode>_-* #\ ##0.0_-;\-* #\ ##0.0_-;_-* "-"??_-;_-@_-</c:formatCode>
                <c:ptCount val="4"/>
                <c:pt idx="0">
                  <c:v>14.951382258696302</c:v>
                </c:pt>
                <c:pt idx="1">
                  <c:v>10.502074793447575</c:v>
                </c:pt>
                <c:pt idx="2">
                  <c:v>5.3913464143153398</c:v>
                </c:pt>
                <c:pt idx="3">
                  <c:v>1.6058812040202335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F8-4B25-A78D-970E5DE26CC4}"/>
            </c:ext>
          </c:extLst>
        </c:ser>
        <c:ser>
          <c:idx val="2"/>
          <c:order val="2"/>
          <c:tx>
            <c:strRef>
              <c:f>'Résultats - post traitement'!$A$134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'Résultats - post traitement'!$Y$131:$AB$131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traitement'!$Y$134:$AB$134</c:f>
              <c:numCache>
                <c:formatCode>_-* #\ ##0.0_-;\-* #\ ##0.0_-;_-* "-"??_-;_-@_-</c:formatCode>
                <c:ptCount val="4"/>
                <c:pt idx="0">
                  <c:v>1.3434113209014593</c:v>
                </c:pt>
                <c:pt idx="1">
                  <c:v>2.1566618341517052</c:v>
                </c:pt>
                <c:pt idx="2">
                  <c:v>1.5418811442479088</c:v>
                </c:pt>
                <c:pt idx="3">
                  <c:v>0.93794165418472197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F8-4B25-A78D-970E5DE26CC4}"/>
            </c:ext>
          </c:extLst>
        </c:ser>
        <c:ser>
          <c:idx val="3"/>
          <c:order val="3"/>
          <c:tx>
            <c:strRef>
              <c:f>'Résultats - post traitement'!$A$135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'Résultats - post traitement'!$Y$131:$AB$131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traitement'!$Y$135:$AB$135</c:f>
              <c:numCache>
                <c:formatCode>_-* #\ ##0.0_-;\-* #\ ##0.0_-;_-* "-"??_-;_-@_-</c:formatCode>
                <c:ptCount val="4"/>
                <c:pt idx="0">
                  <c:v>0.34481092418623083</c:v>
                </c:pt>
                <c:pt idx="1">
                  <c:v>0.20689645717329705</c:v>
                </c:pt>
                <c:pt idx="2">
                  <c:v>0.11346507517233954</c:v>
                </c:pt>
                <c:pt idx="3">
                  <c:v>1.1609808451329539E-2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F8-4B25-A78D-970E5DE26CC4}"/>
            </c:ext>
          </c:extLst>
        </c:ser>
        <c:ser>
          <c:idx val="4"/>
          <c:order val="4"/>
          <c:tx>
            <c:strRef>
              <c:f>'Résultats - post traitement'!$A$136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'Résultats - post traitement'!$Y$131:$AB$131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traitement'!$Y$136:$AB$136</c:f>
              <c:numCache>
                <c:formatCode>_-* #\ ##0.0_-;\-* #\ ##0.0_-;_-*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F8-4B25-A78D-970E5DE26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66896"/>
        <c:axId val="179362320"/>
      </c:areaChart>
      <c:catAx>
        <c:axId val="17936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2320"/>
        <c:crosses val="autoZero"/>
        <c:auto val="1"/>
        <c:lblAlgn val="ctr"/>
        <c:lblOffset val="100"/>
        <c:noMultiLvlLbl val="0"/>
      </c:catAx>
      <c:valAx>
        <c:axId val="17936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Répartition du parc par</a:t>
            </a:r>
            <a:r>
              <a:rPr lang="fr-FR" sz="1200" baseline="0"/>
              <a:t> énergie en AMS (en milliers de m²)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traitement'!$X$155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traitement'!$Y$155:$AB$155</c:f>
              <c:numCache>
                <c:formatCode>_-* #\ ##0_-;\-* #\ ##0_-;_-* "-"??_-;_-@_-</c:formatCode>
                <c:ptCount val="4"/>
                <c:pt idx="0">
                  <c:v>141901.09343289433</c:v>
                </c:pt>
                <c:pt idx="1">
                  <c:v>12854.882597958662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D-47D2-858A-8A1B147B27DD}"/>
            </c:ext>
          </c:extLst>
        </c:ser>
        <c:ser>
          <c:idx val="1"/>
          <c:order val="1"/>
          <c:tx>
            <c:strRef>
              <c:f>'Résultats - post traitement'!$X$156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traitement'!$Y$156:$AB$156</c:f>
              <c:numCache>
                <c:formatCode>_-* #\ ##0_-;\-* #\ ##0_-;_-* "-"??_-;_-@_-</c:formatCode>
                <c:ptCount val="4"/>
                <c:pt idx="0">
                  <c:v>454344.37842089933</c:v>
                </c:pt>
                <c:pt idx="1">
                  <c:v>375798.85805990337</c:v>
                </c:pt>
                <c:pt idx="2">
                  <c:v>221612.02081877773</c:v>
                </c:pt>
                <c:pt idx="3">
                  <c:v>65081.484843831073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D-47D2-858A-8A1B147B27DD}"/>
            </c:ext>
          </c:extLst>
        </c:ser>
        <c:ser>
          <c:idx val="2"/>
          <c:order val="2"/>
          <c:tx>
            <c:strRef>
              <c:f>'Résultats - post traitement'!$X$157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traitement'!$Y$157:$AB$157</c:f>
              <c:numCache>
                <c:formatCode>_-* #\ ##0_-;\-* #\ ##0_-;_-* "-"??_-;_-@_-</c:formatCode>
                <c:ptCount val="4"/>
                <c:pt idx="0">
                  <c:v>71441.245547844053</c:v>
                </c:pt>
                <c:pt idx="1">
                  <c:v>187778.06218926172</c:v>
                </c:pt>
                <c:pt idx="2">
                  <c:v>227415.30910128169</c:v>
                </c:pt>
                <c:pt idx="3">
                  <c:v>236382.27092098337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8D-47D2-858A-8A1B147B27DD}"/>
            </c:ext>
          </c:extLst>
        </c:ser>
        <c:ser>
          <c:idx val="3"/>
          <c:order val="3"/>
          <c:tx>
            <c:strRef>
              <c:f>'Résultats - post traitement'!$X$158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traitement'!$Y$158:$AB$158</c:f>
              <c:numCache>
                <c:formatCode>_-* #\ ##0_-;\-* #\ ##0_-;_-* "-"??_-;_-@_-</c:formatCode>
                <c:ptCount val="4"/>
                <c:pt idx="0">
                  <c:v>14072.698497935504</c:v>
                </c:pt>
                <c:pt idx="1">
                  <c:v>10239.909292832006</c:v>
                </c:pt>
                <c:pt idx="2">
                  <c:v>6168.4832918836091</c:v>
                </c:pt>
                <c:pt idx="3">
                  <c:v>723.61470960254644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8D-47D2-858A-8A1B147B27DD}"/>
            </c:ext>
          </c:extLst>
        </c:ser>
        <c:ser>
          <c:idx val="4"/>
          <c:order val="4"/>
          <c:tx>
            <c:strRef>
              <c:f>'Résultats - post traitement'!$X$159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traitement'!$Y$159:$AB$159</c:f>
              <c:numCache>
                <c:formatCode>_-* #\ ##0_-;\-* #\ ##0_-;_-* "-"??_-;_-@_-</c:formatCode>
                <c:ptCount val="4"/>
                <c:pt idx="0">
                  <c:v>12713.837338469146</c:v>
                </c:pt>
                <c:pt idx="1">
                  <c:v>21889.569103846479</c:v>
                </c:pt>
                <c:pt idx="2">
                  <c:v>32419.239495909082</c:v>
                </c:pt>
                <c:pt idx="3">
                  <c:v>45971.32954744211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8D-47D2-858A-8A1B147B27DD}"/>
            </c:ext>
          </c:extLst>
        </c:ser>
        <c:ser>
          <c:idx val="5"/>
          <c:order val="5"/>
          <c:tx>
            <c:strRef>
              <c:f>'Résultats - post traitement'!$X$160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traitement'!$Y$160:$AB$160</c:f>
              <c:numCache>
                <c:formatCode>_-* #\ ##0_-;\-* #\ ##0_-;_-* "-"??_-;_-@_-</c:formatCode>
                <c:ptCount val="4"/>
                <c:pt idx="0">
                  <c:v>230136.8893728843</c:v>
                </c:pt>
                <c:pt idx="1">
                  <c:v>154514.92716328381</c:v>
                </c:pt>
                <c:pt idx="2">
                  <c:v>108953.71079058354</c:v>
                </c:pt>
                <c:pt idx="3">
                  <c:v>101367.12962952405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8D-47D2-858A-8A1B147B27DD}"/>
            </c:ext>
          </c:extLst>
        </c:ser>
        <c:ser>
          <c:idx val="6"/>
          <c:order val="6"/>
          <c:tx>
            <c:strRef>
              <c:f>'Résultats - post traitement'!$X$161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traitement'!$Y$161:$AB$161</c:f>
              <c:numCache>
                <c:formatCode>_-* #\ ##0_-;\-* #\ ##0_-;_-* "-"??_-;_-@_-</c:formatCode>
                <c:ptCount val="4"/>
                <c:pt idx="0">
                  <c:v>58665.760521050746</c:v>
                </c:pt>
                <c:pt idx="1">
                  <c:v>234717.75133310686</c:v>
                </c:pt>
                <c:pt idx="2">
                  <c:v>400220.52002304565</c:v>
                </c:pt>
                <c:pt idx="3">
                  <c:v>515623.3766493274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8D-47D2-858A-8A1B147B2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203679"/>
        <c:axId val="2031204095"/>
      </c:areaChart>
      <c:catAx>
        <c:axId val="203120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4095"/>
        <c:crosses val="autoZero"/>
        <c:auto val="1"/>
        <c:lblAlgn val="ctr"/>
        <c:lblOffset val="100"/>
        <c:noMultiLvlLbl val="0"/>
      </c:catAx>
      <c:valAx>
        <c:axId val="2031204095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3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Répartition du parc par</a:t>
            </a:r>
            <a:r>
              <a:rPr lang="fr-FR" sz="1200" baseline="0"/>
              <a:t> énergie en AMS (en milliers de m²)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traitement'!$H$156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traitement'!$I$156:$L$156</c:f>
              <c:numCache>
                <c:formatCode>_-* #\ ##0_-;\-* #\ ##0_-;_-* "-"??_-;_-@_-</c:formatCode>
                <c:ptCount val="4"/>
                <c:pt idx="0">
                  <c:v>141901.09343289433</c:v>
                </c:pt>
                <c:pt idx="1">
                  <c:v>119795.24600839353</c:v>
                </c:pt>
                <c:pt idx="2">
                  <c:v>106837.52312213337</c:v>
                </c:pt>
                <c:pt idx="3">
                  <c:v>89459.646012257595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F-42A6-8F6F-90647015C263}"/>
            </c:ext>
          </c:extLst>
        </c:ser>
        <c:ser>
          <c:idx val="1"/>
          <c:order val="1"/>
          <c:tx>
            <c:strRef>
              <c:f>'Résultats - post traitement'!$H$157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traitement'!$I$157:$L$157</c:f>
              <c:numCache>
                <c:formatCode>_-* #\ ##0_-;\-* #\ ##0_-;_-* "-"??_-;_-@_-</c:formatCode>
                <c:ptCount val="4"/>
                <c:pt idx="0">
                  <c:v>454344.37842089933</c:v>
                </c:pt>
                <c:pt idx="1">
                  <c:v>425698.0135294536</c:v>
                </c:pt>
                <c:pt idx="2">
                  <c:v>424752.27544970828</c:v>
                </c:pt>
                <c:pt idx="3">
                  <c:v>411072.66227964632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8F-42A6-8F6F-90647015C263}"/>
            </c:ext>
          </c:extLst>
        </c:ser>
        <c:ser>
          <c:idx val="2"/>
          <c:order val="2"/>
          <c:tx>
            <c:strRef>
              <c:f>'Résultats - post traitement'!$H$158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traitement'!$I$158:$L$158</c:f>
              <c:numCache>
                <c:formatCode>_-* #\ ##0_-;\-* #\ ##0_-;_-* "-"??_-;_-@_-</c:formatCode>
                <c:ptCount val="4"/>
                <c:pt idx="0">
                  <c:v>71441.245547844053</c:v>
                </c:pt>
                <c:pt idx="1">
                  <c:v>81560.511200861423</c:v>
                </c:pt>
                <c:pt idx="2">
                  <c:v>82050.115232573749</c:v>
                </c:pt>
                <c:pt idx="3">
                  <c:v>77571.216481423311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8F-42A6-8F6F-90647015C263}"/>
            </c:ext>
          </c:extLst>
        </c:ser>
        <c:ser>
          <c:idx val="3"/>
          <c:order val="3"/>
          <c:tx>
            <c:strRef>
              <c:f>'Résultats - post traitement'!$H$159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traitement'!$I$159:$L$159</c:f>
              <c:numCache>
                <c:formatCode>_-* #\ ##0_-;\-* #\ ##0_-;_-* "-"??_-;_-@_-</c:formatCode>
                <c:ptCount val="4"/>
                <c:pt idx="0">
                  <c:v>14072.698497935502</c:v>
                </c:pt>
                <c:pt idx="1">
                  <c:v>14397.688968434337</c:v>
                </c:pt>
                <c:pt idx="2">
                  <c:v>14836.842407550766</c:v>
                </c:pt>
                <c:pt idx="3">
                  <c:v>14844.114596695159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8F-42A6-8F6F-90647015C263}"/>
            </c:ext>
          </c:extLst>
        </c:ser>
        <c:ser>
          <c:idx val="4"/>
          <c:order val="4"/>
          <c:tx>
            <c:strRef>
              <c:f>'Résultats - post traitement'!$H$160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traitement'!$I$160:$L$160</c:f>
              <c:numCache>
                <c:formatCode>_-* #\ ##0_-;\-* #\ ##0_-;_-* "-"??_-;_-@_-</c:formatCode>
                <c:ptCount val="4"/>
                <c:pt idx="0">
                  <c:v>12713.837338469146</c:v>
                </c:pt>
                <c:pt idx="1">
                  <c:v>14667.798089274911</c:v>
                </c:pt>
                <c:pt idx="2">
                  <c:v>16053.693516742846</c:v>
                </c:pt>
                <c:pt idx="3">
                  <c:v>17005.877321405918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8F-42A6-8F6F-90647015C263}"/>
            </c:ext>
          </c:extLst>
        </c:ser>
        <c:ser>
          <c:idx val="5"/>
          <c:order val="5"/>
          <c:tx>
            <c:strRef>
              <c:f>'Résultats - post traitement'!$H$161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traitement'!$I$161:$L$161</c:f>
              <c:numCache>
                <c:formatCode>_-* #\ ##0_-;\-* #\ ##0_-;_-* "-"??_-;_-@_-</c:formatCode>
                <c:ptCount val="4"/>
                <c:pt idx="0">
                  <c:v>230136.8893728843</c:v>
                </c:pt>
                <c:pt idx="1">
                  <c:v>197786.28475220225</c:v>
                </c:pt>
                <c:pt idx="2">
                  <c:v>172616.25557423016</c:v>
                </c:pt>
                <c:pt idx="3">
                  <c:v>139920.91422536096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8F-42A6-8F6F-90647015C263}"/>
            </c:ext>
          </c:extLst>
        </c:ser>
        <c:ser>
          <c:idx val="6"/>
          <c:order val="6"/>
          <c:tx>
            <c:strRef>
              <c:f>'Résultats - post traitement'!$H$162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traitement'!$I$162:$L$162</c:f>
              <c:numCache>
                <c:formatCode>_-* #\ ##0_-;\-* #\ ##0_-;_-* "-"??_-;_-@_-</c:formatCode>
                <c:ptCount val="4"/>
                <c:pt idx="0">
                  <c:v>58665.760521050746</c:v>
                </c:pt>
                <c:pt idx="1">
                  <c:v>148376.85497280321</c:v>
                </c:pt>
                <c:pt idx="2">
                  <c:v>203668.18796500482</c:v>
                </c:pt>
                <c:pt idx="3">
                  <c:v>259565.63894468066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8F-42A6-8F6F-90647015C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203679"/>
        <c:axId val="2031204095"/>
      </c:areaChart>
      <c:catAx>
        <c:axId val="203120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4095"/>
        <c:crosses val="autoZero"/>
        <c:auto val="1"/>
        <c:lblAlgn val="ctr"/>
        <c:lblOffset val="100"/>
        <c:noMultiLvlLbl val="0"/>
      </c:catAx>
      <c:valAx>
        <c:axId val="2031204095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3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'Résultats - post traitement'!$Y$24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'Résultats - post traitement'!$Z$8:$AC$8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traitement'!$Z$24:$AC$24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943305.87487551966</c:v>
                </c:pt>
                <c:pt idx="2">
                  <c:v>954650.08370665286</c:v>
                </c:pt>
                <c:pt idx="3">
                  <c:v>931004.81064076687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F-4480-B509-1677AC063E9F}"/>
            </c:ext>
          </c:extLst>
        </c:ser>
        <c:ser>
          <c:idx val="0"/>
          <c:order val="1"/>
          <c:tx>
            <c:strRef>
              <c:f>'Résultats - post traitement'!$Y$23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'Résultats - post traitement'!$Z$8:$AC$8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traitement'!$Z$23:$AC$23</c:f>
              <c:numCache>
                <c:formatCode>#,##0</c:formatCode>
                <c:ptCount val="4"/>
                <c:pt idx="0">
                  <c:v>0</c:v>
                </c:pt>
                <c:pt idx="1">
                  <c:v>54508.804549841887</c:v>
                </c:pt>
                <c:pt idx="2">
                  <c:v>43094.231129653381</c:v>
                </c:pt>
                <c:pt idx="3">
                  <c:v>33683.415838559042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F-4480-B509-1677AC063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51312"/>
        <c:axId val="1814052976"/>
      </c:areaChart>
      <c:catAx>
        <c:axId val="181405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4052976"/>
        <c:crosses val="autoZero"/>
        <c:auto val="1"/>
        <c:lblAlgn val="ctr"/>
        <c:lblOffset val="100"/>
        <c:noMultiLvlLbl val="0"/>
      </c:catAx>
      <c:valAx>
        <c:axId val="1814052976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milliers de</a:t>
                </a:r>
                <a:r>
                  <a:rPr lang="fr-FR" baseline="0"/>
                  <a:t> m²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4051312"/>
        <c:crosses val="autoZero"/>
        <c:crossBetween val="midCat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</a:t>
            </a:r>
            <a:r>
              <a:rPr lang="fr-FR" baseline="0"/>
              <a:t> du parc par énergie (Mm²)</a:t>
            </a:r>
            <a:endParaRPr lang="fr-FR"/>
          </a:p>
        </c:rich>
      </c:tx>
      <c:layout>
        <c:manualLayout>
          <c:xMode val="edge"/>
          <c:yMode val="edge"/>
          <c:x val="0.3566158230221223"/>
          <c:y val="1.3250515870231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traitement'!$X$170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traitement'!$Y$170:$AB$170</c:f>
              <c:numCache>
                <c:formatCode>_-* #\ ##0.0_-;\-* #\ ##0.0_-;_-* "-"??_-;_-@_-</c:formatCode>
                <c:ptCount val="4"/>
                <c:pt idx="0">
                  <c:v>141.90109343289433</c:v>
                </c:pt>
                <c:pt idx="1">
                  <c:v>12.854882597958662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F-4580-98B0-E3E49578B143}"/>
            </c:ext>
          </c:extLst>
        </c:ser>
        <c:ser>
          <c:idx val="1"/>
          <c:order val="1"/>
          <c:tx>
            <c:strRef>
              <c:f>'Résultats - post traitement'!$X$171</c:f>
              <c:strCache>
                <c:ptCount val="1"/>
                <c:pt idx="0">
                  <c:v>Gaz de réseau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traitement'!$Y$171:$AB$171</c:f>
              <c:numCache>
                <c:formatCode>_-* #\ ##0.0_-;\-* #\ ##0.0_-;_-* "-"??_-;_-@_-</c:formatCode>
                <c:ptCount val="4"/>
                <c:pt idx="0">
                  <c:v>454.34437842089932</c:v>
                </c:pt>
                <c:pt idx="1">
                  <c:v>375.79885805990335</c:v>
                </c:pt>
                <c:pt idx="2">
                  <c:v>221.61202081877772</c:v>
                </c:pt>
                <c:pt idx="3">
                  <c:v>65.081484843831078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F-4580-98B0-E3E49578B143}"/>
            </c:ext>
          </c:extLst>
        </c:ser>
        <c:ser>
          <c:idx val="2"/>
          <c:order val="2"/>
          <c:tx>
            <c:strRef>
              <c:f>'Résultats - post traitement'!$X$172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96825396825397E-3"/>
                  <c:y val="-3.312628967557885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FF-4580-98B0-E3E49578B1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traitement'!$Y$172:$AB$172</c:f>
              <c:numCache>
                <c:formatCode>_-* #\ ##0.0_-;\-* #\ ##0.0_-;_-* "-"??_-;_-@_-</c:formatCode>
                <c:ptCount val="4"/>
                <c:pt idx="0">
                  <c:v>71.441245547844048</c:v>
                </c:pt>
                <c:pt idx="1">
                  <c:v>187.77806218926173</c:v>
                </c:pt>
                <c:pt idx="2">
                  <c:v>227.41530910128168</c:v>
                </c:pt>
                <c:pt idx="3">
                  <c:v>236.38227092098336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FF-4580-98B0-E3E49578B143}"/>
            </c:ext>
          </c:extLst>
        </c:ser>
        <c:ser>
          <c:idx val="5"/>
          <c:order val="3"/>
          <c:tx>
            <c:strRef>
              <c:f>'Résultats - post traitement'!$X$175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traitement'!$Y$175:$AB$175</c:f>
              <c:numCache>
                <c:formatCode>_-* #\ ##0.0_-;\-* #\ ##0.0_-;_-* "-"??_-;_-@_-</c:formatCode>
                <c:ptCount val="4"/>
                <c:pt idx="0">
                  <c:v>230.1368893728843</c:v>
                </c:pt>
                <c:pt idx="1">
                  <c:v>154.5149271632838</c:v>
                </c:pt>
                <c:pt idx="2">
                  <c:v>108.95371079058354</c:v>
                </c:pt>
                <c:pt idx="3">
                  <c:v>101.36712962952404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FF-4580-98B0-E3E49578B143}"/>
            </c:ext>
          </c:extLst>
        </c:ser>
        <c:ser>
          <c:idx val="6"/>
          <c:order val="4"/>
          <c:tx>
            <c:strRef>
              <c:f>'Résultats - post traitement'!$X$176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625257935115771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FF-4580-98B0-E3E49578B1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traitement'!$Y$176:$AB$176</c:f>
              <c:numCache>
                <c:formatCode>_-* #\ ##0.0_-;\-* #\ ##0.0_-;_-* "-"??_-;_-@_-</c:formatCode>
                <c:ptCount val="4"/>
                <c:pt idx="0">
                  <c:v>58.66576052105075</c:v>
                </c:pt>
                <c:pt idx="1">
                  <c:v>234.71775133310686</c:v>
                </c:pt>
                <c:pt idx="2">
                  <c:v>400.22052002304565</c:v>
                </c:pt>
                <c:pt idx="3">
                  <c:v>515.62337664932738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FF-4580-98B0-E3E49578B143}"/>
            </c:ext>
          </c:extLst>
        </c:ser>
        <c:ser>
          <c:idx val="4"/>
          <c:order val="5"/>
          <c:tx>
            <c:strRef>
              <c:f>'Résultats - post traitement'!$X$174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traitement'!$Y$174:$AB$174</c:f>
              <c:numCache>
                <c:formatCode>_-* #\ ##0.0_-;\-* #\ ##0.0_-;_-* "-"??_-;_-@_-</c:formatCode>
                <c:ptCount val="4"/>
                <c:pt idx="0">
                  <c:v>12.713837338469146</c:v>
                </c:pt>
                <c:pt idx="1">
                  <c:v>21.88956910384648</c:v>
                </c:pt>
                <c:pt idx="2">
                  <c:v>32.419239495909082</c:v>
                </c:pt>
                <c:pt idx="3">
                  <c:v>45.97132954744211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FF-4580-98B0-E3E49578B143}"/>
            </c:ext>
          </c:extLst>
        </c:ser>
        <c:ser>
          <c:idx val="3"/>
          <c:order val="6"/>
          <c:tx>
            <c:strRef>
              <c:f>'Résultats - post traitement'!$X$173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traitement'!$Y$173:$AB$173</c:f>
              <c:numCache>
                <c:formatCode>_-* #\ ##0.0_-;\-* #\ ##0.0_-;_-* "-"??_-;_-@_-</c:formatCode>
                <c:ptCount val="4"/>
                <c:pt idx="0">
                  <c:v>14.072698497935503</c:v>
                </c:pt>
                <c:pt idx="1">
                  <c:v>10.239909292832007</c:v>
                </c:pt>
                <c:pt idx="2">
                  <c:v>6.168483291883609</c:v>
                </c:pt>
                <c:pt idx="3">
                  <c:v>0.72361470960254648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FF-4580-98B0-E3E49578B1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95880736"/>
        <c:axId val="1495886560"/>
      </c:barChart>
      <c:catAx>
        <c:axId val="14958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886560"/>
        <c:crosses val="autoZero"/>
        <c:auto val="1"/>
        <c:lblAlgn val="ctr"/>
        <c:lblOffset val="100"/>
        <c:noMultiLvlLbl val="0"/>
      </c:catAx>
      <c:valAx>
        <c:axId val="14958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milliers</a:t>
                </a:r>
                <a:r>
                  <a:rPr lang="fr-FR" baseline="0"/>
                  <a:t> de m²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88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</a:t>
            </a:r>
            <a:r>
              <a:rPr lang="fr-FR" baseline="0"/>
              <a:t> du parc par énergie (Mm²)</a:t>
            </a:r>
            <a:endParaRPr lang="fr-FR"/>
          </a:p>
        </c:rich>
      </c:tx>
      <c:layout>
        <c:manualLayout>
          <c:xMode val="edge"/>
          <c:yMode val="edge"/>
          <c:x val="0.3566158230221223"/>
          <c:y val="1.3250515870231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'Résultats - post traitement'!$X$170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399A6-88E6-4055-91DC-9481DBEF26D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F16A-43EB-826A-ACEFDC8126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48E18E-108E-42C0-907E-35092415FE9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16A-43EB-826A-ACEFDC8126E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16A-43EB-826A-ACEFDC8126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5B26F37-DEE8-43CB-B105-A1B071C9818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16A-43EB-826A-ACEFDC812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traitement'!$Y$170:$AB$170</c:f>
              <c:numCache>
                <c:formatCode>_-* #\ ##0.0_-;\-* #\ ##0.0_-;_-* "-"??_-;_-@_-</c:formatCode>
                <c:ptCount val="4"/>
                <c:pt idx="0">
                  <c:v>141.90109343289433</c:v>
                </c:pt>
                <c:pt idx="1">
                  <c:v>12.854882597958662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'Résultats - post traitement'!$Y$183:$AB$183</c15:f>
                <c15:dlblRangeCache>
                  <c:ptCount val="4"/>
                  <c:pt idx="0">
                    <c:v>14%</c:v>
                  </c:pt>
                  <c:pt idx="1">
                    <c:v>1%</c:v>
                  </c:pt>
                  <c:pt idx="2">
                    <c:v>0%</c:v>
                  </c:pt>
                  <c:pt idx="3">
                    <c:v>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16A-43EB-826A-ACEFDC8126E5}"/>
            </c:ext>
          </c:extLst>
        </c:ser>
        <c:ser>
          <c:idx val="3"/>
          <c:order val="1"/>
          <c:tx>
            <c:strRef>
              <c:f>'Résultats - post traitement'!$X$173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30B8624-0766-4171-85ED-EF8591B8408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F16A-43EB-826A-ACEFDC8126E5}"/>
                </c:ext>
              </c:extLst>
            </c:dLbl>
            <c:dLbl>
              <c:idx val="1"/>
              <c:layout>
                <c:manualLayout>
                  <c:x val="6.6115702479338035E-3"/>
                  <c:y val="-1.8731823914955412E-2"/>
                </c:manualLayout>
              </c:layout>
              <c:tx>
                <c:rich>
                  <a:bodyPr/>
                  <a:lstStyle/>
                  <a:p>
                    <a:fld id="{D8D03E37-CBFB-44A3-836D-A234115E753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F16A-43EB-826A-ACEFDC8126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A764E7-3837-4329-B6A9-A05B45D48BA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16A-43EB-826A-ACEFDC8126E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16A-43EB-826A-ACEFDC812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traitement'!$Y$173:$AB$173</c:f>
              <c:numCache>
                <c:formatCode>_-* #\ ##0.0_-;\-* #\ ##0.0_-;_-* "-"??_-;_-@_-</c:formatCode>
                <c:ptCount val="4"/>
                <c:pt idx="0">
                  <c:v>14.072698497935503</c:v>
                </c:pt>
                <c:pt idx="1">
                  <c:v>10.239909292832007</c:v>
                </c:pt>
                <c:pt idx="2">
                  <c:v>6.168483291883609</c:v>
                </c:pt>
                <c:pt idx="3">
                  <c:v>0.72361470960254648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'Résultats - post traitement'!$Y$186:$AB$186</c15:f>
                <c15:dlblRangeCache>
                  <c:ptCount val="4"/>
                  <c:pt idx="0">
                    <c:v>1%</c:v>
                  </c:pt>
                  <c:pt idx="1">
                    <c:v>1%</c:v>
                  </c:pt>
                  <c:pt idx="2">
                    <c:v>1%</c:v>
                  </c:pt>
                  <c:pt idx="3">
                    <c:v>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F16A-43EB-826A-ACEFDC8126E5}"/>
            </c:ext>
          </c:extLst>
        </c:ser>
        <c:ser>
          <c:idx val="1"/>
          <c:order val="2"/>
          <c:tx>
            <c:strRef>
              <c:f>'Résultats - post traitement'!$X$171</c:f>
              <c:strCache>
                <c:ptCount val="1"/>
                <c:pt idx="0">
                  <c:v>Gaz de réseau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0B94949-8680-45EA-9778-72D13EDB337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F16A-43EB-826A-ACEFDC8126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C243E7-0346-4C52-9F4C-7803E2FC42F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16A-43EB-826A-ACEFDC8126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E30F32-D45A-40C4-9658-90ADA933717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16A-43EB-826A-ACEFDC8126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E313356-FAF4-4368-A7D1-061FE7ABDB5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16A-43EB-826A-ACEFDC812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traitement'!$Y$171:$AB$171</c:f>
              <c:numCache>
                <c:formatCode>_-* #\ ##0.0_-;\-* #\ ##0.0_-;_-* "-"??_-;_-@_-</c:formatCode>
                <c:ptCount val="4"/>
                <c:pt idx="0">
                  <c:v>454.34437842089932</c:v>
                </c:pt>
                <c:pt idx="1">
                  <c:v>375.79885805990335</c:v>
                </c:pt>
                <c:pt idx="2">
                  <c:v>221.61202081877772</c:v>
                </c:pt>
                <c:pt idx="3">
                  <c:v>65.081484843831078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'Résultats - post traitement'!$Y$184:$AB$184</c15:f>
                <c15:dlblRangeCache>
                  <c:ptCount val="4"/>
                  <c:pt idx="0">
                    <c:v>46%</c:v>
                  </c:pt>
                  <c:pt idx="1">
                    <c:v>38%</c:v>
                  </c:pt>
                  <c:pt idx="2">
                    <c:v>22%</c:v>
                  </c:pt>
                  <c:pt idx="3">
                    <c:v>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16A-43EB-826A-ACEFDC8126E5}"/>
            </c:ext>
          </c:extLst>
        </c:ser>
        <c:ser>
          <c:idx val="2"/>
          <c:order val="3"/>
          <c:tx>
            <c:strRef>
              <c:f>'Résultats - post traitement'!$X$172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14A47C0-3422-4456-9B92-58BC7240F0C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16A-43EB-826A-ACEFDC8126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A59950-2031-48F7-A6D3-0AA107E7CC8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16A-43EB-826A-ACEFDC8126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C27DD99-86AD-4A0E-9895-C1D9EC1A9DC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16A-43EB-826A-ACEFDC8126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2F2EDFF-573C-4144-A67B-FC865E26085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16A-43EB-826A-ACEFDC812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traitement'!$Y$172:$AB$172</c:f>
              <c:numCache>
                <c:formatCode>_-* #\ ##0.0_-;\-* #\ ##0.0_-;_-* "-"??_-;_-@_-</c:formatCode>
                <c:ptCount val="4"/>
                <c:pt idx="0">
                  <c:v>71.441245547844048</c:v>
                </c:pt>
                <c:pt idx="1">
                  <c:v>187.77806218926173</c:v>
                </c:pt>
                <c:pt idx="2">
                  <c:v>227.41530910128168</c:v>
                </c:pt>
                <c:pt idx="3">
                  <c:v>236.38227092098336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'Résultats - post traitement'!$Y$185:$AB$185</c15:f>
                <c15:dlblRangeCache>
                  <c:ptCount val="4"/>
                  <c:pt idx="0">
                    <c:v>7%</c:v>
                  </c:pt>
                  <c:pt idx="1">
                    <c:v>19%</c:v>
                  </c:pt>
                  <c:pt idx="2">
                    <c:v>23%</c:v>
                  </c:pt>
                  <c:pt idx="3">
                    <c:v>24%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F16A-43EB-826A-ACEFDC8126E5}"/>
            </c:ext>
          </c:extLst>
        </c:ser>
        <c:ser>
          <c:idx val="4"/>
          <c:order val="4"/>
          <c:tx>
            <c:strRef>
              <c:f>'Résultats - post traitement'!$X$174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EDE27C3-0A15-4F35-BE90-81D57EC66B3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F16A-43EB-826A-ACEFDC8126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1BEC875-94E9-4F89-A27C-60A77C2B147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16A-43EB-826A-ACEFDC8126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14AC26D-6059-409E-87DB-4D6FE58B3FA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16A-43EB-826A-ACEFDC8126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99C2E03-E1FE-48F4-BFA1-C39DEA75B3E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16A-43EB-826A-ACEFDC812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traitement'!$Y$174:$AB$174</c:f>
              <c:numCache>
                <c:formatCode>_-* #\ ##0.0_-;\-* #\ ##0.0_-;_-* "-"??_-;_-@_-</c:formatCode>
                <c:ptCount val="4"/>
                <c:pt idx="0">
                  <c:v>12.713837338469146</c:v>
                </c:pt>
                <c:pt idx="1">
                  <c:v>21.88956910384648</c:v>
                </c:pt>
                <c:pt idx="2">
                  <c:v>32.419239495909082</c:v>
                </c:pt>
                <c:pt idx="3">
                  <c:v>45.97132954744211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'Résultats - post traitement'!$Y$187:$AB$187</c15:f>
                <c15:dlblRangeCache>
                  <c:ptCount val="4"/>
                  <c:pt idx="0">
                    <c:v>1%</c:v>
                  </c:pt>
                  <c:pt idx="1">
                    <c:v>2%</c:v>
                  </c:pt>
                  <c:pt idx="2">
                    <c:v>3%</c:v>
                  </c:pt>
                  <c:pt idx="3">
                    <c:v>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F16A-43EB-826A-ACEFDC8126E5}"/>
            </c:ext>
          </c:extLst>
        </c:ser>
        <c:ser>
          <c:idx val="5"/>
          <c:order val="5"/>
          <c:tx>
            <c:strRef>
              <c:f>'Résultats - post traitement'!$X$175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1E23388-FEB0-43F7-8330-2B7F5747670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F16A-43EB-826A-ACEFDC8126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3F51D8-7A17-4019-A1C1-D0A745DEE03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16A-43EB-826A-ACEFDC8126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CCA3AEA-BD8D-483B-B65D-FB0ABAB3A5F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16A-43EB-826A-ACEFDC8126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DD4E3C0-C4D4-4BFF-BF9B-E583B665182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16A-43EB-826A-ACEFDC812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traitement'!$Y$175:$AB$175</c:f>
              <c:numCache>
                <c:formatCode>_-* #\ ##0.0_-;\-* #\ ##0.0_-;_-* "-"??_-;_-@_-</c:formatCode>
                <c:ptCount val="4"/>
                <c:pt idx="0">
                  <c:v>230.1368893728843</c:v>
                </c:pt>
                <c:pt idx="1">
                  <c:v>154.5149271632838</c:v>
                </c:pt>
                <c:pt idx="2">
                  <c:v>108.95371079058354</c:v>
                </c:pt>
                <c:pt idx="3">
                  <c:v>101.36712962952404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'Résultats - post traitement'!$Y$188:$AB$188</c15:f>
                <c15:dlblRangeCache>
                  <c:ptCount val="4"/>
                  <c:pt idx="0">
                    <c:v>23%</c:v>
                  </c:pt>
                  <c:pt idx="1">
                    <c:v>15%</c:v>
                  </c:pt>
                  <c:pt idx="2">
                    <c:v>11%</c:v>
                  </c:pt>
                  <c:pt idx="3">
                    <c:v>11%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F16A-43EB-826A-ACEFDC8126E5}"/>
            </c:ext>
          </c:extLst>
        </c:ser>
        <c:ser>
          <c:idx val="6"/>
          <c:order val="6"/>
          <c:tx>
            <c:strRef>
              <c:f>'Résultats - post traitement'!$X$177</c:f>
              <c:strCache>
                <c:ptCount val="1"/>
                <c:pt idx="0">
                  <c:v>dont PAC air/eau et air/air</c:v>
                </c:pt>
              </c:strCache>
            </c:strRef>
          </c:tx>
          <c:spPr>
            <a:pattFill prst="wdUpDiag">
              <a:fgClr>
                <a:schemeClr val="accent4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F46201A-5324-4383-A8DC-D2550357D7E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16A-43EB-826A-ACEFDC8126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9DF74D3-1337-4E0E-A3A3-E529BF0BF49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16A-43EB-826A-ACEFDC8126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09F0C18-CFAC-4586-A648-5B4D000B261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16A-43EB-826A-ACEFDC8126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0BC845D-F6AA-4EB4-B834-60124C34F3E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16A-43EB-826A-ACEFDC812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traitement'!$Y$177:$AB$177</c:f>
              <c:numCache>
                <c:formatCode>_-* #\ ##0.0_-;\-* #\ ##0.0_-;_-* "-"??_-;_-@_-</c:formatCode>
                <c:ptCount val="4"/>
                <c:pt idx="0">
                  <c:v>58.66576052105075</c:v>
                </c:pt>
                <c:pt idx="1">
                  <c:v>199.08007794454346</c:v>
                </c:pt>
                <c:pt idx="2">
                  <c:v>314.2118870872564</c:v>
                </c:pt>
                <c:pt idx="3">
                  <c:v>373.01129277357035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'Résultats - post traitement'!$Y$190:$AB$190</c15:f>
                <c15:dlblRangeCache>
                  <c:ptCount val="4"/>
                  <c:pt idx="0">
                    <c:v>6%</c:v>
                  </c:pt>
                  <c:pt idx="1">
                    <c:v>20%</c:v>
                  </c:pt>
                  <c:pt idx="2">
                    <c:v>32%</c:v>
                  </c:pt>
                  <c:pt idx="3">
                    <c:v>39%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16A-43EB-826A-ACEFDC8126E5}"/>
            </c:ext>
          </c:extLst>
        </c:ser>
        <c:ser>
          <c:idx val="7"/>
          <c:order val="7"/>
          <c:tx>
            <c:strRef>
              <c:f>'Résultats - post traitement'!$X$178</c:f>
              <c:strCache>
                <c:ptCount val="1"/>
                <c:pt idx="0">
                  <c:v>dont PAC géothermique</c:v>
                </c:pt>
              </c:strCache>
            </c:strRef>
          </c:tx>
          <c:spPr>
            <a:pattFill prst="pct80">
              <a:fgClr>
                <a:schemeClr val="accent4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16A-43EB-826A-ACEFDC8126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53CD96A-DACA-472B-8484-0676FF93DA8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16A-43EB-826A-ACEFDC8126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516697C-3A3E-4614-80EF-6F7F7C8FFB8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16A-43EB-826A-ACEFDC8126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5907C85-8982-4B93-A1FB-E23E53C7532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16A-43EB-826A-ACEFDC812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'Résultats - post traitement'!$Y$178:$AB$178</c:f>
              <c:numCache>
                <c:formatCode>_-* #\ ##0.0_-;\-* #\ ##0.0_-;_-* "-"??_-;_-@_-</c:formatCode>
                <c:ptCount val="4"/>
                <c:pt idx="1">
                  <c:v>33.290495875232331</c:v>
                </c:pt>
                <c:pt idx="2">
                  <c:v>78.00422253532831</c:v>
                </c:pt>
                <c:pt idx="3">
                  <c:v>121.98714880978397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'Résultats - post traitement'!$Y$191:$AB$191</c15:f>
                <c15:dlblRangeCache>
                  <c:ptCount val="4"/>
                  <c:pt idx="0">
                    <c:v>0%</c:v>
                  </c:pt>
                  <c:pt idx="1">
                    <c:v>3%</c:v>
                  </c:pt>
                  <c:pt idx="2">
                    <c:v>8%</c:v>
                  </c:pt>
                  <c:pt idx="3">
                    <c:v>13%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F16A-43EB-826A-ACEFDC8126E5}"/>
            </c:ext>
          </c:extLst>
        </c:ser>
        <c:ser>
          <c:idx val="8"/>
          <c:order val="8"/>
          <c:tx>
            <c:strRef>
              <c:f>'Résultats - post traitement'!$X$179</c:f>
              <c:strCache>
                <c:ptCount val="1"/>
                <c:pt idx="0">
                  <c:v>dont PAC hybride</c:v>
                </c:pt>
              </c:strCache>
            </c:strRef>
          </c:tx>
          <c:spPr>
            <a:pattFill prst="lgGrid">
              <a:fgClr>
                <a:schemeClr val="accent4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16A-43EB-826A-ACEFDC8126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EEF78E0-9216-40C1-8E16-6EE420E3DE6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16A-43EB-826A-ACEFDC8126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310277-6936-471C-B1C1-9F71227D6D8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16A-43EB-826A-ACEFDC8126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E1865F1-9C55-4723-8AE0-26F59782E01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16A-43EB-826A-ACEFDC812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'Résultats - post traitement'!$Y$179:$AB$179</c:f>
              <c:numCache>
                <c:formatCode>_-* #\ ##0.0_-;\-* #\ ##0.0_-;_-* "-"??_-;_-@_-</c:formatCode>
                <c:ptCount val="4"/>
                <c:pt idx="1">
                  <c:v>2.3471775133310691</c:v>
                </c:pt>
                <c:pt idx="2">
                  <c:v>8.0044104004609142</c:v>
                </c:pt>
                <c:pt idx="3">
                  <c:v>20.624935065973094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'Résultats - post traitement'!$Y$192:$AB$192</c15:f>
                <c15:dlblRangeCache>
                  <c:ptCount val="4"/>
                  <c:pt idx="0">
                    <c:v>0%</c:v>
                  </c:pt>
                  <c:pt idx="1">
                    <c:v>0%</c:v>
                  </c:pt>
                  <c:pt idx="2">
                    <c:v>1%</c:v>
                  </c:pt>
                  <c:pt idx="3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F16A-43EB-826A-ACEFDC8126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95880736"/>
        <c:axId val="1495886560"/>
      </c:barChart>
      <c:catAx>
        <c:axId val="14958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886560"/>
        <c:crosses val="autoZero"/>
        <c:auto val="1"/>
        <c:lblAlgn val="ctr"/>
        <c:lblOffset val="100"/>
        <c:noMultiLvlLbl val="0"/>
      </c:catAx>
      <c:valAx>
        <c:axId val="14958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milliers</a:t>
                </a:r>
                <a:r>
                  <a:rPr lang="fr-FR" baseline="0"/>
                  <a:t> de m²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88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AME'!$H$13:$K$13</c:f>
              <c:numCache>
                <c:formatCode>#,##0</c:formatCode>
                <c:ptCount val="4"/>
                <c:pt idx="0">
                  <c:v>3705.16846907939</c:v>
                </c:pt>
                <c:pt idx="1">
                  <c:v>2535.2488876939278</c:v>
                </c:pt>
                <c:pt idx="2">
                  <c:v>1849.6380122881747</c:v>
                </c:pt>
                <c:pt idx="3">
                  <c:v>1270.1720577734352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4-400F-8A64-2D32F603F3E9}"/>
            </c:ext>
          </c:extLst>
        </c:ser>
        <c:ser>
          <c:idx val="1"/>
          <c:order val="1"/>
          <c:tx>
            <c:strRef>
              <c:f>'Bureaux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AME'!$H$14:$K$14</c:f>
              <c:numCache>
                <c:formatCode>#,##0</c:formatCode>
                <c:ptCount val="4"/>
                <c:pt idx="0">
                  <c:v>17519.297184247305</c:v>
                </c:pt>
                <c:pt idx="1">
                  <c:v>14064.468612966739</c:v>
                </c:pt>
                <c:pt idx="2">
                  <c:v>12178.540690198633</c:v>
                </c:pt>
                <c:pt idx="3">
                  <c:v>10558.976644641007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4-400F-8A64-2D32F603F3E9}"/>
            </c:ext>
          </c:extLst>
        </c:ser>
        <c:ser>
          <c:idx val="2"/>
          <c:order val="2"/>
          <c:tx>
            <c:strRef>
              <c:f>'Bureaux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AME'!$H$15:$K$15</c:f>
              <c:numCache>
                <c:formatCode>#,##0</c:formatCode>
                <c:ptCount val="4"/>
                <c:pt idx="0">
                  <c:v>2766.1150896935142</c:v>
                </c:pt>
                <c:pt idx="1">
                  <c:v>2535.3244043351169</c:v>
                </c:pt>
                <c:pt idx="2">
                  <c:v>2323.5713690795424</c:v>
                </c:pt>
                <c:pt idx="3">
                  <c:v>2055.4151584710185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24-400F-8A64-2D32F603F3E9}"/>
            </c:ext>
          </c:extLst>
        </c:ser>
        <c:ser>
          <c:idx val="3"/>
          <c:order val="3"/>
          <c:tx>
            <c:strRef>
              <c:f>'Bureaux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AME'!$H$16:$K$16</c:f>
              <c:numCache>
                <c:formatCode>#,##0</c:formatCode>
                <c:ptCount val="4"/>
                <c:pt idx="0">
                  <c:v>394.01187233155542</c:v>
                </c:pt>
                <c:pt idx="1">
                  <c:v>302.77797812911427</c:v>
                </c:pt>
                <c:pt idx="2">
                  <c:v>255.44488197166822</c:v>
                </c:pt>
                <c:pt idx="3">
                  <c:v>212.45280019903859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24-400F-8A64-2D32F603F3E9}"/>
            </c:ext>
          </c:extLst>
        </c:ser>
        <c:ser>
          <c:idx val="4"/>
          <c:order val="4"/>
          <c:tx>
            <c:strRef>
              <c:f>'Bureaux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AME'!$H$17:$K$17</c:f>
              <c:numCache>
                <c:formatCode>#,##0</c:formatCode>
                <c:ptCount val="4"/>
                <c:pt idx="0">
                  <c:v>411.65001129323497</c:v>
                </c:pt>
                <c:pt idx="1">
                  <c:v>427.87867337585004</c:v>
                </c:pt>
                <c:pt idx="2">
                  <c:v>464.91367483614022</c:v>
                </c:pt>
                <c:pt idx="3">
                  <c:v>489.59611720793072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24-400F-8A64-2D32F603F3E9}"/>
            </c:ext>
          </c:extLst>
        </c:ser>
        <c:ser>
          <c:idx val="5"/>
          <c:order val="5"/>
          <c:tx>
            <c:strRef>
              <c:f>'Bureaux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AME'!$H$18:$K$18</c:f>
              <c:numCache>
                <c:formatCode>#,##0</c:formatCode>
                <c:ptCount val="4"/>
                <c:pt idx="0">
                  <c:v>6418.4622476422319</c:v>
                </c:pt>
                <c:pt idx="1">
                  <c:v>4703.0267969750648</c:v>
                </c:pt>
                <c:pt idx="2">
                  <c:v>3735.1156579025806</c:v>
                </c:pt>
                <c:pt idx="3">
                  <c:v>2905.3549191243555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24-400F-8A64-2D32F603F3E9}"/>
            </c:ext>
          </c:extLst>
        </c:ser>
        <c:ser>
          <c:idx val="6"/>
          <c:order val="6"/>
          <c:tx>
            <c:strRef>
              <c:f>'Bureaux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AME'!$H$19:$K$19</c:f>
              <c:numCache>
                <c:formatCode>#,##0</c:formatCode>
                <c:ptCount val="4"/>
                <c:pt idx="0">
                  <c:v>1152.0826387608718</c:v>
                </c:pt>
                <c:pt idx="1">
                  <c:v>1595.5654718999112</c:v>
                </c:pt>
                <c:pt idx="2">
                  <c:v>2205.5392330518689</c:v>
                </c:pt>
                <c:pt idx="3">
                  <c:v>2444.3126962431202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24-400F-8A64-2D32F603F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'Bureaux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'Bureaux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AME'!$H$8:$K$8</c:f>
              <c:numCache>
                <c:formatCode>#,##0</c:formatCode>
                <c:ptCount val="4"/>
                <c:pt idx="0">
                  <c:v>0</c:v>
                </c:pt>
                <c:pt idx="1">
                  <c:v>6206.4099090819327</c:v>
                </c:pt>
                <c:pt idx="2">
                  <c:v>6411.8444638873989</c:v>
                </c:pt>
                <c:pt idx="3">
                  <c:v>5961.6497428461562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E-4534-AB3C-D6EC2E08ED06}"/>
            </c:ext>
          </c:extLst>
        </c:ser>
        <c:ser>
          <c:idx val="1"/>
          <c:order val="1"/>
          <c:tx>
            <c:strRef>
              <c:f>'Bureaux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'Bureaux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AME'!$H$9:$K$9</c:f>
              <c:numCache>
                <c:formatCode>#,##0</c:formatCode>
                <c:ptCount val="4"/>
                <c:pt idx="0">
                  <c:v>287333.79208712652</c:v>
                </c:pt>
                <c:pt idx="1">
                  <c:v>269335.75939351093</c:v>
                </c:pt>
                <c:pt idx="2">
                  <c:v>269590.45844565687</c:v>
                </c:pt>
                <c:pt idx="3">
                  <c:v>263785.0239682839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E-4534-AB3C-D6EC2E0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AME'!$H$111:$K$111</c:f>
              <c:numCache>
                <c:formatCode>_-* #\ ##0_-;\-* #\ ##0_-;_-* "-"??_-;_-@_-</c:formatCode>
                <c:ptCount val="4"/>
                <c:pt idx="0" formatCode="0">
                  <c:v>1323.486177155158</c:v>
                </c:pt>
                <c:pt idx="1">
                  <c:v>766.70866262584013</c:v>
                </c:pt>
                <c:pt idx="2">
                  <c:v>490.35652596024755</c:v>
                </c:pt>
                <c:pt idx="3">
                  <c:v>294.13353994374381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C-4729-90E2-BFCD3E581386}"/>
            </c:ext>
          </c:extLst>
        </c:ser>
        <c:ser>
          <c:idx val="1"/>
          <c:order val="1"/>
          <c:tx>
            <c:strRef>
              <c:f>'Bureaux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AME'!$H$112:$K$112</c:f>
              <c:numCache>
                <c:formatCode>_-* #\ ##0_-;\-* #\ ##0_-;_-* "-"??_-;_-@_-</c:formatCode>
                <c:ptCount val="4"/>
                <c:pt idx="0" formatCode="0">
                  <c:v>6257.8929542131382</c:v>
                </c:pt>
                <c:pt idx="1">
                  <c:v>4152.5698869838916</c:v>
                </c:pt>
                <c:pt idx="2">
                  <c:v>3191.4468470930515</c:v>
                </c:pt>
                <c:pt idx="3">
                  <c:v>2503.3742174042231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C-4729-90E2-BFCD3E581386}"/>
            </c:ext>
          </c:extLst>
        </c:ser>
        <c:ser>
          <c:idx val="2"/>
          <c:order val="2"/>
          <c:tx>
            <c:strRef>
              <c:f>'Bureaux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AME'!$H$113:$K$113</c:f>
              <c:numCache>
                <c:formatCode>_-* #\ ##0_-;\-* #\ ##0_-;_-* "-"??_-;_-@_-</c:formatCode>
                <c:ptCount val="4"/>
                <c:pt idx="0" formatCode="0">
                  <c:v>988.05631003852329</c:v>
                </c:pt>
                <c:pt idx="1">
                  <c:v>878.09954630148968</c:v>
                </c:pt>
                <c:pt idx="2">
                  <c:v>726.77353035813621</c:v>
                </c:pt>
                <c:pt idx="3">
                  <c:v>555.82986333029851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7C-4729-90E2-BFCD3E581386}"/>
            </c:ext>
          </c:extLst>
        </c:ser>
        <c:ser>
          <c:idx val="3"/>
          <c:order val="3"/>
          <c:tx>
            <c:strRef>
              <c:f>'Bureaux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AME'!$H$114:$K$114</c:f>
              <c:numCache>
                <c:formatCode>_-* #\ ##0_-;\-* #\ ##0_-;_-* "-"??_-;_-@_-</c:formatCode>
                <c:ptCount val="4"/>
                <c:pt idx="0" formatCode="0">
                  <c:v>140.74104079683161</c:v>
                </c:pt>
                <c:pt idx="1">
                  <c:v>92.365693597333618</c:v>
                </c:pt>
                <c:pt idx="2">
                  <c:v>70.077319870984709</c:v>
                </c:pt>
                <c:pt idx="3">
                  <c:v>54.135862968955905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7C-4729-90E2-BFCD3E581386}"/>
            </c:ext>
          </c:extLst>
        </c:ser>
        <c:ser>
          <c:idx val="4"/>
          <c:order val="4"/>
          <c:tx>
            <c:strRef>
              <c:f>'Bureaux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AME'!$H$115:$K$115</c:f>
              <c:numCache>
                <c:formatCode>_-* #\ ##0_-;\-* #\ ##0_-;_-* "-"??_-;_-@_-</c:formatCode>
                <c:ptCount val="4"/>
                <c:pt idx="0" formatCode="0">
                  <c:v>147.04138403394353</c:v>
                </c:pt>
                <c:pt idx="1">
                  <c:v>127.77379716837866</c:v>
                </c:pt>
                <c:pt idx="2">
                  <c:v>124.98209991255588</c:v>
                </c:pt>
                <c:pt idx="3">
                  <c:v>122.54511102194797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7C-4729-90E2-BFCD3E581386}"/>
            </c:ext>
          </c:extLst>
        </c:ser>
        <c:ser>
          <c:idx val="5"/>
          <c:order val="5"/>
          <c:tx>
            <c:strRef>
              <c:f>'Bureaux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AME'!$H$116:$K$116</c:f>
              <c:numCache>
                <c:formatCode>_-* #\ ##0_-;\-* #\ ##0_-;_-* "-"??_-;_-@_-</c:formatCode>
                <c:ptCount val="4"/>
                <c:pt idx="0" formatCode="0">
                  <c:v>2292.6747148578056</c:v>
                </c:pt>
                <c:pt idx="1">
                  <c:v>1477.3218802704735</c:v>
                </c:pt>
                <c:pt idx="2">
                  <c:v>1096.341818778878</c:v>
                </c:pt>
                <c:pt idx="3">
                  <c:v>824.23557216092968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7C-4729-90E2-BFCD3E581386}"/>
            </c:ext>
          </c:extLst>
        </c:ser>
        <c:ser>
          <c:idx val="6"/>
          <c:order val="6"/>
          <c:tx>
            <c:strRef>
              <c:f>'Bureaux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AME'!$H$117:$K$117</c:f>
              <c:numCache>
                <c:formatCode>_-* #\ ##0_-;\-* #\ ##0_-;_-* "-"??_-;_-@_-</c:formatCode>
                <c:ptCount val="4"/>
                <c:pt idx="0" formatCode="0">
                  <c:v>411.52391856538338</c:v>
                </c:pt>
                <c:pt idx="1">
                  <c:v>521.03586456746859</c:v>
                </c:pt>
                <c:pt idx="2">
                  <c:v>663.45215699914809</c:v>
                </c:pt>
                <c:pt idx="3">
                  <c:v>789.29238291058368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7C-4729-90E2-BFCD3E581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AME'!$H$122:$K$122</c:f>
              <c:numCache>
                <c:formatCode>_-* #\ ##0_-;\-* #\ ##0_-;_-* "-"??_-;_-@_-</c:formatCode>
                <c:ptCount val="4"/>
                <c:pt idx="0">
                  <c:v>2381.6822919242318</c:v>
                </c:pt>
                <c:pt idx="1">
                  <c:v>1767.2890173421508</c:v>
                </c:pt>
                <c:pt idx="2">
                  <c:v>1357.9888631450813</c:v>
                </c:pt>
                <c:pt idx="3">
                  <c:v>974.83665357533971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2-4513-9DF4-25C4D7C44C39}"/>
            </c:ext>
          </c:extLst>
        </c:ser>
        <c:ser>
          <c:idx val="1"/>
          <c:order val="1"/>
          <c:tx>
            <c:strRef>
              <c:f>'Bureaux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AME'!$H$123:$K$123</c:f>
              <c:numCache>
                <c:formatCode>_-* #\ ##0_-;\-* #\ ##0_-;_-* "-"??_-;_-@_-</c:formatCode>
                <c:ptCount val="4"/>
                <c:pt idx="0">
                  <c:v>11261.404230034166</c:v>
                </c:pt>
                <c:pt idx="1">
                  <c:v>9911.8987259828464</c:v>
                </c:pt>
                <c:pt idx="2">
                  <c:v>8987.093843105582</c:v>
                </c:pt>
                <c:pt idx="3">
                  <c:v>8055.602427236784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D2-4513-9DF4-25C4D7C44C39}"/>
            </c:ext>
          </c:extLst>
        </c:ser>
        <c:ser>
          <c:idx val="2"/>
          <c:order val="2"/>
          <c:tx>
            <c:strRef>
              <c:f>'Bureaux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AME'!$H$124:$K$124</c:f>
              <c:numCache>
                <c:formatCode>_-* #\ ##0_-;\-* #\ ##0_-;_-* "-"??_-;_-@_-</c:formatCode>
                <c:ptCount val="4"/>
                <c:pt idx="0">
                  <c:v>1778.058779654991</c:v>
                </c:pt>
                <c:pt idx="1">
                  <c:v>1600.2732130315555</c:v>
                </c:pt>
                <c:pt idx="2">
                  <c:v>1537.9610723677267</c:v>
                </c:pt>
                <c:pt idx="3">
                  <c:v>1444.8796336141688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D2-4513-9DF4-25C4D7C44C39}"/>
            </c:ext>
          </c:extLst>
        </c:ser>
        <c:ser>
          <c:idx val="3"/>
          <c:order val="3"/>
          <c:tx>
            <c:strRef>
              <c:f>'Bureaux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AME'!$H$125:$K$125</c:f>
              <c:numCache>
                <c:formatCode>_-* #\ ##0_-;\-* #\ ##0_-;_-* "-"??_-;_-@_-</c:formatCode>
                <c:ptCount val="4"/>
                <c:pt idx="0">
                  <c:v>253.27083153472384</c:v>
                </c:pt>
                <c:pt idx="1">
                  <c:v>210.41228453178067</c:v>
                </c:pt>
                <c:pt idx="2">
                  <c:v>185.36756210068353</c:v>
                </c:pt>
                <c:pt idx="3">
                  <c:v>158.31693723008269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D2-4513-9DF4-25C4D7C44C39}"/>
            </c:ext>
          </c:extLst>
        </c:ser>
        <c:ser>
          <c:idx val="4"/>
          <c:order val="4"/>
          <c:tx>
            <c:strRef>
              <c:f>'Bureaux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AME'!$H$126:$K$126</c:f>
              <c:numCache>
                <c:formatCode>_-* #\ ##0_-;\-* #\ ##0_-;_-* "-"??_-;_-@_-</c:formatCode>
                <c:ptCount val="4"/>
                <c:pt idx="0">
                  <c:v>264.60862725929144</c:v>
                </c:pt>
                <c:pt idx="1">
                  <c:v>291.0731844087515</c:v>
                </c:pt>
                <c:pt idx="2">
                  <c:v>330.60093065298611</c:v>
                </c:pt>
                <c:pt idx="3">
                  <c:v>358.37549427522191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D2-4513-9DF4-25C4D7C44C39}"/>
            </c:ext>
          </c:extLst>
        </c:ser>
        <c:ser>
          <c:idx val="5"/>
          <c:order val="5"/>
          <c:tx>
            <c:strRef>
              <c:f>'Bureaux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AME'!$H$127:$K$127</c:f>
              <c:numCache>
                <c:formatCode>_-* #\ ##0_-;\-* #\ ##0_-;_-* "-"??_-;_-@_-</c:formatCode>
                <c:ptCount val="4"/>
                <c:pt idx="0">
                  <c:v>4125.7875327844267</c:v>
                </c:pt>
                <c:pt idx="1">
                  <c:v>3183.7525501803389</c:v>
                </c:pt>
                <c:pt idx="2">
                  <c:v>2595.4328331337697</c:v>
                </c:pt>
                <c:pt idx="3">
                  <c:v>2040.8214422544393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D2-4513-9DF4-25C4D7C44C39}"/>
            </c:ext>
          </c:extLst>
        </c:ser>
        <c:ser>
          <c:idx val="6"/>
          <c:order val="6"/>
          <c:tx>
            <c:strRef>
              <c:f>'Bureaux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AME'!$H$128:$K$128</c:f>
              <c:numCache>
                <c:formatCode>_-* #\ ##0_-;\-* #\ ##0_-;_-* "-"??_-;_-@_-</c:formatCode>
                <c:ptCount val="4"/>
                <c:pt idx="0">
                  <c:v>740.55872019548826</c:v>
                </c:pt>
                <c:pt idx="1">
                  <c:v>950.12583408088619</c:v>
                </c:pt>
                <c:pt idx="2">
                  <c:v>1413.5654900642619</c:v>
                </c:pt>
                <c:pt idx="3">
                  <c:v>1535.5226111699765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D2-4513-9DF4-25C4D7C44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AME'!$H$13:$K$13</c:f>
              <c:numCache>
                <c:formatCode>#,##0</c:formatCode>
                <c:ptCount val="4"/>
                <c:pt idx="0">
                  <c:v>1146.8355656667195</c:v>
                </c:pt>
                <c:pt idx="1">
                  <c:v>835.17618964683982</c:v>
                </c:pt>
                <c:pt idx="2">
                  <c:v>675.50310556953502</c:v>
                </c:pt>
                <c:pt idx="3">
                  <c:v>510.20016314096335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8-4149-A088-DA33DFC81370}"/>
            </c:ext>
          </c:extLst>
        </c:ser>
        <c:ser>
          <c:idx val="1"/>
          <c:order val="1"/>
          <c:tx>
            <c:strRef>
              <c:f>'CaHoREs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AME'!$H$14:$K$14</c:f>
              <c:numCache>
                <c:formatCode>#,##0</c:formatCode>
                <c:ptCount val="4"/>
                <c:pt idx="0">
                  <c:v>3676.1473473989763</c:v>
                </c:pt>
                <c:pt idx="1">
                  <c:v>3015.526438822641</c:v>
                </c:pt>
                <c:pt idx="2">
                  <c:v>2811.9835045819577</c:v>
                </c:pt>
                <c:pt idx="3">
                  <c:v>2529.5396658581626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8-4149-A088-DA33DFC81370}"/>
            </c:ext>
          </c:extLst>
        </c:ser>
        <c:ser>
          <c:idx val="2"/>
          <c:order val="2"/>
          <c:tx>
            <c:strRef>
              <c:f>'CaHoREs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AME'!$H$15:$K$15</c:f>
              <c:numCache>
                <c:formatCode>#,##0</c:formatCode>
                <c:ptCount val="4"/>
                <c:pt idx="0">
                  <c:v>623.71893019819117</c:v>
                </c:pt>
                <c:pt idx="1">
                  <c:v>712.05599625033801</c:v>
                </c:pt>
                <c:pt idx="2">
                  <c:v>753.2093097672365</c:v>
                </c:pt>
                <c:pt idx="3">
                  <c:v>632.38683333557231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D8-4149-A088-DA33DFC81370}"/>
            </c:ext>
          </c:extLst>
        </c:ser>
        <c:ser>
          <c:idx val="3"/>
          <c:order val="3"/>
          <c:tx>
            <c:strRef>
              <c:f>'CaHoREs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AME'!$H$16:$K$16</c:f>
              <c:numCache>
                <c:formatCode>#,##0</c:formatCode>
                <c:ptCount val="4"/>
                <c:pt idx="0">
                  <c:v>125.59756428433398</c:v>
                </c:pt>
                <c:pt idx="1">
                  <c:v>98.05625594622849</c:v>
                </c:pt>
                <c:pt idx="2">
                  <c:v>86.136962440908079</c:v>
                </c:pt>
                <c:pt idx="3">
                  <c:v>72.036390049353869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D8-4149-A088-DA33DFC81370}"/>
            </c:ext>
          </c:extLst>
        </c:ser>
        <c:ser>
          <c:idx val="4"/>
          <c:order val="4"/>
          <c:tx>
            <c:strRef>
              <c:f>'CaHoREs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AME'!$H$17:$K$17</c:f>
              <c:numCache>
                <c:formatCode>#,##0</c:formatCode>
                <c:ptCount val="4"/>
                <c:pt idx="0">
                  <c:v>213.99844443112971</c:v>
                </c:pt>
                <c:pt idx="1">
                  <c:v>288.4087099110024</c:v>
                </c:pt>
                <c:pt idx="2">
                  <c:v>378.06855077986063</c:v>
                </c:pt>
                <c:pt idx="3">
                  <c:v>452.31176105738109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D8-4149-A088-DA33DFC81370}"/>
            </c:ext>
          </c:extLst>
        </c:ser>
        <c:ser>
          <c:idx val="5"/>
          <c:order val="5"/>
          <c:tx>
            <c:strRef>
              <c:f>'CaHoREs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AME'!$H$18:$K$18</c:f>
              <c:numCache>
                <c:formatCode>#,##0</c:formatCode>
                <c:ptCount val="4"/>
                <c:pt idx="0">
                  <c:v>1168.4294749555543</c:v>
                </c:pt>
                <c:pt idx="1">
                  <c:v>836.42399986477778</c:v>
                </c:pt>
                <c:pt idx="2">
                  <c:v>682.92741153911754</c:v>
                </c:pt>
                <c:pt idx="3">
                  <c:v>544.06695270796627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D8-4149-A088-DA33DFC81370}"/>
            </c:ext>
          </c:extLst>
        </c:ser>
        <c:ser>
          <c:idx val="6"/>
          <c:order val="6"/>
          <c:tx>
            <c:strRef>
              <c:f>'CaHoREs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AME'!$H$19:$K$19</c:f>
              <c:numCache>
                <c:formatCode>#,##0</c:formatCode>
                <c:ptCount val="4"/>
                <c:pt idx="0">
                  <c:v>330.973842841916</c:v>
                </c:pt>
                <c:pt idx="1">
                  <c:v>472.41984610914938</c:v>
                </c:pt>
                <c:pt idx="2">
                  <c:v>531.33972995010924</c:v>
                </c:pt>
                <c:pt idx="3">
                  <c:v>567.53440965474181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D8-4149-A088-DA33DFC81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'CaHoREs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'CaHoREs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AME'!$H$8:$K$8</c:f>
              <c:numCache>
                <c:formatCode>#,##0</c:formatCode>
                <c:ptCount val="4"/>
                <c:pt idx="0">
                  <c:v>0</c:v>
                </c:pt>
                <c:pt idx="1">
                  <c:v>4554.2951187047984</c:v>
                </c:pt>
                <c:pt idx="2">
                  <c:v>3048.0726788650627</c:v>
                </c:pt>
                <c:pt idx="3">
                  <c:v>2041.8509200297726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F-4EB1-A3B3-00755418A127}"/>
            </c:ext>
          </c:extLst>
        </c:ser>
        <c:ser>
          <c:idx val="1"/>
          <c:order val="1"/>
          <c:tx>
            <c:strRef>
              <c:f>'CaHoREs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'CaHoREs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AME'!$H$9:$K$9</c:f>
              <c:numCache>
                <c:formatCode>#,##0</c:formatCode>
                <c:ptCount val="4"/>
                <c:pt idx="0">
                  <c:v>67243.869415029592</c:v>
                </c:pt>
                <c:pt idx="1">
                  <c:v>65307.245975876736</c:v>
                </c:pt>
                <c:pt idx="2">
                  <c:v>67849.528711057588</c:v>
                </c:pt>
                <c:pt idx="3">
                  <c:v>68171.331097608199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CF-4EB1-A3B3-00755418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AME'!$H$111:$K$111</c:f>
              <c:numCache>
                <c:formatCode>_-* #\ ##0_-;\-* #\ ##0_-;_-* "-"??_-;_-@_-</c:formatCode>
                <c:ptCount val="4"/>
                <c:pt idx="0" formatCode="0">
                  <c:v>314.80636277551451</c:v>
                </c:pt>
                <c:pt idx="1">
                  <c:v>178.11220672963955</c:v>
                </c:pt>
                <c:pt idx="2">
                  <c:v>131.75381496573479</c:v>
                </c:pt>
                <c:pt idx="3">
                  <c:v>87.117955791394436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0-4E4F-8EDB-9D55E2ACE3DC}"/>
            </c:ext>
          </c:extLst>
        </c:ser>
        <c:ser>
          <c:idx val="1"/>
          <c:order val="1"/>
          <c:tx>
            <c:strRef>
              <c:f>'CaHoREs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AME'!$H$112:$K$112</c:f>
              <c:numCache>
                <c:formatCode>_-* #\ ##0_-;\-* #\ ##0_-;_-* "-"??_-;_-@_-</c:formatCode>
                <c:ptCount val="4"/>
                <c:pt idx="0" formatCode="0">
                  <c:v>1009.102446861019</c:v>
                </c:pt>
                <c:pt idx="1">
                  <c:v>642.09320287473929</c:v>
                </c:pt>
                <c:pt idx="2">
                  <c:v>553.92943722827397</c:v>
                </c:pt>
                <c:pt idx="3">
                  <c:v>453.28188768052894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0-4E4F-8EDB-9D55E2ACE3DC}"/>
            </c:ext>
          </c:extLst>
        </c:ser>
        <c:ser>
          <c:idx val="2"/>
          <c:order val="2"/>
          <c:tx>
            <c:strRef>
              <c:f>'CaHoREs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AME'!$H$113:$K$113</c:f>
              <c:numCache>
                <c:formatCode>_-* #\ ##0_-;\-* #\ ##0_-;_-* "-"??_-;_-@_-</c:formatCode>
                <c:ptCount val="4"/>
                <c:pt idx="0" formatCode="0">
                  <c:v>171.21084633940347</c:v>
                </c:pt>
                <c:pt idx="1">
                  <c:v>176.1240921025007</c:v>
                </c:pt>
                <c:pt idx="2">
                  <c:v>162.85394940044964</c:v>
                </c:pt>
                <c:pt idx="3">
                  <c:v>129.21829854880872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80-4E4F-8EDB-9D55E2ACE3DC}"/>
            </c:ext>
          </c:extLst>
        </c:ser>
        <c:ser>
          <c:idx val="3"/>
          <c:order val="3"/>
          <c:tx>
            <c:strRef>
              <c:f>'CaHoREs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AME'!$H$114:$K$114</c:f>
              <c:numCache>
                <c:formatCode>_-* #\ ##0_-;\-* #\ ##0_-;_-* "-"??_-;_-@_-</c:formatCode>
                <c:ptCount val="4"/>
                <c:pt idx="0" formatCode="0">
                  <c:v>34.47653139604968</c:v>
                </c:pt>
                <c:pt idx="1">
                  <c:v>21.178212469711841</c:v>
                </c:pt>
                <c:pt idx="2">
                  <c:v>17.521212193706674</c:v>
                </c:pt>
                <c:pt idx="3">
                  <c:v>13.629806823474727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80-4E4F-8EDB-9D55E2ACE3DC}"/>
            </c:ext>
          </c:extLst>
        </c:ser>
        <c:ser>
          <c:idx val="4"/>
          <c:order val="4"/>
          <c:tx>
            <c:strRef>
              <c:f>'CaHoREs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AME'!$H$115:$K$115</c:f>
              <c:numCache>
                <c:formatCode>_-* #\ ##0_-;\-* #\ ##0_-;_-* "-"??_-;_-@_-</c:formatCode>
                <c:ptCount val="4"/>
                <c:pt idx="0" formatCode="0">
                  <c:v>58.74257299634511</c:v>
                </c:pt>
                <c:pt idx="1">
                  <c:v>41.359822021255546</c:v>
                </c:pt>
                <c:pt idx="2">
                  <c:v>39.609390131324815</c:v>
                </c:pt>
                <c:pt idx="3">
                  <c:v>36.12473135160316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80-4E4F-8EDB-9D55E2ACE3DC}"/>
            </c:ext>
          </c:extLst>
        </c:ser>
        <c:ser>
          <c:idx val="5"/>
          <c:order val="5"/>
          <c:tx>
            <c:strRef>
              <c:f>'CaHoREs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AME'!$H$116:$K$116</c:f>
              <c:numCache>
                <c:formatCode>_-* #\ ##0_-;\-* #\ ##0_-;_-* "-"??_-;_-@_-</c:formatCode>
                <c:ptCount val="4"/>
                <c:pt idx="0" formatCode="0">
                  <c:v>320.73389087529961</c:v>
                </c:pt>
                <c:pt idx="1">
                  <c:v>186.47877385440447</c:v>
                </c:pt>
                <c:pt idx="2">
                  <c:v>150.17962067271253</c:v>
                </c:pt>
                <c:pt idx="3">
                  <c:v>112.78680352482503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80-4E4F-8EDB-9D55E2ACE3DC}"/>
            </c:ext>
          </c:extLst>
        </c:ser>
        <c:ser>
          <c:idx val="6"/>
          <c:order val="6"/>
          <c:tx>
            <c:strRef>
              <c:f>'CaHoREs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AME'!$H$117:$K$117</c:f>
              <c:numCache>
                <c:formatCode>_-* #\ ##0_-;\-* #\ ##0_-;_-* "-"??_-;_-@_-</c:formatCode>
                <c:ptCount val="4"/>
                <c:pt idx="0" formatCode="0">
                  <c:v>90.852319860105936</c:v>
                </c:pt>
                <c:pt idx="1">
                  <c:v>92.236678432439561</c:v>
                </c:pt>
                <c:pt idx="2">
                  <c:v>127.9306015121435</c:v>
                </c:pt>
                <c:pt idx="3">
                  <c:v>150.3821855066069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80-4E4F-8EDB-9D55E2ACE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AME'!$H$122:$K$122</c:f>
              <c:numCache>
                <c:formatCode>_-* #\ ##0_-;\-* #\ ##0_-;_-* "-"??_-;_-@_-</c:formatCode>
                <c:ptCount val="4"/>
                <c:pt idx="0">
                  <c:v>832.02920289120505</c:v>
                </c:pt>
                <c:pt idx="1">
                  <c:v>657.06398291720029</c:v>
                </c:pt>
                <c:pt idx="2">
                  <c:v>543.7492906038002</c:v>
                </c:pt>
                <c:pt idx="3">
                  <c:v>423.08220734956893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1-449A-AE71-D55159A355BC}"/>
            </c:ext>
          </c:extLst>
        </c:ser>
        <c:ser>
          <c:idx val="1"/>
          <c:order val="1"/>
          <c:tx>
            <c:strRef>
              <c:f>'CaHoREs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AME'!$H$123:$K$123</c:f>
              <c:numCache>
                <c:formatCode>_-* #\ ##0_-;\-* #\ ##0_-;_-* "-"??_-;_-@_-</c:formatCode>
                <c:ptCount val="4"/>
                <c:pt idx="0">
                  <c:v>2667.0449005379573</c:v>
                </c:pt>
                <c:pt idx="1">
                  <c:v>2373.4332359479017</c:v>
                </c:pt>
                <c:pt idx="2">
                  <c:v>2258.0540673536839</c:v>
                </c:pt>
                <c:pt idx="3">
                  <c:v>2076.2577781776336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1-449A-AE71-D55159A355BC}"/>
            </c:ext>
          </c:extLst>
        </c:ser>
        <c:ser>
          <c:idx val="2"/>
          <c:order val="2"/>
          <c:tx>
            <c:strRef>
              <c:f>'CaHoREs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AME'!$H$124:$K$124</c:f>
              <c:numCache>
                <c:formatCode>_-* #\ ##0_-;\-* #\ ##0_-;_-* "-"??_-;_-@_-</c:formatCode>
                <c:ptCount val="4"/>
                <c:pt idx="0">
                  <c:v>452.50808385878764</c:v>
                </c:pt>
                <c:pt idx="1">
                  <c:v>511.47189610199632</c:v>
                </c:pt>
                <c:pt idx="2">
                  <c:v>573.98490559692755</c:v>
                </c:pt>
                <c:pt idx="3">
                  <c:v>492.20225161218104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1-449A-AE71-D55159A355BC}"/>
            </c:ext>
          </c:extLst>
        </c:ser>
        <c:ser>
          <c:idx val="3"/>
          <c:order val="3"/>
          <c:tx>
            <c:strRef>
              <c:f>'CaHoREs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AME'!$H$125:$K$125</c:f>
              <c:numCache>
                <c:formatCode>_-* #\ ##0_-;\-* #\ ##0_-;_-* "-"??_-;_-@_-</c:formatCode>
                <c:ptCount val="4"/>
                <c:pt idx="0">
                  <c:v>91.121032888284304</c:v>
                </c:pt>
                <c:pt idx="1">
                  <c:v>76.878043476516652</c:v>
                </c:pt>
                <c:pt idx="2">
                  <c:v>68.615750247201404</c:v>
                </c:pt>
                <c:pt idx="3">
                  <c:v>58.406583225879139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11-449A-AE71-D55159A355BC}"/>
            </c:ext>
          </c:extLst>
        </c:ser>
        <c:ser>
          <c:idx val="4"/>
          <c:order val="4"/>
          <c:tx>
            <c:strRef>
              <c:f>'CaHoREs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AME'!$H$126:$K$126</c:f>
              <c:numCache>
                <c:formatCode>_-* #\ ##0_-;\-* #\ ##0_-;_-* "-"??_-;_-@_-</c:formatCode>
                <c:ptCount val="4"/>
                <c:pt idx="0">
                  <c:v>155.25587143478461</c:v>
                </c:pt>
                <c:pt idx="1">
                  <c:v>239.50643953325996</c:v>
                </c:pt>
                <c:pt idx="2">
                  <c:v>333.41119380230816</c:v>
                </c:pt>
                <c:pt idx="3">
                  <c:v>412.80548443596905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11-449A-AE71-D55159A355BC}"/>
            </c:ext>
          </c:extLst>
        </c:ser>
        <c:ser>
          <c:idx val="5"/>
          <c:order val="5"/>
          <c:tx>
            <c:strRef>
              <c:f>'CaHoREs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AME'!$H$127:$K$127</c:f>
              <c:numCache>
                <c:formatCode>_-* #\ ##0_-;\-* #\ ##0_-;_-* "-"??_-;_-@_-</c:formatCode>
                <c:ptCount val="4"/>
                <c:pt idx="0">
                  <c:v>847.69558408025466</c:v>
                </c:pt>
                <c:pt idx="1">
                  <c:v>640.39245407640112</c:v>
                </c:pt>
                <c:pt idx="2">
                  <c:v>526.35436611450825</c:v>
                </c:pt>
                <c:pt idx="3">
                  <c:v>426.99730504286885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11-449A-AE71-D55159A355BC}"/>
            </c:ext>
          </c:extLst>
        </c:ser>
        <c:ser>
          <c:idx val="6"/>
          <c:order val="6"/>
          <c:tx>
            <c:strRef>
              <c:f>'CaHoREs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AME'!$H$128:$K$128</c:f>
              <c:numCache>
                <c:formatCode>_-* #\ ##0_-;\-* #\ ##0_-;_-* "-"??_-;_-@_-</c:formatCode>
                <c:ptCount val="4"/>
                <c:pt idx="0">
                  <c:v>240.12152298181007</c:v>
                </c:pt>
                <c:pt idx="1">
                  <c:v>286.39731896111186</c:v>
                </c:pt>
                <c:pt idx="2">
                  <c:v>340.64067016214727</c:v>
                </c:pt>
                <c:pt idx="3">
                  <c:v>375.10472470102462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11-449A-AE71-D55159A35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'Commerce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'Commerce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AME'!$H$8:$K$8</c:f>
              <c:numCache>
                <c:formatCode>#,##0</c:formatCode>
                <c:ptCount val="4"/>
                <c:pt idx="0">
                  <c:v>0</c:v>
                </c:pt>
                <c:pt idx="1">
                  <c:v>13164.331097787628</c:v>
                </c:pt>
                <c:pt idx="2">
                  <c:v>8969.5375212372728</c:v>
                </c:pt>
                <c:pt idx="3">
                  <c:v>8772.0507016362499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3-4C5A-A908-E86654FB7120}"/>
            </c:ext>
          </c:extLst>
        </c:ser>
        <c:ser>
          <c:idx val="1"/>
          <c:order val="1"/>
          <c:tx>
            <c:strRef>
              <c:f>'Commerce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'Commerce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AME'!$H$9:$K$9</c:f>
              <c:numCache>
                <c:formatCode>#,##0</c:formatCode>
                <c:ptCount val="4"/>
                <c:pt idx="0">
                  <c:v>184229.64520786435</c:v>
                </c:pt>
                <c:pt idx="1">
                  <c:v>175681.38967021945</c:v>
                </c:pt>
                <c:pt idx="2">
                  <c:v>180083.27932437154</c:v>
                </c:pt>
                <c:pt idx="3">
                  <c:v>175887.23385249983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3-4C5A-A908-E86654FB7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'Commerce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AME'!$H$122:$K$122</c:f>
              <c:numCache>
                <c:formatCode>_-* #\ ##0_-;\-* #\ ##0_-;_-* "-"??_-;_-@_-</c:formatCode>
                <c:ptCount val="4"/>
                <c:pt idx="0">
                  <c:v>2288.258059973457</c:v>
                </c:pt>
                <c:pt idx="1">
                  <c:v>1792.686520602502</c:v>
                </c:pt>
                <c:pt idx="2">
                  <c:v>1483.7146524684881</c:v>
                </c:pt>
                <c:pt idx="3">
                  <c:v>1143.4056229693388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2-4400-B605-5F1370D79AB9}"/>
            </c:ext>
          </c:extLst>
        </c:ser>
        <c:ser>
          <c:idx val="1"/>
          <c:order val="1"/>
          <c:tx>
            <c:strRef>
              <c:f>'Commerce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AME'!$H$123:$K$123</c:f>
              <c:numCache>
                <c:formatCode>_-* #\ ##0_-;\-* #\ ##0_-;_-* "-"??_-;_-@_-</c:formatCode>
                <c:ptCount val="4"/>
                <c:pt idx="0">
                  <c:v>5243.9285439350142</c:v>
                </c:pt>
                <c:pt idx="1">
                  <c:v>4603.8803816907939</c:v>
                </c:pt>
                <c:pt idx="2">
                  <c:v>4343.1090506827395</c:v>
                </c:pt>
                <c:pt idx="3">
                  <c:v>3902.2197806176841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52-4400-B605-5F1370D79AB9}"/>
            </c:ext>
          </c:extLst>
        </c:ser>
        <c:ser>
          <c:idx val="2"/>
          <c:order val="2"/>
          <c:tx>
            <c:strRef>
              <c:f>'Commerce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AME'!$H$124:$K$124</c:f>
              <c:numCache>
                <c:formatCode>_-* #\ ##0_-;\-* #\ ##0_-;_-* "-"??_-;_-@_-</c:formatCode>
                <c:ptCount val="4"/>
                <c:pt idx="0">
                  <c:v>261.92781473975936</c:v>
                </c:pt>
                <c:pt idx="1">
                  <c:v>216.98158458567431</c:v>
                </c:pt>
                <c:pt idx="2">
                  <c:v>191.07617440592387</c:v>
                </c:pt>
                <c:pt idx="3">
                  <c:v>158.10678648593878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52-4400-B605-5F1370D79AB9}"/>
            </c:ext>
          </c:extLst>
        </c:ser>
        <c:ser>
          <c:idx val="3"/>
          <c:order val="3"/>
          <c:tx>
            <c:strRef>
              <c:f>'Commerce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AME'!$H$125:$K$125</c:f>
              <c:numCache>
                <c:formatCode>_-* #\ ##0_-;\-* #\ ##0_-;_-* "-"??_-;_-@_-</c:formatCode>
                <c:ptCount val="4"/>
                <c:pt idx="0">
                  <c:v>106.11706167375748</c:v>
                </c:pt>
                <c:pt idx="1">
                  <c:v>100.75959979781933</c:v>
                </c:pt>
                <c:pt idx="2">
                  <c:v>102.71047580767323</c:v>
                </c:pt>
                <c:pt idx="3">
                  <c:v>99.641357214445691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52-4400-B605-5F1370D79AB9}"/>
            </c:ext>
          </c:extLst>
        </c:ser>
        <c:ser>
          <c:idx val="4"/>
          <c:order val="4"/>
          <c:tx>
            <c:strRef>
              <c:f>'Commerce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AME'!$H$126:$K$126</c:f>
              <c:numCache>
                <c:formatCode>_-* #\ ##0_-;\-* #\ ##0_-;_-* "-"??_-;_-@_-</c:formatCode>
                <c:ptCount val="4"/>
                <c:pt idx="0">
                  <c:v>94.856996702839112</c:v>
                </c:pt>
                <c:pt idx="1">
                  <c:v>78.57974714930431</c:v>
                </c:pt>
                <c:pt idx="2">
                  <c:v>69.198118816140209</c:v>
                </c:pt>
                <c:pt idx="3">
                  <c:v>57.25827529731469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52-4400-B605-5F1370D79AB9}"/>
            </c:ext>
          </c:extLst>
        </c:ser>
        <c:ser>
          <c:idx val="5"/>
          <c:order val="5"/>
          <c:tx>
            <c:strRef>
              <c:f>'Commerce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AME'!$H$127:$K$127</c:f>
              <c:numCache>
                <c:formatCode>_-* #\ ##0_-;\-* #\ ##0_-;_-* "-"??_-;_-@_-</c:formatCode>
                <c:ptCount val="4"/>
                <c:pt idx="0">
                  <c:v>1770.7177080260321</c:v>
                </c:pt>
                <c:pt idx="1">
                  <c:v>1276.1897823937206</c:v>
                </c:pt>
                <c:pt idx="2">
                  <c:v>948.4187654890668</c:v>
                </c:pt>
                <c:pt idx="3">
                  <c:v>628.63659445504697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52-4400-B605-5F1370D79AB9}"/>
            </c:ext>
          </c:extLst>
        </c:ser>
        <c:ser>
          <c:idx val="6"/>
          <c:order val="6"/>
          <c:tx>
            <c:strRef>
              <c:f>'Commerce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AME'!$H$128:$K$128</c:f>
              <c:numCache>
                <c:formatCode>_-* #\ ##0_-;\-* #\ ##0_-;_-* "-"??_-;_-@_-</c:formatCode>
                <c:ptCount val="4"/>
                <c:pt idx="0">
                  <c:v>548.46921217911063</c:v>
                </c:pt>
                <c:pt idx="1">
                  <c:v>892.56681066229612</c:v>
                </c:pt>
                <c:pt idx="2">
                  <c:v>1219.7829464110644</c:v>
                </c:pt>
                <c:pt idx="3">
                  <c:v>1427.0126642188452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52-4400-B605-5F1370D7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AME'!$H$13:$K$13</c:f>
              <c:numCache>
                <c:formatCode>#,##0</c:formatCode>
                <c:ptCount val="4"/>
                <c:pt idx="0">
                  <c:v>3584.8950181469531</c:v>
                </c:pt>
                <c:pt idx="1">
                  <c:v>2621.0024511193214</c:v>
                </c:pt>
                <c:pt idx="2">
                  <c:v>2142.0010754873538</c:v>
                </c:pt>
                <c:pt idx="3">
                  <c:v>1647.060983091475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4-4CF8-AFDE-73568AC42734}"/>
            </c:ext>
          </c:extLst>
        </c:ser>
        <c:ser>
          <c:idx val="1"/>
          <c:order val="1"/>
          <c:tx>
            <c:strRef>
              <c:f>'Enseignement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AME'!$H$14:$K$14</c:f>
              <c:numCache>
                <c:formatCode>#,##0</c:formatCode>
                <c:ptCount val="4"/>
                <c:pt idx="0">
                  <c:v>8977.6735587367912</c:v>
                </c:pt>
                <c:pt idx="1">
                  <c:v>7154.8500271063485</c:v>
                </c:pt>
                <c:pt idx="2">
                  <c:v>6440.7192842036065</c:v>
                </c:pt>
                <c:pt idx="3">
                  <c:v>5525.3840456897397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C4-4CF8-AFDE-73568AC42734}"/>
            </c:ext>
          </c:extLst>
        </c:ser>
        <c:ser>
          <c:idx val="2"/>
          <c:order val="2"/>
          <c:tx>
            <c:strRef>
              <c:f>'Enseignement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AME'!$H$15:$K$15</c:f>
              <c:numCache>
                <c:formatCode>#,##0</c:formatCode>
                <c:ptCount val="4"/>
                <c:pt idx="0">
                  <c:v>1357.2566620782518</c:v>
                </c:pt>
                <c:pt idx="1">
                  <c:v>1185.3944053846992</c:v>
                </c:pt>
                <c:pt idx="2">
                  <c:v>1130.7378373976298</c:v>
                </c:pt>
                <c:pt idx="3">
                  <c:v>1028.2411657281039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C4-4CF8-AFDE-73568AC42734}"/>
            </c:ext>
          </c:extLst>
        </c:ser>
        <c:ser>
          <c:idx val="3"/>
          <c:order val="3"/>
          <c:tx>
            <c:strRef>
              <c:f>'Enseignement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AME'!$H$16:$K$16</c:f>
              <c:numCache>
                <c:formatCode>#,##0</c:formatCode>
                <c:ptCount val="4"/>
                <c:pt idx="0">
                  <c:v>214.36380852936156</c:v>
                </c:pt>
                <c:pt idx="1">
                  <c:v>162.61007072082072</c:v>
                </c:pt>
                <c:pt idx="2">
                  <c:v>138.44190193232413</c:v>
                </c:pt>
                <c:pt idx="3">
                  <c:v>111.46831169268646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C4-4CF8-AFDE-73568AC42734}"/>
            </c:ext>
          </c:extLst>
        </c:ser>
        <c:ser>
          <c:idx val="4"/>
          <c:order val="4"/>
          <c:tx>
            <c:strRef>
              <c:f>'Enseignement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AME'!$H$17:$K$17</c:f>
              <c:numCache>
                <c:formatCode>#,##0</c:formatCode>
                <c:ptCount val="4"/>
                <c:pt idx="0">
                  <c:v>141.75559832606967</c:v>
                </c:pt>
                <c:pt idx="1">
                  <c:v>123.32235997060111</c:v>
                </c:pt>
                <c:pt idx="2">
                  <c:v>117.67889624412855</c:v>
                </c:pt>
                <c:pt idx="3">
                  <c:v>107.92926434487674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C4-4CF8-AFDE-73568AC42734}"/>
            </c:ext>
          </c:extLst>
        </c:ser>
        <c:ser>
          <c:idx val="5"/>
          <c:order val="5"/>
          <c:tx>
            <c:strRef>
              <c:f>'Enseignement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AME'!$H$18:$K$18</c:f>
              <c:numCache>
                <c:formatCode>#,##0</c:formatCode>
                <c:ptCount val="4"/>
                <c:pt idx="0">
                  <c:v>751.98019755972314</c:v>
                </c:pt>
                <c:pt idx="1">
                  <c:v>499.37700624588848</c:v>
                </c:pt>
                <c:pt idx="2">
                  <c:v>357.7772061880828</c:v>
                </c:pt>
                <c:pt idx="3">
                  <c:v>232.48270311692912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C4-4CF8-AFDE-73568AC42734}"/>
            </c:ext>
          </c:extLst>
        </c:ser>
        <c:ser>
          <c:idx val="6"/>
          <c:order val="6"/>
          <c:tx>
            <c:strRef>
              <c:f>'Enseignement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AME'!$H$19:$K$19</c:f>
              <c:numCache>
                <c:formatCode>#,##0</c:formatCode>
                <c:ptCount val="4"/>
                <c:pt idx="0">
                  <c:v>116.24970775877307</c:v>
                </c:pt>
                <c:pt idx="1">
                  <c:v>522.61095410894018</c:v>
                </c:pt>
                <c:pt idx="2">
                  <c:v>682.65367746240827</c:v>
                </c:pt>
                <c:pt idx="3">
                  <c:v>809.31798126661795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C4-4CF8-AFDE-73568AC4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'Enseignement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'Enseignement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AME'!$H$8:$K$8</c:f>
              <c:numCache>
                <c:formatCode>#,##0</c:formatCode>
                <c:ptCount val="4"/>
                <c:pt idx="0">
                  <c:v>0</c:v>
                </c:pt>
                <c:pt idx="1">
                  <c:v>5840.7077315636325</c:v>
                </c:pt>
                <c:pt idx="2">
                  <c:v>3412.3997149425531</c:v>
                </c:pt>
                <c:pt idx="3">
                  <c:v>3380.7737398508161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D-4909-BEAE-6B72B0F921F6}"/>
            </c:ext>
          </c:extLst>
        </c:ser>
        <c:ser>
          <c:idx val="1"/>
          <c:order val="1"/>
          <c:tx>
            <c:strRef>
              <c:f>'Enseignement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'Enseignement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AME'!$H$9:$K$9</c:f>
              <c:numCache>
                <c:formatCode>#,##0</c:formatCode>
                <c:ptCount val="4"/>
                <c:pt idx="0">
                  <c:v>167106.71056882737</c:v>
                </c:pt>
                <c:pt idx="1">
                  <c:v>163744.17685661104</c:v>
                </c:pt>
                <c:pt idx="2">
                  <c:v>164600.77939206138</c:v>
                </c:pt>
                <c:pt idx="3">
                  <c:v>158963.23681763752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D-4909-BEAE-6B72B0F92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AME'!$H$111:$K$111</c:f>
              <c:numCache>
                <c:formatCode>_-* #\ ##0_-;\-* #\ ##0_-;_-* "-"??_-;_-@_-</c:formatCode>
                <c:ptCount val="4"/>
                <c:pt idx="0" formatCode="0">
                  <c:v>1637.5083463891651</c:v>
                </c:pt>
                <c:pt idx="1">
                  <c:v>999.88801430422291</c:v>
                </c:pt>
                <c:pt idx="2">
                  <c:v>769.7739047668847</c:v>
                </c:pt>
                <c:pt idx="3">
                  <c:v>543.10441797376097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6-4AB2-9DC1-1461592A7D6E}"/>
            </c:ext>
          </c:extLst>
        </c:ser>
        <c:ser>
          <c:idx val="1"/>
          <c:order val="1"/>
          <c:tx>
            <c:strRef>
              <c:f>'Enseignement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AME'!$H$112:$K$112</c:f>
              <c:numCache>
                <c:formatCode>_-* #\ ##0_-;\-* #\ ##0_-;_-* "-"??_-;_-@_-</c:formatCode>
                <c:ptCount val="4"/>
                <c:pt idx="0" formatCode="0">
                  <c:v>4100.8217281597917</c:v>
                </c:pt>
                <c:pt idx="1">
                  <c:v>2713.508319038503</c:v>
                </c:pt>
                <c:pt idx="2">
                  <c:v>2291.783580504718</c:v>
                </c:pt>
                <c:pt idx="3">
                  <c:v>1802.2310629454068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6-4AB2-9DC1-1461592A7D6E}"/>
            </c:ext>
          </c:extLst>
        </c:ser>
        <c:ser>
          <c:idx val="2"/>
          <c:order val="2"/>
          <c:tx>
            <c:strRef>
              <c:f>'Enseignement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AME'!$H$113:$K$113</c:f>
              <c:numCache>
                <c:formatCode>_-* #\ ##0_-;\-* #\ ##0_-;_-* "-"??_-;_-@_-</c:formatCode>
                <c:ptCount val="4"/>
                <c:pt idx="0" formatCode="0">
                  <c:v>619.96769810410376</c:v>
                </c:pt>
                <c:pt idx="1">
                  <c:v>502.03193122938018</c:v>
                </c:pt>
                <c:pt idx="2">
                  <c:v>479.83034468277998</c:v>
                </c:pt>
                <c:pt idx="3">
                  <c:v>423.83241556546193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6-4AB2-9DC1-1461592A7D6E}"/>
            </c:ext>
          </c:extLst>
        </c:ser>
        <c:ser>
          <c:idx val="3"/>
          <c:order val="3"/>
          <c:tx>
            <c:strRef>
              <c:f>'Enseignement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AME'!$H$114:$K$114</c:f>
              <c:numCache>
                <c:formatCode>_-* #\ ##0_-;\-* #\ ##0_-;_-* "-"??_-;_-@_-</c:formatCode>
                <c:ptCount val="4"/>
                <c:pt idx="0" formatCode="0">
                  <c:v>97.917100460041766</c:v>
                </c:pt>
                <c:pt idx="1">
                  <c:v>61.480586667560701</c:v>
                </c:pt>
                <c:pt idx="2">
                  <c:v>48.968085588624312</c:v>
                </c:pt>
                <c:pt idx="3">
                  <c:v>36.044444719941843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16-4AB2-9DC1-1461592A7D6E}"/>
            </c:ext>
          </c:extLst>
        </c:ser>
        <c:ser>
          <c:idx val="4"/>
          <c:order val="4"/>
          <c:tx>
            <c:strRef>
              <c:f>'Enseignement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AME'!$H$115:$K$115</c:f>
              <c:numCache>
                <c:formatCode>_-* #\ ##0_-;\-* #\ ##0_-;_-* "-"??_-;_-@_-</c:formatCode>
                <c:ptCount val="4"/>
                <c:pt idx="0" formatCode="0">
                  <c:v>64.751122203382096</c:v>
                </c:pt>
                <c:pt idx="1">
                  <c:v>45.675481205263956</c:v>
                </c:pt>
                <c:pt idx="2">
                  <c:v>41.104255027199372</c:v>
                </c:pt>
                <c:pt idx="3">
                  <c:v>34.42927973428759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16-4AB2-9DC1-1461592A7D6E}"/>
            </c:ext>
          </c:extLst>
        </c:ser>
        <c:ser>
          <c:idx val="5"/>
          <c:order val="5"/>
          <c:tx>
            <c:strRef>
              <c:f>'Enseignement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AME'!$H$116:$K$116</c:f>
              <c:numCache>
                <c:formatCode>_-* #\ ##0_-;\-* #\ ##0_-;_-* "-"??_-;_-@_-</c:formatCode>
                <c:ptCount val="4"/>
                <c:pt idx="0" formatCode="0">
                  <c:v>343.48951464133035</c:v>
                </c:pt>
                <c:pt idx="1">
                  <c:v>173.06979550900726</c:v>
                </c:pt>
                <c:pt idx="2">
                  <c:v>97.745848428113973</c:v>
                </c:pt>
                <c:pt idx="3">
                  <c:v>36.527850585308585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16-4AB2-9DC1-1461592A7D6E}"/>
            </c:ext>
          </c:extLst>
        </c:ser>
        <c:ser>
          <c:idx val="6"/>
          <c:order val="6"/>
          <c:tx>
            <c:strRef>
              <c:f>'Enseignement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AME'!$H$117:$K$117</c:f>
              <c:numCache>
                <c:formatCode>_-* #\ ##0_-;\-* #\ ##0_-;_-* "-"??_-;_-@_-</c:formatCode>
                <c:ptCount val="4"/>
                <c:pt idx="0" formatCode="0">
                  <c:v>53.100541510052359</c:v>
                </c:pt>
                <c:pt idx="1">
                  <c:v>172.26174880079324</c:v>
                </c:pt>
                <c:pt idx="2">
                  <c:v>267.96854896711068</c:v>
                </c:pt>
                <c:pt idx="3">
                  <c:v>312.75101473644975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16-4AB2-9DC1-1461592A7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AME'!$H$122:$K$122</c:f>
              <c:numCache>
                <c:formatCode>_-* #\ ##0_-;\-* #\ ##0_-;_-* "-"??_-;_-@_-</c:formatCode>
                <c:ptCount val="4"/>
                <c:pt idx="0">
                  <c:v>1947.386671757788</c:v>
                </c:pt>
                <c:pt idx="1">
                  <c:v>1621.1144368150983</c:v>
                </c:pt>
                <c:pt idx="2">
                  <c:v>1372.2271707204688</c:v>
                </c:pt>
                <c:pt idx="3">
                  <c:v>1103.956565117714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1-48FC-9D73-AF3D2C80CF1C}"/>
            </c:ext>
          </c:extLst>
        </c:ser>
        <c:ser>
          <c:idx val="1"/>
          <c:order val="1"/>
          <c:tx>
            <c:strRef>
              <c:f>'Enseignement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AME'!$H$123:$K$123</c:f>
              <c:numCache>
                <c:formatCode>_-* #\ ##0_-;\-* #\ ##0_-;_-* "-"??_-;_-@_-</c:formatCode>
                <c:ptCount val="4"/>
                <c:pt idx="0">
                  <c:v>4876.8518305770003</c:v>
                </c:pt>
                <c:pt idx="1">
                  <c:v>4441.3417080678455</c:v>
                </c:pt>
                <c:pt idx="2">
                  <c:v>4148.9357036988886</c:v>
                </c:pt>
                <c:pt idx="3">
                  <c:v>3723.1529827443333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1-48FC-9D73-AF3D2C80CF1C}"/>
            </c:ext>
          </c:extLst>
        </c:ser>
        <c:ser>
          <c:idx val="2"/>
          <c:order val="2"/>
          <c:tx>
            <c:strRef>
              <c:f>'Enseignement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AME'!$H$124:$K$124</c:f>
              <c:numCache>
                <c:formatCode>_-* #\ ##0_-;\-* #\ ##0_-;_-* "-"??_-;_-@_-</c:formatCode>
                <c:ptCount val="4"/>
                <c:pt idx="0">
                  <c:v>737.28896397414803</c:v>
                </c:pt>
                <c:pt idx="1">
                  <c:v>660.63429691085992</c:v>
                </c:pt>
                <c:pt idx="2">
                  <c:v>637.62868659842172</c:v>
                </c:pt>
                <c:pt idx="3">
                  <c:v>591.25301145524179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1-48FC-9D73-AF3D2C80CF1C}"/>
            </c:ext>
          </c:extLst>
        </c:ser>
        <c:ser>
          <c:idx val="3"/>
          <c:order val="3"/>
          <c:tx>
            <c:strRef>
              <c:f>'Enseignement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AME'!$H$125:$K$125</c:f>
              <c:numCache>
                <c:formatCode>_-* #\ ##0_-;\-* #\ ##0_-;_-* "-"??_-;_-@_-</c:formatCode>
                <c:ptCount val="4"/>
                <c:pt idx="0">
                  <c:v>116.44670806931978</c:v>
                </c:pt>
                <c:pt idx="1">
                  <c:v>101.12948405326001</c:v>
                </c:pt>
                <c:pt idx="2">
                  <c:v>89.473816343699809</c:v>
                </c:pt>
                <c:pt idx="3">
                  <c:v>75.423866972744619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01-48FC-9D73-AF3D2C80CF1C}"/>
            </c:ext>
          </c:extLst>
        </c:ser>
        <c:ser>
          <c:idx val="4"/>
          <c:order val="4"/>
          <c:tx>
            <c:strRef>
              <c:f>'Enseignement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AME'!$H$126:$K$126</c:f>
              <c:numCache>
                <c:formatCode>_-* #\ ##0_-;\-* #\ ##0_-;_-* "-"??_-;_-@_-</c:formatCode>
                <c:ptCount val="4"/>
                <c:pt idx="0">
                  <c:v>77.004476122687578</c:v>
                </c:pt>
                <c:pt idx="1">
                  <c:v>75.131648843063786</c:v>
                </c:pt>
                <c:pt idx="2">
                  <c:v>75.105132680592462</c:v>
                </c:pt>
                <c:pt idx="3">
                  <c:v>72.044095416723877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01-48FC-9D73-AF3D2C80CF1C}"/>
            </c:ext>
          </c:extLst>
        </c:ser>
        <c:ser>
          <c:idx val="5"/>
          <c:order val="5"/>
          <c:tx>
            <c:strRef>
              <c:f>'Enseignement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AME'!$H$127:$K$127</c:f>
              <c:numCache>
                <c:formatCode>_-* #\ ##0_-;\-* #\ ##0_-;_-* "-"??_-;_-@_-</c:formatCode>
                <c:ptCount val="4"/>
                <c:pt idx="0">
                  <c:v>408.49068291839279</c:v>
                </c:pt>
                <c:pt idx="1">
                  <c:v>323.18120428201644</c:v>
                </c:pt>
                <c:pt idx="2">
                  <c:v>258.20500656662921</c:v>
                </c:pt>
                <c:pt idx="3">
                  <c:v>194.14542788328569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01-48FC-9D73-AF3D2C80CF1C}"/>
            </c:ext>
          </c:extLst>
        </c:ser>
        <c:ser>
          <c:idx val="6"/>
          <c:order val="6"/>
          <c:tx>
            <c:strRef>
              <c:f>'Enseignement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AME'!$H$128:$K$128</c:f>
              <c:numCache>
                <c:formatCode>_-* #\ ##0_-;\-* #\ ##0_-;_-* "-"??_-;_-@_-</c:formatCode>
                <c:ptCount val="4"/>
                <c:pt idx="0">
                  <c:v>63.149166248720704</c:v>
                </c:pt>
                <c:pt idx="1">
                  <c:v>210.41288534310706</c:v>
                </c:pt>
                <c:pt idx="2">
                  <c:v>332.92814281730091</c:v>
                </c:pt>
                <c:pt idx="3">
                  <c:v>415.56770111023667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01-48FC-9D73-AF3D2C80C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AME'!$H$13:$K$13</c:f>
              <c:numCache>
                <c:formatCode>#,##0</c:formatCode>
                <c:ptCount val="4"/>
                <c:pt idx="0">
                  <c:v>3808.9479439951956</c:v>
                </c:pt>
                <c:pt idx="1">
                  <c:v>2725.8265290885493</c:v>
                </c:pt>
                <c:pt idx="2">
                  <c:v>2376.2739525720599</c:v>
                </c:pt>
                <c:pt idx="3">
                  <c:v>1962.3461824574588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C-4160-866C-B915522FFA8D}"/>
            </c:ext>
          </c:extLst>
        </c:ser>
        <c:ser>
          <c:idx val="1"/>
          <c:order val="1"/>
          <c:tx>
            <c:strRef>
              <c:f>'Santé social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AME'!$H$14:$K$14</c:f>
              <c:numCache>
                <c:formatCode>#,##0</c:formatCode>
                <c:ptCount val="4"/>
                <c:pt idx="0">
                  <c:v>10537.022711480739</c:v>
                </c:pt>
                <c:pt idx="1">
                  <c:v>8382.2347638621122</c:v>
                </c:pt>
                <c:pt idx="2">
                  <c:v>8265.1476192230875</c:v>
                </c:pt>
                <c:pt idx="3">
                  <c:v>7896.7378250085385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C-4160-866C-B915522FFA8D}"/>
            </c:ext>
          </c:extLst>
        </c:ser>
        <c:ser>
          <c:idx val="2"/>
          <c:order val="2"/>
          <c:tx>
            <c:strRef>
              <c:f>'Santé social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AME'!$H$15:$K$15</c:f>
              <c:numCache>
                <c:formatCode>#,##0</c:formatCode>
                <c:ptCount val="4"/>
                <c:pt idx="0">
                  <c:v>1744.7346539514629</c:v>
                </c:pt>
                <c:pt idx="1">
                  <c:v>1742.8526007433452</c:v>
                </c:pt>
                <c:pt idx="2">
                  <c:v>1671.0645808258273</c:v>
                </c:pt>
                <c:pt idx="3">
                  <c:v>1543.7965923160882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C-4160-866C-B915522FFA8D}"/>
            </c:ext>
          </c:extLst>
        </c:ser>
        <c:ser>
          <c:idx val="3"/>
          <c:order val="3"/>
          <c:tx>
            <c:strRef>
              <c:f>'Santé social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AME'!$H$16:$K$16</c:f>
              <c:numCache>
                <c:formatCode>#,##0</c:formatCode>
                <c:ptCount val="4"/>
                <c:pt idx="0">
                  <c:v>268.71711769333638</c:v>
                </c:pt>
                <c:pt idx="1">
                  <c:v>292.67647842688774</c:v>
                </c:pt>
                <c:pt idx="2">
                  <c:v>317.50398321815669</c:v>
                </c:pt>
                <c:pt idx="3">
                  <c:v>331.5677001491951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C-4160-866C-B915522FFA8D}"/>
            </c:ext>
          </c:extLst>
        </c:ser>
        <c:ser>
          <c:idx val="4"/>
          <c:order val="4"/>
          <c:tx>
            <c:strRef>
              <c:f>'Santé social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AME'!$H$17:$K$17</c:f>
              <c:numCache>
                <c:formatCode>#,##0</c:formatCode>
                <c:ptCount val="4"/>
                <c:pt idx="0">
                  <c:v>289.13034571123421</c:v>
                </c:pt>
                <c:pt idx="1">
                  <c:v>269.97939137994626</c:v>
                </c:pt>
                <c:pt idx="2">
                  <c:v>249.34782386825725</c:v>
                </c:pt>
                <c:pt idx="3">
                  <c:v>219.09565287121606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C-4160-866C-B915522FFA8D}"/>
            </c:ext>
          </c:extLst>
        </c:ser>
        <c:ser>
          <c:idx val="5"/>
          <c:order val="5"/>
          <c:tx>
            <c:strRef>
              <c:f>'Santé social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AME'!$H$18:$K$18</c:f>
              <c:numCache>
                <c:formatCode>#,##0</c:formatCode>
                <c:ptCount val="4"/>
                <c:pt idx="0">
                  <c:v>2089.6511999999998</c:v>
                </c:pt>
                <c:pt idx="1">
                  <c:v>1355.1751638488529</c:v>
                </c:pt>
                <c:pt idx="2">
                  <c:v>1093.9871174830644</c:v>
                </c:pt>
                <c:pt idx="3">
                  <c:v>658.23750170273513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C-4160-866C-B915522FFA8D}"/>
            </c:ext>
          </c:extLst>
        </c:ser>
        <c:ser>
          <c:idx val="6"/>
          <c:order val="6"/>
          <c:tx>
            <c:strRef>
              <c:f>'Santé social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AME'!$H$19:$K$19</c:f>
              <c:numCache>
                <c:formatCode>#,##0</c:formatCode>
                <c:ptCount val="4"/>
                <c:pt idx="0">
                  <c:v>258.00164643359227</c:v>
                </c:pt>
                <c:pt idx="1">
                  <c:v>988.70901222187274</c:v>
                </c:pt>
                <c:pt idx="2">
                  <c:v>1320.5307389863842</c:v>
                </c:pt>
                <c:pt idx="3">
                  <c:v>1671.38607316968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BC-4160-866C-B915522FF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'Santé social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'Santé social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AME'!$H$8:$K$8</c:f>
              <c:numCache>
                <c:formatCode>#,##0</c:formatCode>
                <c:ptCount val="4"/>
                <c:pt idx="0">
                  <c:v>0</c:v>
                </c:pt>
                <c:pt idx="1">
                  <c:v>22460.450940435054</c:v>
                </c:pt>
                <c:pt idx="2">
                  <c:v>19028.37793854532</c:v>
                </c:pt>
                <c:pt idx="3">
                  <c:v>14323.902651057895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8-4399-B2A2-ED207CDE82A9}"/>
            </c:ext>
          </c:extLst>
        </c:ser>
        <c:ser>
          <c:idx val="1"/>
          <c:order val="1"/>
          <c:tx>
            <c:strRef>
              <c:f>'Santé social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'Santé social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AME'!$H$9:$K$9</c:f>
              <c:numCache>
                <c:formatCode>#,##0</c:formatCode>
                <c:ptCount val="4"/>
                <c:pt idx="0">
                  <c:v>179200</c:v>
                </c:pt>
                <c:pt idx="1">
                  <c:v>174566.14878613554</c:v>
                </c:pt>
                <c:pt idx="2">
                  <c:v>191931.77858646706</c:v>
                </c:pt>
                <c:pt idx="3">
                  <c:v>205505.0338833245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8-4399-B2A2-ED207CDE8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AME'!$H$111:$K$111</c:f>
              <c:numCache>
                <c:formatCode>_-* #\ ##0_-;\-* #\ ##0_-;_-* "-"??_-;_-@_-</c:formatCode>
                <c:ptCount val="4"/>
                <c:pt idx="0" formatCode="0">
                  <c:v>1719.8161756727109</c:v>
                </c:pt>
                <c:pt idx="1">
                  <c:v>1026.1296317491626</c:v>
                </c:pt>
                <c:pt idx="2">
                  <c:v>835.30849021725066</c:v>
                </c:pt>
                <c:pt idx="3">
                  <c:v>623.77032678364196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B-486A-8A9D-FD69ACC63A81}"/>
            </c:ext>
          </c:extLst>
        </c:ser>
        <c:ser>
          <c:idx val="1"/>
          <c:order val="1"/>
          <c:tx>
            <c:strRef>
              <c:f>'Santé social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AME'!$H$112:$K$112</c:f>
              <c:numCache>
                <c:formatCode>_-* #\ ##0_-;\-* #\ ##0_-;_-* "-"??_-;_-@_-</c:formatCode>
                <c:ptCount val="4"/>
                <c:pt idx="0" formatCode="0">
                  <c:v>4757.6764946877838</c:v>
                </c:pt>
                <c:pt idx="1">
                  <c:v>3152.7053392061766</c:v>
                </c:pt>
                <c:pt idx="2">
                  <c:v>2924.9168141595892</c:v>
                </c:pt>
                <c:pt idx="3">
                  <c:v>2586.7476672559937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B-486A-8A9D-FD69ACC63A81}"/>
            </c:ext>
          </c:extLst>
        </c:ser>
        <c:ser>
          <c:idx val="2"/>
          <c:order val="2"/>
          <c:tx>
            <c:strRef>
              <c:f>'Santé social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AME'!$H$113:$K$113</c:f>
              <c:numCache>
                <c:formatCode>_-* #\ ##0_-;\-* #\ ##0_-;_-* "-"??_-;_-@_-</c:formatCode>
                <c:ptCount val="4"/>
                <c:pt idx="0" formatCode="0">
                  <c:v>787.78259095216447</c:v>
                </c:pt>
                <c:pt idx="1">
                  <c:v>638.08779194537738</c:v>
                </c:pt>
                <c:pt idx="2">
                  <c:v>561.53514796234003</c:v>
                </c:pt>
                <c:pt idx="3">
                  <c:v>466.61121654132785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BB-486A-8A9D-FD69ACC63A81}"/>
            </c:ext>
          </c:extLst>
        </c:ser>
        <c:ser>
          <c:idx val="3"/>
          <c:order val="3"/>
          <c:tx>
            <c:strRef>
              <c:f>'Santé social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AME'!$H$114:$K$114</c:f>
              <c:numCache>
                <c:formatCode>_-* #\ ##0_-;\-* #\ ##0_-;_-* "-"??_-;_-@_-</c:formatCode>
                <c:ptCount val="4"/>
                <c:pt idx="0" formatCode="0">
                  <c:v>121.33115298089527</c:v>
                </c:pt>
                <c:pt idx="1">
                  <c:v>93.9079419661891</c:v>
                </c:pt>
                <c:pt idx="2">
                  <c:v>101.00642685452262</c:v>
                </c:pt>
                <c:pt idx="3">
                  <c:v>103.0073751532147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BB-486A-8A9D-FD69ACC63A81}"/>
            </c:ext>
          </c:extLst>
        </c:ser>
        <c:ser>
          <c:idx val="4"/>
          <c:order val="4"/>
          <c:tx>
            <c:strRef>
              <c:f>'Santé social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AME'!$H$115:$K$115</c:f>
              <c:numCache>
                <c:formatCode>_-* #\ ##0_-;\-* #\ ##0_-;_-* "-"??_-;_-@_-</c:formatCode>
                <c:ptCount val="4"/>
                <c:pt idx="0" formatCode="0">
                  <c:v>130.54813369553648</c:v>
                </c:pt>
                <c:pt idx="1">
                  <c:v>83.942339511547161</c:v>
                </c:pt>
                <c:pt idx="2">
                  <c:v>75.239605212901779</c:v>
                </c:pt>
                <c:pt idx="3">
                  <c:v>63.941758310980532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BB-486A-8A9D-FD69ACC63A81}"/>
            </c:ext>
          </c:extLst>
        </c:ser>
        <c:ser>
          <c:idx val="5"/>
          <c:order val="5"/>
          <c:tx>
            <c:strRef>
              <c:f>'Santé social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AME'!$H$116:$K$116</c:f>
              <c:numCache>
                <c:formatCode>_-* #\ ##0_-;\-* #\ ##0_-;_-* "-"??_-;_-@_-</c:formatCode>
                <c:ptCount val="4"/>
                <c:pt idx="0" formatCode="0">
                  <c:v>943.51930982400006</c:v>
                </c:pt>
                <c:pt idx="1">
                  <c:v>505.56843160022657</c:v>
                </c:pt>
                <c:pt idx="2">
                  <c:v>494.34932801017032</c:v>
                </c:pt>
                <c:pt idx="3">
                  <c:v>319.93654969903895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BB-486A-8A9D-FD69ACC63A81}"/>
            </c:ext>
          </c:extLst>
        </c:ser>
        <c:ser>
          <c:idx val="6"/>
          <c:order val="6"/>
          <c:tx>
            <c:strRef>
              <c:f>'Santé social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AME'!$H$117:$K$117</c:f>
              <c:numCache>
                <c:formatCode>_-* #\ ##0_-;\-* #\ ##0_-;_-* "-"??_-;_-@_-</c:formatCode>
                <c:ptCount val="4"/>
                <c:pt idx="0" formatCode="0">
                  <c:v>116.4929033976956</c:v>
                </c:pt>
                <c:pt idx="1">
                  <c:v>253.58408806906942</c:v>
                </c:pt>
                <c:pt idx="2">
                  <c:v>396.73085800623812</c:v>
                </c:pt>
                <c:pt idx="3">
                  <c:v>602.67072854227627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BB-486A-8A9D-FD69ACC63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AME'!$H$122:$K$122</c:f>
              <c:numCache>
                <c:formatCode>_-* #\ ##0_-;\-* #\ ##0_-;_-* "-"??_-;_-@_-</c:formatCode>
                <c:ptCount val="4"/>
                <c:pt idx="0">
                  <c:v>2089.1317683224847</c:v>
                </c:pt>
                <c:pt idx="1">
                  <c:v>1699.6968973393869</c:v>
                </c:pt>
                <c:pt idx="2">
                  <c:v>1540.9654623548092</c:v>
                </c:pt>
                <c:pt idx="3">
                  <c:v>1338.5758556738167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C-4128-9C3A-2C321774B83A}"/>
            </c:ext>
          </c:extLst>
        </c:ser>
        <c:ser>
          <c:idx val="1"/>
          <c:order val="1"/>
          <c:tx>
            <c:strRef>
              <c:f>'Santé social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AME'!$H$123:$K$123</c:f>
              <c:numCache>
                <c:formatCode>_-* #\ ##0_-;\-* #\ ##0_-;_-* "-"??_-;_-@_-</c:formatCode>
                <c:ptCount val="4"/>
                <c:pt idx="0">
                  <c:v>5779.3462167929538</c:v>
                </c:pt>
                <c:pt idx="1">
                  <c:v>5229.5294246559361</c:v>
                </c:pt>
                <c:pt idx="2">
                  <c:v>5340.2308050634974</c:v>
                </c:pt>
                <c:pt idx="3">
                  <c:v>5309.9901577525443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5C-4128-9C3A-2C321774B83A}"/>
            </c:ext>
          </c:extLst>
        </c:ser>
        <c:ser>
          <c:idx val="2"/>
          <c:order val="2"/>
          <c:tx>
            <c:strRef>
              <c:f>'Santé social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AME'!$H$124:$K$124</c:f>
              <c:numCache>
                <c:formatCode>_-* #\ ##0_-;\-* #\ ##0_-;_-* "-"??_-;_-@_-</c:formatCode>
                <c:ptCount val="4"/>
                <c:pt idx="0">
                  <c:v>956.95206299929828</c:v>
                </c:pt>
                <c:pt idx="1">
                  <c:v>832.61542516076281</c:v>
                </c:pt>
                <c:pt idx="2">
                  <c:v>878.96588178766922</c:v>
                </c:pt>
                <c:pt idx="3">
                  <c:v>903.62513479372058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5C-4128-9C3A-2C321774B83A}"/>
            </c:ext>
          </c:extLst>
        </c:ser>
        <c:ser>
          <c:idx val="3"/>
          <c:order val="3"/>
          <c:tx>
            <c:strRef>
              <c:f>'Santé social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AME'!$H$125:$K$125</c:f>
              <c:numCache>
                <c:formatCode>_-* #\ ##0_-;\-* #\ ##0_-;_-* "-"??_-;_-@_-</c:formatCode>
                <c:ptCount val="4"/>
                <c:pt idx="0">
                  <c:v>147.38596471244114</c:v>
                </c:pt>
                <c:pt idx="1">
                  <c:v>153.17093120480058</c:v>
                </c:pt>
                <c:pt idx="2">
                  <c:v>177.8675008851032</c:v>
                </c:pt>
                <c:pt idx="3">
                  <c:v>199.48095964668443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5C-4128-9C3A-2C321774B83A}"/>
            </c:ext>
          </c:extLst>
        </c:ser>
        <c:ser>
          <c:idx val="4"/>
          <c:order val="4"/>
          <c:tx>
            <c:strRef>
              <c:f>'Santé social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AME'!$H$126:$K$126</c:f>
              <c:numCache>
                <c:formatCode>_-* #\ ##0_-;\-* #\ ##0_-;_-* "-"??_-;_-@_-</c:formatCode>
                <c:ptCount val="4"/>
                <c:pt idx="0">
                  <c:v>158.58221201569771</c:v>
                </c:pt>
                <c:pt idx="1">
                  <c:v>136.91628249208642</c:v>
                </c:pt>
                <c:pt idx="2">
                  <c:v>132.49335674526344</c:v>
                </c:pt>
                <c:pt idx="3">
                  <c:v>123.82767049833606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5C-4128-9C3A-2C321774B83A}"/>
            </c:ext>
          </c:extLst>
        </c:ser>
        <c:ser>
          <c:idx val="5"/>
          <c:order val="5"/>
          <c:tx>
            <c:strRef>
              <c:f>'Santé social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AME'!$H$127:$K$127</c:f>
              <c:numCache>
                <c:formatCode>_-* #\ ##0_-;\-* #\ ##0_-;_-* "-"??_-;_-@_-</c:formatCode>
                <c:ptCount val="4"/>
                <c:pt idx="0">
                  <c:v>1146.1318901759998</c:v>
                </c:pt>
                <c:pt idx="1">
                  <c:v>776.11285408971378</c:v>
                </c:pt>
                <c:pt idx="2">
                  <c:v>537.37415578691321</c:v>
                </c:pt>
                <c:pt idx="3">
                  <c:v>291.43104903564011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5C-4128-9C3A-2C321774B83A}"/>
            </c:ext>
          </c:extLst>
        </c:ser>
        <c:ser>
          <c:idx val="6"/>
          <c:order val="6"/>
          <c:tx>
            <c:strRef>
              <c:f>'Santé social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AME'!$H$128:$K$128</c:f>
              <c:numCache>
                <c:formatCode>_-* #\ ##0_-;\-* #\ ##0_-;_-* "-"??_-;_-@_-</c:formatCode>
                <c:ptCount val="4"/>
                <c:pt idx="0">
                  <c:v>141.50874303589669</c:v>
                </c:pt>
                <c:pt idx="1">
                  <c:v>370.42210367731343</c:v>
                </c:pt>
                <c:pt idx="2">
                  <c:v>614.82553662414421</c:v>
                </c:pt>
                <c:pt idx="3">
                  <c:v>836.13017922217273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5C-4128-9C3A-2C321774B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AME'!$H$13:$K$13</c:f>
              <c:numCache>
                <c:formatCode>#,##0</c:formatCode>
                <c:ptCount val="4"/>
                <c:pt idx="0">
                  <c:v>775.02856364516128</c:v>
                </c:pt>
                <c:pt idx="1">
                  <c:v>568.57449207522166</c:v>
                </c:pt>
                <c:pt idx="2">
                  <c:v>466.29985974803481</c:v>
                </c:pt>
                <c:pt idx="3">
                  <c:v>359.99718080947554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7-461A-BC31-05BE258E2DD8}"/>
            </c:ext>
          </c:extLst>
        </c:ser>
        <c:ser>
          <c:idx val="1"/>
          <c:order val="1"/>
          <c:tx>
            <c:strRef>
              <c:f>'Sport Loisir Culture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AME'!$H$14:$K$14</c:f>
              <c:numCache>
                <c:formatCode>#,##0</c:formatCode>
                <c:ptCount val="4"/>
                <c:pt idx="0">
                  <c:v>4659.8384813407274</c:v>
                </c:pt>
                <c:pt idx="1">
                  <c:v>3788.3253168365263</c:v>
                </c:pt>
                <c:pt idx="2">
                  <c:v>3531.851124992515</c:v>
                </c:pt>
                <c:pt idx="3">
                  <c:v>3158.5298013296733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7-461A-BC31-05BE258E2DD8}"/>
            </c:ext>
          </c:extLst>
        </c:ser>
        <c:ser>
          <c:idx val="2"/>
          <c:order val="2"/>
          <c:tx>
            <c:strRef>
              <c:f>'Sport Loisir Culture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AME'!$H$15:$K$15</c:f>
              <c:numCache>
                <c:formatCode>#,##0</c:formatCode>
                <c:ptCount val="4"/>
                <c:pt idx="0">
                  <c:v>196.33019618287977</c:v>
                </c:pt>
                <c:pt idx="1">
                  <c:v>198.0932523056151</c:v>
                </c:pt>
                <c:pt idx="2">
                  <c:v>183.63915546471179</c:v>
                </c:pt>
                <c:pt idx="3">
                  <c:v>164.28096893275773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B7-461A-BC31-05BE258E2DD8}"/>
            </c:ext>
          </c:extLst>
        </c:ser>
        <c:ser>
          <c:idx val="3"/>
          <c:order val="3"/>
          <c:tx>
            <c:strRef>
              <c:f>'Sport Loisir Culture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AME'!$H$16:$K$16</c:f>
              <c:numCache>
                <c:formatCode>#,##0</c:formatCode>
                <c:ptCount val="4"/>
                <c:pt idx="0">
                  <c:v>23.048589382883492</c:v>
                </c:pt>
                <c:pt idx="1">
                  <c:v>25.232342169992879</c:v>
                </c:pt>
                <c:pt idx="2">
                  <c:v>30.330239222521811</c:v>
                </c:pt>
                <c:pt idx="3">
                  <c:v>34.061088258202346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B7-461A-BC31-05BE258E2DD8}"/>
            </c:ext>
          </c:extLst>
        </c:ser>
        <c:ser>
          <c:idx val="4"/>
          <c:order val="4"/>
          <c:tx>
            <c:strRef>
              <c:f>'Sport Loisir Culture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AME'!$H$17:$K$17</c:f>
              <c:numCache>
                <c:formatCode>#,##0</c:formatCode>
                <c:ptCount val="4"/>
                <c:pt idx="0">
                  <c:v>21.255363322958676</c:v>
                </c:pt>
                <c:pt idx="1">
                  <c:v>20.156361333424215</c:v>
                </c:pt>
                <c:pt idx="2">
                  <c:v>20.896886874626247</c:v>
                </c:pt>
                <c:pt idx="3">
                  <c:v>20.784611725283536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B7-461A-BC31-05BE258E2DD8}"/>
            </c:ext>
          </c:extLst>
        </c:ser>
        <c:ser>
          <c:idx val="5"/>
          <c:order val="5"/>
          <c:tx>
            <c:strRef>
              <c:f>'Sport Loisir Culture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AME'!$H$18:$K$18</c:f>
              <c:numCache>
                <c:formatCode>#,##0</c:formatCode>
                <c:ptCount val="4"/>
                <c:pt idx="0">
                  <c:v>922.21764323082652</c:v>
                </c:pt>
                <c:pt idx="1">
                  <c:v>677.383239048208</c:v>
                </c:pt>
                <c:pt idx="2">
                  <c:v>551.66469555367439</c:v>
                </c:pt>
                <c:pt idx="3">
                  <c:v>429.47513070410361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B7-461A-BC31-05BE258E2DD8}"/>
            </c:ext>
          </c:extLst>
        </c:ser>
        <c:ser>
          <c:idx val="6"/>
          <c:order val="6"/>
          <c:tx>
            <c:strRef>
              <c:f>'Sport Loisir Culture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AME'!$H$19:$K$19</c:f>
              <c:numCache>
                <c:formatCode>#,##0</c:formatCode>
                <c:ptCount val="4"/>
                <c:pt idx="0">
                  <c:v>164.33662746238309</c:v>
                </c:pt>
                <c:pt idx="1">
                  <c:v>300.02346734792968</c:v>
                </c:pt>
                <c:pt idx="2">
                  <c:v>365.47801757048944</c:v>
                </c:pt>
                <c:pt idx="3">
                  <c:v>404.74920430433269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B7-461A-BC31-05BE258E2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'Sport Loisir Culture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'Sport Loisir Culture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AME'!$H$8:$K$8</c:f>
              <c:numCache>
                <c:formatCode>#,##0</c:formatCode>
                <c:ptCount val="4"/>
                <c:pt idx="0">
                  <c:v>0</c:v>
                </c:pt>
                <c:pt idx="1">
                  <c:v>3336.8292087326572</c:v>
                </c:pt>
                <c:pt idx="2">
                  <c:v>2051.9847254707638</c:v>
                </c:pt>
                <c:pt idx="3">
                  <c:v>1198.8500763051807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B-4083-A332-87A50277A12D}"/>
            </c:ext>
          </c:extLst>
        </c:ser>
        <c:ser>
          <c:idx val="1"/>
          <c:order val="1"/>
          <c:tx>
            <c:strRef>
              <c:f>'Sport Loisir Culture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'Sport Loisir Culture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AME'!$H$9:$K$9</c:f>
              <c:numCache>
                <c:formatCode>#,##0</c:formatCode>
                <c:ptCount val="4"/>
                <c:pt idx="0">
                  <c:v>56508.434021496723</c:v>
                </c:pt>
                <c:pt idx="1">
                  <c:v>55371.36709117992</c:v>
                </c:pt>
                <c:pt idx="2">
                  <c:v>57526.865588716733</c:v>
                </c:pt>
                <c:pt idx="3">
                  <c:v>57804.847926181203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FB-4083-A332-87A50277A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AME'!$H$111:$K$111</c:f>
              <c:numCache>
                <c:formatCode>_-* #\ ##0_-;\-* #\ ##0_-;_-* "-"??_-;_-@_-</c:formatCode>
                <c:ptCount val="4"/>
                <c:pt idx="0" formatCode="0">
                  <c:v>299.28115499439724</c:v>
                </c:pt>
                <c:pt idx="1">
                  <c:v>177.11116731595527</c:v>
                </c:pt>
                <c:pt idx="2">
                  <c:v>132.91014245374728</c:v>
                </c:pt>
                <c:pt idx="3">
                  <c:v>88.305296686356897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7-4CF9-B9BC-B6A34F7C5DB7}"/>
            </c:ext>
          </c:extLst>
        </c:ser>
        <c:ser>
          <c:idx val="1"/>
          <c:order val="1"/>
          <c:tx>
            <c:strRef>
              <c:f>'Sport Loisir Culture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AME'!$H$112:$K$112</c:f>
              <c:numCache>
                <c:formatCode>_-* #\ ##0_-;\-* #\ ##0_-;_-* "-"??_-;_-@_-</c:formatCode>
                <c:ptCount val="4"/>
                <c:pt idx="0" formatCode="0">
                  <c:v>1799.4199287621288</c:v>
                </c:pt>
                <c:pt idx="1">
                  <c:v>1200.9100884687471</c:v>
                </c:pt>
                <c:pt idx="2">
                  <c:v>1051.0716994478732</c:v>
                </c:pt>
                <c:pt idx="3">
                  <c:v>858.75276502773045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7-4CF9-B9BC-B6A34F7C5DB7}"/>
            </c:ext>
          </c:extLst>
        </c:ser>
        <c:ser>
          <c:idx val="2"/>
          <c:order val="2"/>
          <c:tx>
            <c:strRef>
              <c:f>'Sport Loisir Culture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AME'!$H$113:$K$113</c:f>
              <c:numCache>
                <c:formatCode>_-* #\ ##0_-;\-* #\ ##0_-;_-* "-"??_-;_-@_-</c:formatCode>
                <c:ptCount val="4"/>
                <c:pt idx="0" formatCode="0">
                  <c:v>75.81388690699994</c:v>
                </c:pt>
                <c:pt idx="1">
                  <c:v>71.166428474261906</c:v>
                </c:pt>
                <c:pt idx="2">
                  <c:v>59.314379863561115</c:v>
                </c:pt>
                <c:pt idx="3">
                  <c:v>45.73318619842312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7-4CF9-B9BC-B6A34F7C5DB7}"/>
            </c:ext>
          </c:extLst>
        </c:ser>
        <c:ser>
          <c:idx val="3"/>
          <c:order val="3"/>
          <c:tx>
            <c:strRef>
              <c:f>'Sport Loisir Culture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AME'!$H$114:$K$114</c:f>
              <c:numCache>
                <c:formatCode>_-* #\ ##0_-;\-* #\ ##0_-;_-* "-"??_-;_-@_-</c:formatCode>
                <c:ptCount val="4"/>
                <c:pt idx="0" formatCode="0">
                  <c:v>8.9003280331473746</c:v>
                </c:pt>
                <c:pt idx="1">
                  <c:v>6.4981233642123408</c:v>
                </c:pt>
                <c:pt idx="2">
                  <c:v>6.2326140192234298</c:v>
                </c:pt>
                <c:pt idx="3">
                  <c:v>5.592647883261562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77-4CF9-B9BC-B6A34F7C5DB7}"/>
            </c:ext>
          </c:extLst>
        </c:ser>
        <c:ser>
          <c:idx val="4"/>
          <c:order val="4"/>
          <c:tx>
            <c:strRef>
              <c:f>'Sport Loisir Culture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AME'!$H$115:$K$115</c:f>
              <c:numCache>
                <c:formatCode>_-* #\ ##0_-;\-* #\ ##0_-;_-* "-"??_-;_-@_-</c:formatCode>
                <c:ptCount val="4"/>
                <c:pt idx="0" formatCode="0">
                  <c:v>8.2078648239771077</c:v>
                </c:pt>
                <c:pt idx="1">
                  <c:v>6.2600812939626014</c:v>
                </c:pt>
                <c:pt idx="2">
                  <c:v>6.243196008784099</c:v>
                </c:pt>
                <c:pt idx="3">
                  <c:v>5.8022198587314211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77-4CF9-B9BC-B6A34F7C5DB7}"/>
            </c:ext>
          </c:extLst>
        </c:ser>
        <c:ser>
          <c:idx val="5"/>
          <c:order val="5"/>
          <c:tx>
            <c:strRef>
              <c:f>'Sport Loisir Culture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AME'!$H$116:$K$116</c:f>
              <c:numCache>
                <c:formatCode>_-* #\ ##0_-;\-* #\ ##0_-;_-* "-"??_-;_-@_-</c:formatCode>
                <c:ptCount val="4"/>
                <c:pt idx="0" formatCode="0">
                  <c:v>356.11895402179982</c:v>
                </c:pt>
                <c:pt idx="1">
                  <c:v>216.30435371208492</c:v>
                </c:pt>
                <c:pt idx="2">
                  <c:v>182.10207286634065</c:v>
                </c:pt>
                <c:pt idx="3">
                  <c:v>150.05915009763632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77-4CF9-B9BC-B6A34F7C5DB7}"/>
            </c:ext>
          </c:extLst>
        </c:ser>
        <c:ser>
          <c:idx val="6"/>
          <c:order val="6"/>
          <c:tx>
            <c:strRef>
              <c:f>'Sport Loisir Culture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AME'!$H$117:$K$117</c:f>
              <c:numCache>
                <c:formatCode>_-* #\ ##0_-;\-* #\ ##0_-;_-* "-"??_-;_-@_-</c:formatCode>
                <c:ptCount val="4"/>
                <c:pt idx="0" formatCode="0">
                  <c:v>63.459410377736546</c:v>
                </c:pt>
                <c:pt idx="1">
                  <c:v>83.769317298800317</c:v>
                </c:pt>
                <c:pt idx="2">
                  <c:v>121.53570734161816</c:v>
                </c:pt>
                <c:pt idx="3">
                  <c:v>140.18774180827262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77-4CF9-B9BC-B6A34F7C5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AME'!$H$122:$K$122</c:f>
              <c:numCache>
                <c:formatCode>_-* #\ ##0_-;\-* #\ ##0_-;_-* "-"??_-;_-@_-</c:formatCode>
                <c:ptCount val="4"/>
                <c:pt idx="0">
                  <c:v>475.74740865076404</c:v>
                </c:pt>
                <c:pt idx="1">
                  <c:v>389.2632190068652</c:v>
                </c:pt>
                <c:pt idx="2">
                  <c:v>333.38971729428749</c:v>
                </c:pt>
                <c:pt idx="3">
                  <c:v>271.69188412311865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8-4A19-BDC3-9B519E283110}"/>
            </c:ext>
          </c:extLst>
        </c:ser>
        <c:ser>
          <c:idx val="1"/>
          <c:order val="1"/>
          <c:tx>
            <c:strRef>
              <c:f>'Sport Loisir Culture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AME'!$H$123:$K$123</c:f>
              <c:numCache>
                <c:formatCode>_-* #\ ##0_-;\-* #\ ##0_-;_-* "-"??_-;_-@_-</c:formatCode>
                <c:ptCount val="4"/>
                <c:pt idx="0">
                  <c:v>2860.4185525785988</c:v>
                </c:pt>
                <c:pt idx="1">
                  <c:v>2587.415228367779</c:v>
                </c:pt>
                <c:pt idx="2">
                  <c:v>2480.779425544642</c:v>
                </c:pt>
                <c:pt idx="3">
                  <c:v>2299.7770363019431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8-4A19-BDC3-9B519E283110}"/>
            </c:ext>
          </c:extLst>
        </c:ser>
        <c:ser>
          <c:idx val="2"/>
          <c:order val="2"/>
          <c:tx>
            <c:strRef>
              <c:f>'Sport Loisir Culture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AME'!$H$124:$K$124</c:f>
              <c:numCache>
                <c:formatCode>_-* #\ ##0_-;\-* #\ ##0_-;_-* "-"??_-;_-@_-</c:formatCode>
                <c:ptCount val="4"/>
                <c:pt idx="0">
                  <c:v>120.51630927587985</c:v>
                </c:pt>
                <c:pt idx="1">
                  <c:v>120.94480789930937</c:v>
                </c:pt>
                <c:pt idx="2">
                  <c:v>120.64613202899771</c:v>
                </c:pt>
                <c:pt idx="3">
                  <c:v>116.39857466644152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18-4A19-BDC3-9B519E283110}"/>
            </c:ext>
          </c:extLst>
        </c:ser>
        <c:ser>
          <c:idx val="3"/>
          <c:order val="3"/>
          <c:tx>
            <c:strRef>
              <c:f>'Sport Loisir Culture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AME'!$H$125:$K$125</c:f>
              <c:numCache>
                <c:formatCode>_-* #\ ##0_-;\-* #\ ##0_-;_-* "-"??_-;_-@_-</c:formatCode>
                <c:ptCount val="4"/>
                <c:pt idx="0">
                  <c:v>14.148261349736115</c:v>
                </c:pt>
                <c:pt idx="1">
                  <c:v>18.734218805780539</c:v>
                </c:pt>
                <c:pt idx="2">
                  <c:v>24.097625203298382</c:v>
                </c:pt>
                <c:pt idx="3">
                  <c:v>28.468440374940787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18-4A19-BDC3-9B519E283110}"/>
            </c:ext>
          </c:extLst>
        </c:ser>
        <c:ser>
          <c:idx val="4"/>
          <c:order val="4"/>
          <c:tx>
            <c:strRef>
              <c:f>'Sport Loisir Culture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AME'!$H$126:$K$126</c:f>
              <c:numCache>
                <c:formatCode>_-* #\ ##0_-;\-* #\ ##0_-;_-* "-"??_-;_-@_-</c:formatCode>
                <c:ptCount val="4"/>
                <c:pt idx="0">
                  <c:v>13.047498498981568</c:v>
                </c:pt>
                <c:pt idx="1">
                  <c:v>13.298481210950971</c:v>
                </c:pt>
                <c:pt idx="2">
                  <c:v>14.286074188968822</c:v>
                </c:pt>
                <c:pt idx="3">
                  <c:v>14.767615764347196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18-4A19-BDC3-9B519E283110}"/>
            </c:ext>
          </c:extLst>
        </c:ser>
        <c:ser>
          <c:idx val="5"/>
          <c:order val="5"/>
          <c:tx>
            <c:strRef>
              <c:f>'Sport Loisir Culture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AME'!$H$127:$K$127</c:f>
              <c:numCache>
                <c:formatCode>_-* #\ ##0_-;\-* #\ ##0_-;_-* "-"??_-;_-@_-</c:formatCode>
                <c:ptCount val="4"/>
                <c:pt idx="0">
                  <c:v>566.0986892090267</c:v>
                </c:pt>
                <c:pt idx="1">
                  <c:v>441.28785884979106</c:v>
                </c:pt>
                <c:pt idx="2">
                  <c:v>357.39212143870537</c:v>
                </c:pt>
                <c:pt idx="3">
                  <c:v>272.3054957332219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18-4A19-BDC3-9B519E283110}"/>
            </c:ext>
          </c:extLst>
        </c:ser>
        <c:ser>
          <c:idx val="6"/>
          <c:order val="6"/>
          <c:tx>
            <c:strRef>
              <c:f>'Sport Loisir Culture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AME'!$H$128:$K$128</c:f>
              <c:numCache>
                <c:formatCode>_-* #\ ##0_-;\-* #\ ##0_-;_-* "-"??_-;_-@_-</c:formatCode>
                <c:ptCount val="4"/>
                <c:pt idx="0">
                  <c:v>100.87721708464655</c:v>
                </c:pt>
                <c:pt idx="1">
                  <c:v>153.38474541135326</c:v>
                </c:pt>
                <c:pt idx="2">
                  <c:v>204.76525202615605</c:v>
                </c:pt>
                <c:pt idx="3">
                  <c:v>241.67268626261983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18-4A19-BDC3-9B519E28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AME'!$H$13:$K$13</c:f>
              <c:numCache>
                <c:formatCode>#,##0</c:formatCode>
                <c:ptCount val="4"/>
                <c:pt idx="0">
                  <c:v>1184.8678605253267</c:v>
                </c:pt>
                <c:pt idx="1">
                  <c:v>869.56559609581188</c:v>
                </c:pt>
                <c:pt idx="2">
                  <c:v>745.39706248910841</c:v>
                </c:pt>
                <c:pt idx="3">
                  <c:v>606.19537127465651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D-48EF-823C-48F57DB871D7}"/>
            </c:ext>
          </c:extLst>
        </c:ser>
        <c:ser>
          <c:idx val="1"/>
          <c:order val="1"/>
          <c:tx>
            <c:strRef>
              <c:f>'Transport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AME'!$H$14:$K$14</c:f>
              <c:numCache>
                <c:formatCode>#,##0</c:formatCode>
                <c:ptCount val="4"/>
                <c:pt idx="0">
                  <c:v>2573.6286999919075</c:v>
                </c:pt>
                <c:pt idx="1">
                  <c:v>2018.4325148574621</c:v>
                </c:pt>
                <c:pt idx="2">
                  <c:v>1867.099180897721</c:v>
                </c:pt>
                <c:pt idx="3">
                  <c:v>1658.1870679388794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D-48EF-823C-48F57DB871D7}"/>
            </c:ext>
          </c:extLst>
        </c:ser>
        <c:ser>
          <c:idx val="2"/>
          <c:order val="2"/>
          <c:tx>
            <c:strRef>
              <c:f>'Transport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AME'!$H$15:$K$15</c:f>
              <c:numCache>
                <c:formatCode>#,##0</c:formatCode>
                <c:ptCount val="4"/>
                <c:pt idx="0">
                  <c:v>324.73142968208481</c:v>
                </c:pt>
                <c:pt idx="1">
                  <c:v>337.82086392474281</c:v>
                </c:pt>
                <c:pt idx="2">
                  <c:v>299.45708436039803</c:v>
                </c:pt>
                <c:pt idx="3">
                  <c:v>259.72403746490124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D-48EF-823C-48F57DB871D7}"/>
            </c:ext>
          </c:extLst>
        </c:ser>
        <c:ser>
          <c:idx val="3"/>
          <c:order val="3"/>
          <c:tx>
            <c:strRef>
              <c:f>'Transport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AME'!$H$16:$K$16</c:f>
              <c:numCache>
                <c:formatCode>#,##0</c:formatCode>
                <c:ptCount val="4"/>
                <c:pt idx="0">
                  <c:v>87.743683724161968</c:v>
                </c:pt>
                <c:pt idx="1">
                  <c:v>76.551150368717714</c:v>
                </c:pt>
                <c:pt idx="2">
                  <c:v>78.589529784994056</c:v>
                </c:pt>
                <c:pt idx="3">
                  <c:v>77.264855347845526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5D-48EF-823C-48F57DB871D7}"/>
            </c:ext>
          </c:extLst>
        </c:ser>
        <c:ser>
          <c:idx val="4"/>
          <c:order val="4"/>
          <c:tx>
            <c:strRef>
              <c:f>'Transport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AME'!$H$17:$K$17</c:f>
              <c:numCache>
                <c:formatCode>#,##0</c:formatCode>
                <c:ptCount val="4"/>
                <c:pt idx="0">
                  <c:v>74.66951741609185</c:v>
                </c:pt>
                <c:pt idx="1">
                  <c:v>59.782466396329269</c:v>
                </c:pt>
                <c:pt idx="2">
                  <c:v>51.130879556713985</c:v>
                </c:pt>
                <c:pt idx="3">
                  <c:v>41.658887814115026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5D-48EF-823C-48F57DB871D7}"/>
            </c:ext>
          </c:extLst>
        </c:ser>
        <c:ser>
          <c:idx val="5"/>
          <c:order val="5"/>
          <c:tx>
            <c:strRef>
              <c:f>'Transport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AME'!$H$18:$K$18</c:f>
              <c:numCache>
                <c:formatCode>#,##0</c:formatCode>
                <c:ptCount val="4"/>
                <c:pt idx="0">
                  <c:v>601.96304228562485</c:v>
                </c:pt>
                <c:pt idx="1">
                  <c:v>439.96417648707074</c:v>
                </c:pt>
                <c:pt idx="2">
                  <c:v>381.02143888609356</c:v>
                </c:pt>
                <c:pt idx="3">
                  <c:v>302.88320874930008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5D-48EF-823C-48F57DB871D7}"/>
            </c:ext>
          </c:extLst>
        </c:ser>
        <c:ser>
          <c:idx val="6"/>
          <c:order val="6"/>
          <c:tx>
            <c:strRef>
              <c:f>'Transport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AME'!$H$19:$K$19</c:f>
              <c:numCache>
                <c:formatCode>#,##0</c:formatCode>
                <c:ptCount val="4"/>
                <c:pt idx="0">
                  <c:v>131.45762730537484</c:v>
                </c:pt>
                <c:pt idx="1">
                  <c:v>233.33035679121053</c:v>
                </c:pt>
                <c:pt idx="2">
                  <c:v>281.0272204675864</c:v>
                </c:pt>
                <c:pt idx="3">
                  <c:v>320.30157377091541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5D-48EF-823C-48F57DB87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'Transport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'Transport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AME'!$H$8:$K$8</c:f>
              <c:numCache>
                <c:formatCode>#,##0</c:formatCode>
                <c:ptCount val="4"/>
                <c:pt idx="0">
                  <c:v>0</c:v>
                </c:pt>
                <c:pt idx="1">
                  <c:v>2714.940071976017</c:v>
                </c:pt>
                <c:pt idx="2">
                  <c:v>1773.7602281094607</c:v>
                </c:pt>
                <c:pt idx="3">
                  <c:v>1146.2522064996804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9-407B-BFA1-2F61F7DCE921}"/>
            </c:ext>
          </c:extLst>
        </c:ser>
        <c:ser>
          <c:idx val="1"/>
          <c:order val="1"/>
          <c:tx>
            <c:strRef>
              <c:f>'Transport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'Transport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AME'!$H$9:$K$9</c:f>
              <c:numCache>
                <c:formatCode>#,##0</c:formatCode>
                <c:ptCount val="4"/>
                <c:pt idx="0">
                  <c:v>41814.604215450461</c:v>
                </c:pt>
                <c:pt idx="1">
                  <c:v>40727.42450584875</c:v>
                </c:pt>
                <c:pt idx="2">
                  <c:v>42312.863098801325</c:v>
                </c:pt>
                <c:pt idx="3">
                  <c:v>42514.775071010132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9-407B-BFA1-2F61F7DCE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AME'!$H$111:$K$111</c:f>
              <c:numCache>
                <c:formatCode>_-* #\ ##0_-;\-* #\ ##0_-;_-* "-"??_-;_-@_-</c:formatCode>
                <c:ptCount val="4"/>
                <c:pt idx="0" formatCode="0">
                  <c:v>534.96783902718494</c:v>
                </c:pt>
                <c:pt idx="1">
                  <c:v>327.1535579110124</c:v>
                </c:pt>
                <c:pt idx="2">
                  <c:v>266.20391538381125</c:v>
                </c:pt>
                <c:pt idx="3">
                  <c:v>200.28040836004391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7-4483-8424-67C3F1C69540}"/>
            </c:ext>
          </c:extLst>
        </c:ser>
        <c:ser>
          <c:idx val="1"/>
          <c:order val="1"/>
          <c:tx>
            <c:strRef>
              <c:f>'Transport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AME'!$H$112:$K$112</c:f>
              <c:numCache>
                <c:formatCode>_-* #\ ##0_-;\-* #\ ##0_-;_-* "-"??_-;_-@_-</c:formatCode>
                <c:ptCount val="4"/>
                <c:pt idx="0" formatCode="0">
                  <c:v>1161.9933580463464</c:v>
                </c:pt>
                <c:pt idx="1">
                  <c:v>748.38861366248921</c:v>
                </c:pt>
                <c:pt idx="2">
                  <c:v>648.60689348047708</c:v>
                </c:pt>
                <c:pt idx="3">
                  <c:v>527.90678272460104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7-4483-8424-67C3F1C69540}"/>
            </c:ext>
          </c:extLst>
        </c:ser>
        <c:ser>
          <c:idx val="2"/>
          <c:order val="2"/>
          <c:tx>
            <c:strRef>
              <c:f>'Transport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AME'!$H$113:$K$113</c:f>
              <c:numCache>
                <c:formatCode>_-* #\ ##0_-;\-* #\ ##0_-;_-* "-"??_-;_-@_-</c:formatCode>
                <c:ptCount val="4"/>
                <c:pt idx="0" formatCode="0">
                  <c:v>146.61624050146131</c:v>
                </c:pt>
                <c:pt idx="1">
                  <c:v>146.61003450071456</c:v>
                </c:pt>
                <c:pt idx="2">
                  <c:v>121.38908140013773</c:v>
                </c:pt>
                <c:pt idx="3">
                  <c:v>93.435506237127385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7-4483-8424-67C3F1C69540}"/>
            </c:ext>
          </c:extLst>
        </c:ser>
        <c:ser>
          <c:idx val="3"/>
          <c:order val="3"/>
          <c:tx>
            <c:strRef>
              <c:f>'Transport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AME'!$H$114:$K$114</c:f>
              <c:numCache>
                <c:formatCode>_-* #\ ##0_-;\-* #\ ##0_-;_-* "-"??_-;_-@_-</c:formatCode>
                <c:ptCount val="4"/>
                <c:pt idx="0" formatCode="0">
                  <c:v>39.616273201459137</c:v>
                </c:pt>
                <c:pt idx="1">
                  <c:v>28.895352607067679</c:v>
                </c:pt>
                <c:pt idx="2">
                  <c:v>28.410412915866345</c:v>
                </c:pt>
                <c:pt idx="3">
                  <c:v>26.307416794843391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7-4483-8424-67C3F1C69540}"/>
            </c:ext>
          </c:extLst>
        </c:ser>
        <c:ser>
          <c:idx val="4"/>
          <c:order val="4"/>
          <c:tx>
            <c:strRef>
              <c:f>'Transport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AME'!$H$115:$K$115</c:f>
              <c:numCache>
                <c:formatCode>_-* #\ ##0_-;\-* #\ ##0_-;_-* "-"??_-;_-@_-</c:formatCode>
                <c:ptCount val="4"/>
                <c:pt idx="0" formatCode="0">
                  <c:v>33.713287113365467</c:v>
                </c:pt>
                <c:pt idx="1">
                  <c:v>21.011942426958534</c:v>
                </c:pt>
                <c:pt idx="2">
                  <c:v>17.511767156216273</c:v>
                </c:pt>
                <c:pt idx="3">
                  <c:v>13.592413462438181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7-4483-8424-67C3F1C69540}"/>
            </c:ext>
          </c:extLst>
        </c:ser>
        <c:ser>
          <c:idx val="5"/>
          <c:order val="5"/>
          <c:tx>
            <c:strRef>
              <c:f>'Transport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AME'!$H$116:$K$116</c:f>
              <c:numCache>
                <c:formatCode>_-* #\ ##0_-;\-* #\ ##0_-;_-* "-"??_-;_-@_-</c:formatCode>
                <c:ptCount val="4"/>
                <c:pt idx="0" formatCode="0">
                  <c:v>271.78631359195958</c:v>
                </c:pt>
                <c:pt idx="1">
                  <c:v>150.73009672105366</c:v>
                </c:pt>
                <c:pt idx="2">
                  <c:v>136.95199566908053</c:v>
                </c:pt>
                <c:pt idx="3">
                  <c:v>104.00616331341149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7-4483-8424-67C3F1C69540}"/>
            </c:ext>
          </c:extLst>
        </c:ser>
        <c:ser>
          <c:idx val="6"/>
          <c:order val="6"/>
          <c:tx>
            <c:strRef>
              <c:f>'Transport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AME'!$H$117:$K$117</c:f>
              <c:numCache>
                <c:formatCode>_-* #\ ##0_-;\-* #\ ##0_-;_-* "-"??_-;_-@_-</c:formatCode>
                <c:ptCount val="4"/>
                <c:pt idx="0" formatCode="0">
                  <c:v>59.353118728376728</c:v>
                </c:pt>
                <c:pt idx="1">
                  <c:v>85.07586365555332</c:v>
                </c:pt>
                <c:pt idx="2">
                  <c:v>115.4061232569882</c:v>
                </c:pt>
                <c:pt idx="3">
                  <c:v>142.12849360099071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A7-4483-8424-67C3F1C69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AME'!$H$122:$K$122</c:f>
              <c:numCache>
                <c:formatCode>_-* #\ ##0_-;\-* #\ ##0_-;_-* "-"??_-;_-@_-</c:formatCode>
                <c:ptCount val="4"/>
                <c:pt idx="0">
                  <c:v>649.90002149814165</c:v>
                </c:pt>
                <c:pt idx="1">
                  <c:v>542.22537056870567</c:v>
                </c:pt>
                <c:pt idx="2">
                  <c:v>479.07119097200308</c:v>
                </c:pt>
                <c:pt idx="3">
                  <c:v>405.83615153713947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C-40AE-A265-4120F4FA8D51}"/>
            </c:ext>
          </c:extLst>
        </c:ser>
        <c:ser>
          <c:idx val="1"/>
          <c:order val="1"/>
          <c:tx>
            <c:strRef>
              <c:f>'Transport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AME'!$H$123:$K$123</c:f>
              <c:numCache>
                <c:formatCode>_-* #\ ##0_-;\-* #\ ##0_-;_-* "-"??_-;_-@_-</c:formatCode>
                <c:ptCount val="4"/>
                <c:pt idx="0">
                  <c:v>1411.6353419455611</c:v>
                </c:pt>
                <c:pt idx="1">
                  <c:v>1270.0439011949729</c:v>
                </c:pt>
                <c:pt idx="2">
                  <c:v>1218.4922874172439</c:v>
                </c:pt>
                <c:pt idx="3">
                  <c:v>1130.2802852142784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C-40AE-A265-4120F4FA8D51}"/>
            </c:ext>
          </c:extLst>
        </c:ser>
        <c:ser>
          <c:idx val="2"/>
          <c:order val="2"/>
          <c:tx>
            <c:strRef>
              <c:f>'Transport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AME'!$H$124:$K$124</c:f>
              <c:numCache>
                <c:formatCode>_-* #\ ##0_-;\-* #\ ##0_-;_-* "-"??_-;_-@_-</c:formatCode>
                <c:ptCount val="4"/>
                <c:pt idx="0">
                  <c:v>178.11518918062353</c:v>
                </c:pt>
                <c:pt idx="1">
                  <c:v>164.7803801245646</c:v>
                </c:pt>
                <c:pt idx="2">
                  <c:v>160.80011544319603</c:v>
                </c:pt>
                <c:pt idx="3">
                  <c:v>155.12955164623276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1C-40AE-A265-4120F4FA8D51}"/>
            </c:ext>
          </c:extLst>
        </c:ser>
        <c:ser>
          <c:idx val="3"/>
          <c:order val="3"/>
          <c:tx>
            <c:strRef>
              <c:f>'Transport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AME'!$H$125:$K$125</c:f>
              <c:numCache>
                <c:formatCode>_-* #\ ##0_-;\-* #\ ##0_-;_-* "-"??_-;_-@_-</c:formatCode>
                <c:ptCount val="4"/>
                <c:pt idx="0">
                  <c:v>48.127410522702839</c:v>
                </c:pt>
                <c:pt idx="1">
                  <c:v>47.655797761650042</c:v>
                </c:pt>
                <c:pt idx="2">
                  <c:v>50.179116869127718</c:v>
                </c:pt>
                <c:pt idx="3">
                  <c:v>50.957438553002135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1C-40AE-A265-4120F4FA8D51}"/>
            </c:ext>
          </c:extLst>
        </c:ser>
        <c:ser>
          <c:idx val="4"/>
          <c:order val="4"/>
          <c:tx>
            <c:strRef>
              <c:f>'Transport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AME'!$H$126:$K$126</c:f>
              <c:numCache>
                <c:formatCode>_-* #\ ##0_-;\-* #\ ##0_-;_-* "-"??_-;_-@_-</c:formatCode>
                <c:ptCount val="4"/>
                <c:pt idx="0">
                  <c:v>40.956230302726375</c:v>
                </c:pt>
                <c:pt idx="1">
                  <c:v>34.654046015470541</c:v>
                </c:pt>
                <c:pt idx="2">
                  <c:v>30.929681075701211</c:v>
                </c:pt>
                <c:pt idx="3">
                  <c:v>26.328490524199179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1C-40AE-A265-4120F4FA8D51}"/>
            </c:ext>
          </c:extLst>
        </c:ser>
        <c:ser>
          <c:idx val="5"/>
          <c:order val="5"/>
          <c:tx>
            <c:strRef>
              <c:f>'Transport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AME'!$H$127:$K$127</c:f>
              <c:numCache>
                <c:formatCode>_-* #\ ##0_-;\-* #\ ##0_-;_-* "-"??_-;_-@_-</c:formatCode>
                <c:ptCount val="4"/>
                <c:pt idx="0">
                  <c:v>330.17672869366521</c:v>
                </c:pt>
                <c:pt idx="1">
                  <c:v>269.00741011780093</c:v>
                </c:pt>
                <c:pt idx="2">
                  <c:v>232.05603149655667</c:v>
                </c:pt>
                <c:pt idx="3">
                  <c:v>191.88999074464925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1C-40AE-A265-4120F4FA8D51}"/>
            </c:ext>
          </c:extLst>
        </c:ser>
        <c:ser>
          <c:idx val="6"/>
          <c:order val="6"/>
          <c:tx>
            <c:strRef>
              <c:f>'Transport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AME'!$H$128:$K$128</c:f>
              <c:numCache>
                <c:formatCode>_-* #\ ##0_-;\-* #\ ##0_-;_-* "-"??_-;_-@_-</c:formatCode>
                <c:ptCount val="4"/>
                <c:pt idx="0">
                  <c:v>72.1045085769981</c:v>
                </c:pt>
                <c:pt idx="1">
                  <c:v>103.7424613465498</c:v>
                </c:pt>
                <c:pt idx="2">
                  <c:v>135.60181054740005</c:v>
                </c:pt>
                <c:pt idx="3">
                  <c:v>158.16757135756134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1C-40AE-A265-4120F4FA8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'Init. énergie'!$A$77</c:f>
              <c:strCache>
                <c:ptCount val="1"/>
                <c:pt idx="0">
                  <c:v>Gaz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'Init. énergie'!$B$76:$H$76</c:f>
              <c:numCache>
                <c:formatCode>General</c:formatCode>
                <c:ptCount val="7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</c:numCache>
            </c:numRef>
          </c:cat>
          <c:val>
            <c:numRef>
              <c:f>'Init. énergie'!$B$77:$H$77</c:f>
              <c:numCache>
                <c:formatCode>0</c:formatCode>
                <c:ptCount val="7"/>
                <c:pt idx="0">
                  <c:v>144.20029880566577</c:v>
                </c:pt>
                <c:pt idx="1">
                  <c:v>146.2666517582841</c:v>
                </c:pt>
                <c:pt idx="2">
                  <c:v>136.57421239289641</c:v>
                </c:pt>
                <c:pt idx="3">
                  <c:v>128.44733116483138</c:v>
                </c:pt>
                <c:pt idx="4">
                  <c:v>119.12615737447211</c:v>
                </c:pt>
                <c:pt idx="5">
                  <c:v>106.21213396312017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E-42F6-84A6-5EB8A76866B0}"/>
            </c:ext>
          </c:extLst>
        </c:ser>
        <c:ser>
          <c:idx val="1"/>
          <c:order val="1"/>
          <c:tx>
            <c:strRef>
              <c:f>'Init. énergie'!$A$78</c:f>
              <c:strCache>
                <c:ptCount val="1"/>
                <c:pt idx="0">
                  <c:v>Fioul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'Init. énergie'!$B$76:$H$76</c:f>
              <c:numCache>
                <c:formatCode>General</c:formatCode>
                <c:ptCount val="7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</c:numCache>
            </c:numRef>
          </c:cat>
          <c:val>
            <c:numRef>
              <c:f>'Init. énergie'!$B$78:$H$78</c:f>
              <c:numCache>
                <c:formatCode>0</c:formatCode>
                <c:ptCount val="7"/>
                <c:pt idx="0">
                  <c:v>168.53255767943179</c:v>
                </c:pt>
                <c:pt idx="1">
                  <c:v>172.66010876844641</c:v>
                </c:pt>
                <c:pt idx="2">
                  <c:v>166.38819521289994</c:v>
                </c:pt>
                <c:pt idx="3">
                  <c:v>151.95478449153515</c:v>
                </c:pt>
                <c:pt idx="4">
                  <c:v>135.1534989915672</c:v>
                </c:pt>
                <c:pt idx="5">
                  <c:v>121.74809106277199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E-42F6-84A6-5EB8A76866B0}"/>
            </c:ext>
          </c:extLst>
        </c:ser>
        <c:ser>
          <c:idx val="2"/>
          <c:order val="2"/>
          <c:tx>
            <c:strRef>
              <c:f>'Init. énergie'!$A$79</c:f>
              <c:strCache>
                <c:ptCount val="1"/>
                <c:pt idx="0">
                  <c:v>Autres combustibles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'Init. énergie'!$B$76:$H$76</c:f>
              <c:numCache>
                <c:formatCode>General</c:formatCode>
                <c:ptCount val="7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</c:numCache>
            </c:numRef>
          </c:cat>
          <c:val>
            <c:numRef>
              <c:f>'Init. énergie'!$B$79:$H$79</c:f>
              <c:numCache>
                <c:formatCode>0</c:formatCode>
                <c:ptCount val="7"/>
                <c:pt idx="0">
                  <c:v>131.49727536036906</c:v>
                </c:pt>
                <c:pt idx="1">
                  <c:v>129.25631328722389</c:v>
                </c:pt>
                <c:pt idx="2">
                  <c:v>121.23847603268428</c:v>
                </c:pt>
                <c:pt idx="3">
                  <c:v>116.16490775888079</c:v>
                </c:pt>
                <c:pt idx="4">
                  <c:v>109.392662901202</c:v>
                </c:pt>
                <c:pt idx="5">
                  <c:v>102.77327280480316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1E-42F6-84A6-5EB8A76866B0}"/>
            </c:ext>
          </c:extLst>
        </c:ser>
        <c:ser>
          <c:idx val="3"/>
          <c:order val="3"/>
          <c:tx>
            <c:strRef>
              <c:f>'Init. énergie'!$A$80</c:f>
              <c:strCache>
                <c:ptCount val="1"/>
                <c:pt idx="0">
                  <c:v>Électricité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'Init. énergie'!$B$76:$H$76</c:f>
              <c:numCache>
                <c:formatCode>General</c:formatCode>
                <c:ptCount val="7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</c:numCache>
            </c:numRef>
          </c:cat>
          <c:val>
            <c:numRef>
              <c:f>'Init. énergie'!$B$80:$H$80</c:f>
              <c:numCache>
                <c:formatCode>0</c:formatCode>
                <c:ptCount val="7"/>
                <c:pt idx="0">
                  <c:v>87.004717391657124</c:v>
                </c:pt>
                <c:pt idx="1">
                  <c:v>87.395910050408347</c:v>
                </c:pt>
                <c:pt idx="2">
                  <c:v>80.416397613434597</c:v>
                </c:pt>
                <c:pt idx="3">
                  <c:v>74.878682749879246</c:v>
                </c:pt>
                <c:pt idx="4">
                  <c:v>67.802754050118168</c:v>
                </c:pt>
                <c:pt idx="5">
                  <c:v>55.958701433044055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1E-42F6-84A6-5EB8A7686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347327"/>
        <c:axId val="1096354399"/>
      </c:lineChart>
      <c:catAx>
        <c:axId val="109634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6354399"/>
        <c:crosses val="autoZero"/>
        <c:auto val="1"/>
        <c:lblAlgn val="ctr"/>
        <c:lblOffset val="100"/>
        <c:noMultiLvlLbl val="0"/>
      </c:catAx>
      <c:valAx>
        <c:axId val="109635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634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AMS'!$H$13:$K$13</c:f>
              <c:numCache>
                <c:formatCode>#,##0</c:formatCode>
                <c:ptCount val="4"/>
                <c:pt idx="0">
                  <c:v>3705.1684690793891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4-4CDD-A7CD-27A1B116A5F6}"/>
            </c:ext>
          </c:extLst>
        </c:ser>
        <c:ser>
          <c:idx val="1"/>
          <c:order val="1"/>
          <c:tx>
            <c:strRef>
              <c:f>'Bureaux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AMS'!$H$14:$K$14</c:f>
              <c:numCache>
                <c:formatCode>#,##0</c:formatCode>
                <c:ptCount val="4"/>
                <c:pt idx="0">
                  <c:v>17519.297184247305</c:v>
                </c:pt>
                <c:pt idx="1">
                  <c:v>13129.714743857159</c:v>
                </c:pt>
                <c:pt idx="2">
                  <c:v>5864.0069384415901</c:v>
                </c:pt>
                <c:pt idx="3">
                  <c:v>1436.7085388249191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4-4CDD-A7CD-27A1B116A5F6}"/>
            </c:ext>
          </c:extLst>
        </c:ser>
        <c:ser>
          <c:idx val="2"/>
          <c:order val="2"/>
          <c:tx>
            <c:strRef>
              <c:f>'Bureaux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AMS'!$H$15:$K$15</c:f>
              <c:numCache>
                <c:formatCode>#,##0</c:formatCode>
                <c:ptCount val="4"/>
                <c:pt idx="0">
                  <c:v>2766.1150896935137</c:v>
                </c:pt>
                <c:pt idx="1">
                  <c:v>4636.4704179727742</c:v>
                </c:pt>
                <c:pt idx="2">
                  <c:v>5367.6974841626588</c:v>
                </c:pt>
                <c:pt idx="3">
                  <c:v>4965.9957798031492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E4-4CDD-A7CD-27A1B116A5F6}"/>
            </c:ext>
          </c:extLst>
        </c:ser>
        <c:ser>
          <c:idx val="3"/>
          <c:order val="3"/>
          <c:tx>
            <c:strRef>
              <c:f>'Bureaux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AMS'!$H$16:$K$16</c:f>
              <c:numCache>
                <c:formatCode>#,##0</c:formatCode>
                <c:ptCount val="4"/>
                <c:pt idx="0">
                  <c:v>394.01187233155554</c:v>
                </c:pt>
                <c:pt idx="1">
                  <c:v>225.7950966034351</c:v>
                </c:pt>
                <c:pt idx="2">
                  <c:v>92.337478617062615</c:v>
                </c:pt>
                <c:pt idx="3">
                  <c:v>8.0912049805030897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E4-4CDD-A7CD-27A1B116A5F6}"/>
            </c:ext>
          </c:extLst>
        </c:ser>
        <c:ser>
          <c:idx val="4"/>
          <c:order val="4"/>
          <c:tx>
            <c:strRef>
              <c:f>'Bureaux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AMS'!$H$17:$K$17</c:f>
              <c:numCache>
                <c:formatCode>#,##0</c:formatCode>
                <c:ptCount val="4"/>
                <c:pt idx="0">
                  <c:v>411.65001129323502</c:v>
                </c:pt>
                <c:pt idx="1">
                  <c:v>576.46798266630935</c:v>
                </c:pt>
                <c:pt idx="2">
                  <c:v>666.35522443383263</c:v>
                </c:pt>
                <c:pt idx="3">
                  <c:v>1274.633692187281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E4-4CDD-A7CD-27A1B116A5F6}"/>
            </c:ext>
          </c:extLst>
        </c:ser>
        <c:ser>
          <c:idx val="5"/>
          <c:order val="5"/>
          <c:tx>
            <c:strRef>
              <c:f>'Bureaux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AMS'!$H$18:$K$18</c:f>
              <c:numCache>
                <c:formatCode>#,##0</c:formatCode>
                <c:ptCount val="4"/>
                <c:pt idx="0">
                  <c:v>6418.4622476422328</c:v>
                </c:pt>
                <c:pt idx="1">
                  <c:v>3804.24941523387</c:v>
                </c:pt>
                <c:pt idx="2">
                  <c:v>1377.031694691294</c:v>
                </c:pt>
                <c:pt idx="3">
                  <c:v>984.48612316315405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E4-4CDD-A7CD-27A1B116A5F6}"/>
            </c:ext>
          </c:extLst>
        </c:ser>
        <c:ser>
          <c:idx val="6"/>
          <c:order val="6"/>
          <c:tx>
            <c:strRef>
              <c:f>'Bureaux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AMS'!$H$19:$K$19</c:f>
              <c:numCache>
                <c:formatCode>#,##0</c:formatCode>
                <c:ptCount val="4"/>
                <c:pt idx="0">
                  <c:v>1152.0826387608715</c:v>
                </c:pt>
                <c:pt idx="1">
                  <c:v>3994.2101617954245</c:v>
                </c:pt>
                <c:pt idx="2">
                  <c:v>4954.4969371653915</c:v>
                </c:pt>
                <c:pt idx="3">
                  <c:v>4969.9806911389705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E4-4CDD-A7CD-27A1B116A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'Bureaux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'Bureaux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AMS'!$H$8:$K$8</c:f>
              <c:numCache>
                <c:formatCode>#,##0</c:formatCode>
                <c:ptCount val="4"/>
                <c:pt idx="0">
                  <c:v>0</c:v>
                </c:pt>
                <c:pt idx="1">
                  <c:v>6206.4099090819327</c:v>
                </c:pt>
                <c:pt idx="2">
                  <c:v>5920.8738890125724</c:v>
                </c:pt>
                <c:pt idx="3">
                  <c:v>5623.8458501736704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2-4AC5-9DF1-2A2482ABA7CF}"/>
            </c:ext>
          </c:extLst>
        </c:ser>
        <c:ser>
          <c:idx val="1"/>
          <c:order val="1"/>
          <c:tx>
            <c:strRef>
              <c:f>'Bureaux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'Bureaux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AMS'!$H$9:$K$9</c:f>
              <c:numCache>
                <c:formatCode>#,##0</c:formatCode>
                <c:ptCount val="4"/>
                <c:pt idx="0">
                  <c:v>287333.79208712652</c:v>
                </c:pt>
                <c:pt idx="1">
                  <c:v>267908.12198964827</c:v>
                </c:pt>
                <c:pt idx="2">
                  <c:v>254442.35991532399</c:v>
                </c:pt>
                <c:pt idx="3">
                  <c:v>233249.46371632058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2-4AC5-9DF1-2A2482ABA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AMS'!$H$111:$K$111</c:f>
              <c:numCache>
                <c:formatCode>_-* #\ ##0_-;\-* #\ ##0_-;_-* "-"??_-;_-@_-</c:formatCode>
                <c:ptCount val="4"/>
                <c:pt idx="0" formatCode="0">
                  <c:v>3169.8642545091448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E-4773-BFCA-43E8E5ECB471}"/>
            </c:ext>
          </c:extLst>
        </c:ser>
        <c:ser>
          <c:idx val="1"/>
          <c:order val="1"/>
          <c:tx>
            <c:strRef>
              <c:f>'Bureaux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AMS'!$H$112:$K$112</c:f>
              <c:numCache>
                <c:formatCode>_-* #\ ##0_-;\-* #\ ##0_-;_-* "-"??_-;_-@_-</c:formatCode>
                <c:ptCount val="4"/>
                <c:pt idx="0" formatCode="0">
                  <c:v>14988.196723553177</c:v>
                </c:pt>
                <c:pt idx="1">
                  <c:v>11223.973187161759</c:v>
                </c:pt>
                <c:pt idx="2">
                  <c:v>4875.9178872003786</c:v>
                </c:pt>
                <c:pt idx="3">
                  <c:v>1181.5526621224685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E-4773-BFCA-43E8E5ECB471}"/>
            </c:ext>
          </c:extLst>
        </c:ser>
        <c:ser>
          <c:idx val="2"/>
          <c:order val="2"/>
          <c:tx>
            <c:strRef>
              <c:f>'Bureaux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AMS'!$H$113:$K$113</c:f>
              <c:numCache>
                <c:formatCode>_-* #\ ##0_-;\-* #\ ##0_-;_-* "-"??_-;_-@_-</c:formatCode>
                <c:ptCount val="4"/>
                <c:pt idx="0" formatCode="0">
                  <c:v>2366.4806121100437</c:v>
                </c:pt>
                <c:pt idx="1">
                  <c:v>3851.90480586184</c:v>
                </c:pt>
                <c:pt idx="2">
                  <c:v>4317.2282909209298</c:v>
                </c:pt>
                <c:pt idx="3">
                  <c:v>3923.1325502209188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EE-4773-BFCA-43E8E5ECB471}"/>
            </c:ext>
          </c:extLst>
        </c:ser>
        <c:ser>
          <c:idx val="3"/>
          <c:order val="3"/>
          <c:tx>
            <c:strRef>
              <c:f>'Bureaux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AMS'!$H$114:$K$114</c:f>
              <c:numCache>
                <c:formatCode>_-* #\ ##0_-;\-* #\ ##0_-;_-* "-"??_-;_-@_-</c:formatCode>
                <c:ptCount val="4"/>
                <c:pt idx="0" formatCode="0">
                  <c:v>337.08700707645409</c:v>
                </c:pt>
                <c:pt idx="1">
                  <c:v>182.89142900036276</c:v>
                </c:pt>
                <c:pt idx="2">
                  <c:v>68.328449710191109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EE-4773-BFCA-43E8E5ECB471}"/>
            </c:ext>
          </c:extLst>
        </c:ser>
        <c:ser>
          <c:idx val="4"/>
          <c:order val="4"/>
          <c:tx>
            <c:strRef>
              <c:f>'Bureaux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AMS'!$H$115:$K$115</c:f>
              <c:numCache>
                <c:formatCode>_-* #\ ##0_-;\-* #\ ##0_-;_-* "-"??_-;_-@_-</c:formatCode>
                <c:ptCount val="4"/>
                <c:pt idx="0" formatCode="0">
                  <c:v>352.17687591164491</c:v>
                </c:pt>
                <c:pt idx="1">
                  <c:v>477.6966387327667</c:v>
                </c:pt>
                <c:pt idx="2">
                  <c:v>535.4040525810716</c:v>
                </c:pt>
                <c:pt idx="3">
                  <c:v>1009.0992524465646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EE-4773-BFCA-43E8E5ECB471}"/>
            </c:ext>
          </c:extLst>
        </c:ser>
        <c:ser>
          <c:idx val="5"/>
          <c:order val="5"/>
          <c:tx>
            <c:strRef>
              <c:f>'Bureaux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AMS'!$H$116:$K$116</c:f>
              <c:numCache>
                <c:formatCode>_-* #\ ##0_-;\-* #\ ##0_-;_-* "-"??_-;_-@_-</c:formatCode>
                <c:ptCount val="4"/>
                <c:pt idx="0" formatCode="0">
                  <c:v>5491.1549144141218</c:v>
                </c:pt>
                <c:pt idx="1">
                  <c:v>3212.9523789387399</c:v>
                </c:pt>
                <c:pt idx="2">
                  <c:v>1162.683182617893</c:v>
                </c:pt>
                <c:pt idx="3">
                  <c:v>834.80360015659244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EE-4773-BFCA-43E8E5ECB471}"/>
            </c:ext>
          </c:extLst>
        </c:ser>
        <c:ser>
          <c:idx val="6"/>
          <c:order val="6"/>
          <c:tx>
            <c:strRef>
              <c:f>'Bureaux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AMS'!$H$117:$K$117</c:f>
              <c:numCache>
                <c:formatCode>_-* #\ ##0_-;\-* #\ ##0_-;_-* "-"??_-;_-@_-</c:formatCode>
                <c:ptCount val="4"/>
                <c:pt idx="0" formatCode="0">
                  <c:v>985.63549952589472</c:v>
                </c:pt>
                <c:pt idx="1">
                  <c:v>3382.2462738471891</c:v>
                </c:pt>
                <c:pt idx="2">
                  <c:v>4082.4359436863174</c:v>
                </c:pt>
                <c:pt idx="3">
                  <c:v>4082.7132413496811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EE-4773-BFCA-43E8E5ECB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AMS'!$H$122:$K$122</c:f>
              <c:numCache>
                <c:formatCode>_-* #\ ##0_-;\-* #\ ##0_-;_-* "-"??_-;_-@_-</c:formatCode>
                <c:ptCount val="4"/>
                <c:pt idx="0">
                  <c:v>535.30421457024443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A-487B-83F3-AA189AC75505}"/>
            </c:ext>
          </c:extLst>
        </c:ser>
        <c:ser>
          <c:idx val="1"/>
          <c:order val="1"/>
          <c:tx>
            <c:strRef>
              <c:f>'Bureaux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AMS'!$H$123:$K$123</c:f>
              <c:numCache>
                <c:formatCode>_-* #\ ##0_-;\-* #\ ##0_-;_-* "-"??_-;_-@_-</c:formatCode>
                <c:ptCount val="4"/>
                <c:pt idx="0">
                  <c:v>2531.1004606941278</c:v>
                </c:pt>
                <c:pt idx="1">
                  <c:v>1905.7415566954005</c:v>
                </c:pt>
                <c:pt idx="2">
                  <c:v>988.08905124121168</c:v>
                </c:pt>
                <c:pt idx="3">
                  <c:v>255.15587670245048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A-487B-83F3-AA189AC75505}"/>
            </c:ext>
          </c:extLst>
        </c:ser>
        <c:ser>
          <c:idx val="2"/>
          <c:order val="2"/>
          <c:tx>
            <c:strRef>
              <c:f>'Bureaux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AMS'!$H$124:$K$124</c:f>
              <c:numCache>
                <c:formatCode>_-* #\ ##0_-;\-* #\ ##0_-;_-* "-"??_-;_-@_-</c:formatCode>
                <c:ptCount val="4"/>
                <c:pt idx="0">
                  <c:v>399.63447758347019</c:v>
                </c:pt>
                <c:pt idx="1">
                  <c:v>715.53820698308516</c:v>
                </c:pt>
                <c:pt idx="2">
                  <c:v>978.74223728155482</c:v>
                </c:pt>
                <c:pt idx="3">
                  <c:v>969.15401694791194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A-487B-83F3-AA189AC75505}"/>
            </c:ext>
          </c:extLst>
        </c:ser>
        <c:ser>
          <c:idx val="3"/>
          <c:order val="3"/>
          <c:tx>
            <c:strRef>
              <c:f>'Bureaux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AMS'!$H$125:$K$125</c:f>
              <c:numCache>
                <c:formatCode>_-* #\ ##0_-;\-* #\ ##0_-;_-* "-"??_-;_-@_-</c:formatCode>
                <c:ptCount val="4"/>
                <c:pt idx="0">
                  <c:v>56.924865255101437</c:v>
                </c:pt>
                <c:pt idx="1">
                  <c:v>33.974309276891219</c:v>
                </c:pt>
                <c:pt idx="2">
                  <c:v>15.490480288006042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A-487B-83F3-AA189AC75505}"/>
            </c:ext>
          </c:extLst>
        </c:ser>
        <c:ser>
          <c:idx val="4"/>
          <c:order val="4"/>
          <c:tx>
            <c:strRef>
              <c:f>'Bureaux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AMS'!$H$126:$K$126</c:f>
              <c:numCache>
                <c:formatCode>_-* #\ ##0_-;\-* #\ ##0_-;_-* "-"??_-;_-@_-</c:formatCode>
                <c:ptCount val="4"/>
                <c:pt idx="0">
                  <c:v>59.473135381590083</c:v>
                </c:pt>
                <c:pt idx="1">
                  <c:v>88.737965652869363</c:v>
                </c:pt>
                <c:pt idx="2">
                  <c:v>121.37939551976467</c:v>
                </c:pt>
                <c:pt idx="3">
                  <c:v>249.28359709708297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AA-487B-83F3-AA189AC75505}"/>
            </c:ext>
          </c:extLst>
        </c:ser>
        <c:ser>
          <c:idx val="5"/>
          <c:order val="5"/>
          <c:tx>
            <c:strRef>
              <c:f>'Bureaux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AMS'!$H$127:$K$127</c:f>
              <c:numCache>
                <c:formatCode>_-* #\ ##0_-;\-* #\ ##0_-;_-* "-"??_-;_-@_-</c:formatCode>
                <c:ptCount val="4"/>
                <c:pt idx="0">
                  <c:v>927.30733322811091</c:v>
                </c:pt>
                <c:pt idx="1">
                  <c:v>476.94637062841855</c:v>
                </c:pt>
                <c:pt idx="2">
                  <c:v>199.26749611643027</c:v>
                </c:pt>
                <c:pt idx="3">
                  <c:v>147.489012650055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AA-487B-83F3-AA189AC75505}"/>
            </c:ext>
          </c:extLst>
        </c:ser>
        <c:ser>
          <c:idx val="6"/>
          <c:order val="6"/>
          <c:tx>
            <c:strRef>
              <c:f>'Bureaux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AMS'!$H$128:$K$128</c:f>
              <c:numCache>
                <c:formatCode>_-* #\ ##0_-;\-* #\ ##0_-;_-* "-"??_-;_-@_-</c:formatCode>
                <c:ptCount val="4"/>
                <c:pt idx="0">
                  <c:v>166.44713923497682</c:v>
                </c:pt>
                <c:pt idx="1">
                  <c:v>502.07718466581929</c:v>
                </c:pt>
                <c:pt idx="2">
                  <c:v>699.67193188639942</c:v>
                </c:pt>
                <c:pt idx="3">
                  <c:v>721.31378540655317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AA-487B-83F3-AA189AC75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Parc par</a:t>
            </a:r>
            <a:r>
              <a:rPr lang="fr-FR" baseline="0"/>
              <a:t> énergie de chauffage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'Bureaux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AMS'!$H$45:$K$45</c:f>
              <c:numCache>
                <c:formatCode>0%</c:formatCode>
                <c:ptCount val="4"/>
                <c:pt idx="0">
                  <c:v>0.09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9-41F0-8D8A-B8AC67B0950C}"/>
            </c:ext>
          </c:extLst>
        </c:ser>
        <c:ser>
          <c:idx val="1"/>
          <c:order val="1"/>
          <c:tx>
            <c:strRef>
              <c:f>'Bureaux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AMS'!$H$46:$K$46</c:f>
              <c:numCache>
                <c:formatCode>0%</c:formatCode>
                <c:ptCount val="4"/>
                <c:pt idx="0">
                  <c:v>0.42499999999999999</c:v>
                </c:pt>
                <c:pt idx="1">
                  <c:v>0.36549999999999999</c:v>
                </c:pt>
                <c:pt idx="2">
                  <c:v>0.21249999999999999</c:v>
                </c:pt>
                <c:pt idx="3">
                  <c:v>6.3750000000000001E-2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F9-41F0-8D8A-B8AC67B0950C}"/>
            </c:ext>
          </c:extLst>
        </c:ser>
        <c:ser>
          <c:idx val="2"/>
          <c:order val="2"/>
          <c:tx>
            <c:strRef>
              <c:f>'Bureaux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AMS'!$H$47:$K$47</c:f>
              <c:numCache>
                <c:formatCode>0%</c:formatCode>
                <c:ptCount val="4"/>
                <c:pt idx="0">
                  <c:v>0.08</c:v>
                </c:pt>
                <c:pt idx="1">
                  <c:v>0.16</c:v>
                </c:pt>
                <c:pt idx="2">
                  <c:v>0.24</c:v>
                </c:pt>
                <c:pt idx="3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F9-41F0-8D8A-B8AC67B0950C}"/>
            </c:ext>
          </c:extLst>
        </c:ser>
        <c:ser>
          <c:idx val="3"/>
          <c:order val="3"/>
          <c:tx>
            <c:strRef>
              <c:f>'Bureaux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AMS'!$H$48:$K$48</c:f>
              <c:numCache>
                <c:formatCode>0%</c:formatCode>
                <c:ptCount val="4"/>
                <c:pt idx="0">
                  <c:v>1.2999999999999999E-2</c:v>
                </c:pt>
                <c:pt idx="1">
                  <c:v>8.6666666666666663E-3</c:v>
                </c:pt>
                <c:pt idx="2">
                  <c:v>4.3333333333333331E-3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F9-41F0-8D8A-B8AC67B0950C}"/>
            </c:ext>
          </c:extLst>
        </c:ser>
        <c:ser>
          <c:idx val="4"/>
          <c:order val="4"/>
          <c:tx>
            <c:strRef>
              <c:f>'Bureaux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AMS'!$H$49:$K$49</c:f>
              <c:numCache>
                <c:formatCode>0%</c:formatCode>
                <c:ptCount val="4"/>
                <c:pt idx="0">
                  <c:v>1.2E-2</c:v>
                </c:pt>
                <c:pt idx="1">
                  <c:v>0.02</c:v>
                </c:pt>
                <c:pt idx="2">
                  <c:v>0.03</c:v>
                </c:pt>
                <c:pt idx="3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F9-41F0-8D8A-B8AC67B0950C}"/>
            </c:ext>
          </c:extLst>
        </c:ser>
        <c:ser>
          <c:idx val="5"/>
          <c:order val="5"/>
          <c:tx>
            <c:strRef>
              <c:f>'Bureaux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AMS'!$H$50:$K$50</c:f>
              <c:numCache>
                <c:formatCode>0%</c:formatCode>
                <c:ptCount val="4"/>
                <c:pt idx="0">
                  <c:v>0.30599999999999999</c:v>
                </c:pt>
                <c:pt idx="1">
                  <c:v>0.18583333333333335</c:v>
                </c:pt>
                <c:pt idx="2">
                  <c:v>0.09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F9-41F0-8D8A-B8AC67B0950C}"/>
            </c:ext>
          </c:extLst>
        </c:ser>
        <c:ser>
          <c:idx val="6"/>
          <c:order val="6"/>
          <c:tx>
            <c:strRef>
              <c:f>'Bureaux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AMS'!$H$51:$K$51</c:f>
              <c:numCache>
                <c:formatCode>0%</c:formatCode>
                <c:ptCount val="4"/>
                <c:pt idx="0">
                  <c:v>7.2999999999999995E-2</c:v>
                </c:pt>
                <c:pt idx="1">
                  <c:v>0.26</c:v>
                </c:pt>
                <c:pt idx="2">
                  <c:v>0.42</c:v>
                </c:pt>
                <c:pt idx="3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F9-41F0-8D8A-B8AC67B09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845824"/>
        <c:axId val="1567845408"/>
      </c:areaChart>
      <c:catAx>
        <c:axId val="156784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45408"/>
        <c:crosses val="autoZero"/>
        <c:auto val="1"/>
        <c:lblAlgn val="ctr"/>
        <c:lblOffset val="100"/>
        <c:noMultiLvlLbl val="0"/>
      </c:catAx>
      <c:valAx>
        <c:axId val="15678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45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AMS'!$H$13:$K$13</c:f>
              <c:numCache>
                <c:formatCode>#,##0</c:formatCode>
                <c:ptCount val="4"/>
                <c:pt idx="0">
                  <c:v>1146.8355656667195</c:v>
                </c:pt>
                <c:pt idx="1">
                  <c:v>128.40509171401723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E-45F1-8712-7154D3C16988}"/>
            </c:ext>
          </c:extLst>
        </c:ser>
        <c:ser>
          <c:idx val="1"/>
          <c:order val="1"/>
          <c:tx>
            <c:strRef>
              <c:f>'CaHoREs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AMS'!$H$14:$K$14</c:f>
              <c:numCache>
                <c:formatCode>#,##0</c:formatCode>
                <c:ptCount val="4"/>
                <c:pt idx="0">
                  <c:v>3676.1473473989754</c:v>
                </c:pt>
                <c:pt idx="1">
                  <c:v>2778.5944572746721</c:v>
                </c:pt>
                <c:pt idx="2">
                  <c:v>1515.1348075999622</c:v>
                </c:pt>
                <c:pt idx="3">
                  <c:v>411.03027021758419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E-45F1-8712-7154D3C16988}"/>
            </c:ext>
          </c:extLst>
        </c:ser>
        <c:ser>
          <c:idx val="2"/>
          <c:order val="2"/>
          <c:tx>
            <c:strRef>
              <c:f>'CaHoREs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AMS'!$H$15:$K$15</c:f>
              <c:numCache>
                <c:formatCode>#,##0</c:formatCode>
                <c:ptCount val="4"/>
                <c:pt idx="0">
                  <c:v>623.71893019819117</c:v>
                </c:pt>
                <c:pt idx="1">
                  <c:v>996.83870600940497</c:v>
                </c:pt>
                <c:pt idx="2">
                  <c:v>1214.9865304926207</c:v>
                </c:pt>
                <c:pt idx="3">
                  <c:v>1435.5001434995388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DE-45F1-8712-7154D3C16988}"/>
            </c:ext>
          </c:extLst>
        </c:ser>
        <c:ser>
          <c:idx val="3"/>
          <c:order val="3"/>
          <c:tx>
            <c:strRef>
              <c:f>'CaHoREs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AMS'!$H$16:$K$16</c:f>
              <c:numCache>
                <c:formatCode>#,##0</c:formatCode>
                <c:ptCount val="4"/>
                <c:pt idx="0">
                  <c:v>125.59756428433397</c:v>
                </c:pt>
                <c:pt idx="1">
                  <c:v>70.751000459511829</c:v>
                </c:pt>
                <c:pt idx="2">
                  <c:v>33.461361566722147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DE-45F1-8712-7154D3C16988}"/>
            </c:ext>
          </c:extLst>
        </c:ser>
        <c:ser>
          <c:idx val="4"/>
          <c:order val="4"/>
          <c:tx>
            <c:strRef>
              <c:f>'CaHoREs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AMS'!$H$17:$K$17</c:f>
              <c:numCache>
                <c:formatCode>#,##0</c:formatCode>
                <c:ptCount val="4"/>
                <c:pt idx="0">
                  <c:v>213.99844443112971</c:v>
                </c:pt>
                <c:pt idx="1">
                  <c:v>185.06692817876569</c:v>
                </c:pt>
                <c:pt idx="2">
                  <c:v>155.23306673599151</c:v>
                </c:pt>
                <c:pt idx="3">
                  <c:v>130.00414531479362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DE-45F1-8712-7154D3C16988}"/>
            </c:ext>
          </c:extLst>
        </c:ser>
        <c:ser>
          <c:idx val="5"/>
          <c:order val="5"/>
          <c:tx>
            <c:strRef>
              <c:f>'CaHoREs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AMS'!$H$18:$K$18</c:f>
              <c:numCache>
                <c:formatCode>#,##0</c:formatCode>
                <c:ptCount val="4"/>
                <c:pt idx="0">
                  <c:v>1168.429474955554</c:v>
                </c:pt>
                <c:pt idx="1">
                  <c:v>728.74886222946895</c:v>
                </c:pt>
                <c:pt idx="2">
                  <c:v>592.58673445666943</c:v>
                </c:pt>
                <c:pt idx="3">
                  <c:v>501.80310275799695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DE-45F1-8712-7154D3C16988}"/>
            </c:ext>
          </c:extLst>
        </c:ser>
        <c:ser>
          <c:idx val="6"/>
          <c:order val="6"/>
          <c:tx>
            <c:strRef>
              <c:f>'CaHoREs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AMS'!$H$19:$K$19</c:f>
              <c:numCache>
                <c:formatCode>#,##0</c:formatCode>
                <c:ptCount val="4"/>
                <c:pt idx="0">
                  <c:v>330.97384284191594</c:v>
                </c:pt>
                <c:pt idx="1">
                  <c:v>988.59503250904879</c:v>
                </c:pt>
                <c:pt idx="2">
                  <c:v>1244.5550326813964</c:v>
                </c:pt>
                <c:pt idx="3">
                  <c:v>1316.8081915728944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DE-45F1-8712-7154D3C1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'CaHoREs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'CaHoREs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AMS'!$H$8:$K$8</c:f>
              <c:numCache>
                <c:formatCode>#,##0</c:formatCode>
                <c:ptCount val="4"/>
                <c:pt idx="0">
                  <c:v>0</c:v>
                </c:pt>
                <c:pt idx="1">
                  <c:v>4192.3289288814958</c:v>
                </c:pt>
                <c:pt idx="2">
                  <c:v>2902.374208220388</c:v>
                </c:pt>
                <c:pt idx="3">
                  <c:v>2027.5304070447819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D-4C80-B2C2-70A53929F313}"/>
            </c:ext>
          </c:extLst>
        </c:ser>
        <c:ser>
          <c:idx val="1"/>
          <c:order val="1"/>
          <c:tx>
            <c:strRef>
              <c:f>'CaHoREs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'CaHoREs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AMS'!$H$9:$K$9</c:f>
              <c:numCache>
                <c:formatCode>#,##0</c:formatCode>
                <c:ptCount val="4"/>
                <c:pt idx="0">
                  <c:v>67243.869415029592</c:v>
                </c:pt>
                <c:pt idx="1">
                  <c:v>65307.245975876736</c:v>
                </c:pt>
                <c:pt idx="2">
                  <c:v>67497.987147501204</c:v>
                </c:pt>
                <c:pt idx="3">
                  <c:v>66866.719096003129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D-4C80-B2C2-70A53929F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AMS'!$H$111:$K$111</c:f>
              <c:numCache>
                <c:formatCode>_-* #\ ##0_-;\-* #\ ##0_-;_-* "-"??_-;_-@_-</c:formatCode>
                <c:ptCount val="4"/>
                <c:pt idx="0" formatCode="0">
                  <c:v>810.23932714353725</c:v>
                </c:pt>
                <c:pt idx="1">
                  <c:v>90.431619431611324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F-496A-BA8E-5D2BAFA751EB}"/>
            </c:ext>
          </c:extLst>
        </c:ser>
        <c:ser>
          <c:idx val="1"/>
          <c:order val="1"/>
          <c:tx>
            <c:strRef>
              <c:f>'CaHoREs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AMS'!$H$112:$K$112</c:f>
              <c:numCache>
                <c:formatCode>_-* #\ ##0_-;\-* #\ ##0_-;_-* "-"??_-;_-@_-</c:formatCode>
                <c:ptCount val="4"/>
                <c:pt idx="0" formatCode="0">
                  <c:v>2597.1981009373758</c:v>
                </c:pt>
                <c:pt idx="1">
                  <c:v>1932.409821218137</c:v>
                </c:pt>
                <c:pt idx="2">
                  <c:v>1037.6900428496815</c:v>
                </c:pt>
                <c:pt idx="3">
                  <c:v>277.79457956027727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F-496A-BA8E-5D2BAFA751EB}"/>
            </c:ext>
          </c:extLst>
        </c:ser>
        <c:ser>
          <c:idx val="2"/>
          <c:order val="2"/>
          <c:tx>
            <c:strRef>
              <c:f>'CaHoREs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AMS'!$H$113:$K$113</c:f>
              <c:numCache>
                <c:formatCode>_-* #\ ##0_-;\-* #\ ##0_-;_-* "-"??_-;_-@_-</c:formatCode>
                <c:ptCount val="4"/>
                <c:pt idx="0" formatCode="0">
                  <c:v>440.65742418502197</c:v>
                </c:pt>
                <c:pt idx="1">
                  <c:v>593.86723356220989</c:v>
                </c:pt>
                <c:pt idx="2">
                  <c:v>747.97106576050373</c:v>
                </c:pt>
                <c:pt idx="3">
                  <c:v>889.93522645348969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CF-496A-BA8E-5D2BAFA751EB}"/>
            </c:ext>
          </c:extLst>
        </c:ser>
        <c:ser>
          <c:idx val="3"/>
          <c:order val="3"/>
          <c:tx>
            <c:strRef>
              <c:f>'CaHoREs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AMS'!$H$114:$K$114</c:f>
              <c:numCache>
                <c:formatCode>_-* #\ ##0_-;\-* #\ ##0_-;_-* "-"??_-;_-@_-</c:formatCode>
                <c:ptCount val="4"/>
                <c:pt idx="0" formatCode="0">
                  <c:v>88.734679166881932</c:v>
                </c:pt>
                <c:pt idx="1">
                  <c:v>47.834544973639503</c:v>
                </c:pt>
                <c:pt idx="2">
                  <c:v>22.090650860595819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CF-496A-BA8E-5D2BAFA751EB}"/>
            </c:ext>
          </c:extLst>
        </c:ser>
        <c:ser>
          <c:idx val="4"/>
          <c:order val="4"/>
          <c:tx>
            <c:strRef>
              <c:f>'CaHoREs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AMS'!$H$115:$K$115</c:f>
              <c:numCache>
                <c:formatCode>_-* #\ ##0_-;\-* #\ ##0_-;_-* "-"??_-;_-@_-</c:formatCode>
                <c:ptCount val="4"/>
                <c:pt idx="0" formatCode="0">
                  <c:v>151.18990099059312</c:v>
                </c:pt>
                <c:pt idx="1">
                  <c:v>111.68864091228944</c:v>
                </c:pt>
                <c:pt idx="2">
                  <c:v>93.400445889326292</c:v>
                </c:pt>
                <c:pt idx="3">
                  <c:v>74.6380458580728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CF-496A-BA8E-5D2BAFA751EB}"/>
            </c:ext>
          </c:extLst>
        </c:ser>
        <c:ser>
          <c:idx val="5"/>
          <c:order val="5"/>
          <c:tx>
            <c:strRef>
              <c:f>'CaHoREs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AMS'!$H$116:$K$116</c:f>
              <c:numCache>
                <c:formatCode>_-* #\ ##0_-;\-* #\ ##0_-;_-* "-"??_-;_-@_-</c:formatCode>
                <c:ptCount val="4"/>
                <c:pt idx="0" formatCode="0">
                  <c:v>825.49542405609884</c:v>
                </c:pt>
                <c:pt idx="1">
                  <c:v>522.37709264074681</c:v>
                </c:pt>
                <c:pt idx="2">
                  <c:v>423.40655800892023</c:v>
                </c:pt>
                <c:pt idx="3">
                  <c:v>359.83478537792598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CF-496A-BA8E-5D2BAFA751EB}"/>
            </c:ext>
          </c:extLst>
        </c:ser>
        <c:ser>
          <c:idx val="6"/>
          <c:order val="6"/>
          <c:tx>
            <c:strRef>
              <c:f>'CaHoREs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AMS'!$H$117:$K$117</c:f>
              <c:numCache>
                <c:formatCode>_-* #\ ##0_-;\-* #\ ##0_-;_-* "-"??_-;_-@_-</c:formatCode>
                <c:ptCount val="4"/>
                <c:pt idx="0" formatCode="0">
                  <c:v>233.83301996781358</c:v>
                </c:pt>
                <c:pt idx="1">
                  <c:v>648.51358854492719</c:v>
                </c:pt>
                <c:pt idx="2">
                  <c:v>850.17224633690751</c:v>
                </c:pt>
                <c:pt idx="3">
                  <c:v>913.82909172585596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CF-496A-BA8E-5D2BAFA75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AMS'!$H$122:$K$122</c:f>
              <c:numCache>
                <c:formatCode>_-* #\ ##0_-;\-* #\ ##0_-;_-* "-"??_-;_-@_-</c:formatCode>
                <c:ptCount val="4"/>
                <c:pt idx="0">
                  <c:v>336.59623852318231</c:v>
                </c:pt>
                <c:pt idx="1">
                  <c:v>37.973472282405901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1-43AF-A6A3-6D014858E6E5}"/>
            </c:ext>
          </c:extLst>
        </c:ser>
        <c:ser>
          <c:idx val="1"/>
          <c:order val="1"/>
          <c:tx>
            <c:strRef>
              <c:f>'CaHoREs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AMS'!$H$123:$K$123</c:f>
              <c:numCache>
                <c:formatCode>_-* #\ ##0_-;\-* #\ ##0_-;_-* "-"??_-;_-@_-</c:formatCode>
                <c:ptCount val="4"/>
                <c:pt idx="0">
                  <c:v>1078.9492464615996</c:v>
                </c:pt>
                <c:pt idx="1">
                  <c:v>846.18463605653517</c:v>
                </c:pt>
                <c:pt idx="2">
                  <c:v>477.44476475028068</c:v>
                </c:pt>
                <c:pt idx="3">
                  <c:v>133.23569065730689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D1-43AF-A6A3-6D014858E6E5}"/>
            </c:ext>
          </c:extLst>
        </c:ser>
        <c:ser>
          <c:idx val="2"/>
          <c:order val="2"/>
          <c:tx>
            <c:strRef>
              <c:f>'CaHoREs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AMS'!$H$124:$K$124</c:f>
              <c:numCache>
                <c:formatCode>_-* #\ ##0_-;\-* #\ ##0_-;_-* "-"??_-;_-@_-</c:formatCode>
                <c:ptCount val="4"/>
                <c:pt idx="0">
                  <c:v>183.06150601316915</c:v>
                </c:pt>
                <c:pt idx="1">
                  <c:v>284.50844530759741</c:v>
                </c:pt>
                <c:pt idx="2">
                  <c:v>385.00280770298173</c:v>
                </c:pt>
                <c:pt idx="3">
                  <c:v>488.27280239792998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D1-43AF-A6A3-6D014858E6E5}"/>
            </c:ext>
          </c:extLst>
        </c:ser>
        <c:ser>
          <c:idx val="3"/>
          <c:order val="3"/>
          <c:tx>
            <c:strRef>
              <c:f>'CaHoREs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AMS'!$H$125:$K$125</c:f>
              <c:numCache>
                <c:formatCode>_-* #\ ##0_-;\-* #\ ##0_-;_-* "-"??_-;_-@_-</c:formatCode>
                <c:ptCount val="4"/>
                <c:pt idx="0">
                  <c:v>36.862885117452031</c:v>
                </c:pt>
                <c:pt idx="1">
                  <c:v>22.916455485872319</c:v>
                </c:pt>
                <c:pt idx="2">
                  <c:v>11.37071070612633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D1-43AF-A6A3-6D014858E6E5}"/>
            </c:ext>
          </c:extLst>
        </c:ser>
        <c:ser>
          <c:idx val="4"/>
          <c:order val="4"/>
          <c:tx>
            <c:strRef>
              <c:f>'CaHoREs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AMS'!$H$126:$K$126</c:f>
              <c:numCache>
                <c:formatCode>_-* #\ ##0_-;\-* #\ ##0_-;_-* "-"??_-;_-@_-</c:formatCode>
                <c:ptCount val="4"/>
                <c:pt idx="0">
                  <c:v>62.808543440536596</c:v>
                </c:pt>
                <c:pt idx="1">
                  <c:v>53.507517823249785</c:v>
                </c:pt>
                <c:pt idx="2">
                  <c:v>48.075969184100856</c:v>
                </c:pt>
                <c:pt idx="3">
                  <c:v>40.950989165649197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D1-43AF-A6A3-6D014858E6E5}"/>
            </c:ext>
          </c:extLst>
        </c:ser>
        <c:ser>
          <c:idx val="5"/>
          <c:order val="5"/>
          <c:tx>
            <c:strRef>
              <c:f>'CaHoREs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AMS'!$H$127:$K$127</c:f>
              <c:numCache>
                <c:formatCode>_-* #\ ##0_-;\-* #\ ##0_-;_-* "-"??_-;_-@_-</c:formatCode>
                <c:ptCount val="4"/>
                <c:pt idx="0">
                  <c:v>342.93405089945526</c:v>
                </c:pt>
                <c:pt idx="1">
                  <c:v>199.98521969476769</c:v>
                </c:pt>
                <c:pt idx="2">
                  <c:v>164.75873003784849</c:v>
                </c:pt>
                <c:pt idx="3">
                  <c:v>141.19613774401628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D1-43AF-A6A3-6D014858E6E5}"/>
            </c:ext>
          </c:extLst>
        </c:ser>
        <c:ser>
          <c:idx val="6"/>
          <c:order val="6"/>
          <c:tx>
            <c:strRef>
              <c:f>'CaHoREs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AMS'!$H$128:$K$128</c:f>
              <c:numCache>
                <c:formatCode>_-* #\ ##0_-;\-* #\ ##0_-;_-* "-"??_-;_-@_-</c:formatCode>
                <c:ptCount val="4"/>
                <c:pt idx="0">
                  <c:v>97.140822874102369</c:v>
                </c:pt>
                <c:pt idx="1">
                  <c:v>248.27492305332191</c:v>
                </c:pt>
                <c:pt idx="2">
                  <c:v>330.82458684294335</c:v>
                </c:pt>
                <c:pt idx="3">
                  <c:v>358.57883549056277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D1-43AF-A6A3-6D014858E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'CaHoREs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AMS'!$H$45:$K$45</c:f>
              <c:numCache>
                <c:formatCode>0%</c:formatCode>
                <c:ptCount val="4"/>
                <c:pt idx="0">
                  <c:v>0.08</c:v>
                </c:pt>
                <c:pt idx="1">
                  <c:v>0.01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B-4C55-8E27-FF29A5441F2C}"/>
            </c:ext>
          </c:extLst>
        </c:ser>
        <c:ser>
          <c:idx val="1"/>
          <c:order val="1"/>
          <c:tx>
            <c:strRef>
              <c:f>'CaHoREs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AMS'!$H$46:$K$46</c:f>
              <c:numCache>
                <c:formatCode>0%</c:formatCode>
                <c:ptCount val="4"/>
                <c:pt idx="0">
                  <c:v>0.34499999999999997</c:v>
                </c:pt>
                <c:pt idx="1">
                  <c:v>0.29669999999999996</c:v>
                </c:pt>
                <c:pt idx="2">
                  <c:v>0.17249999999999999</c:v>
                </c:pt>
                <c:pt idx="3">
                  <c:v>5.1749999999999997E-2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FB-4C55-8E27-FF29A5441F2C}"/>
            </c:ext>
          </c:extLst>
        </c:ser>
        <c:ser>
          <c:idx val="2"/>
          <c:order val="2"/>
          <c:tx>
            <c:strRef>
              <c:f>'CaHoREs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AMS'!$H$47:$K$47</c:f>
              <c:numCache>
                <c:formatCode>0%</c:formatCode>
                <c:ptCount val="4"/>
                <c:pt idx="0">
                  <c:v>6.6000000000000003E-2</c:v>
                </c:pt>
                <c:pt idx="1">
                  <c:v>0.11</c:v>
                </c:pt>
                <c:pt idx="2">
                  <c:v>0.15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FB-4C55-8E27-FF29A5441F2C}"/>
            </c:ext>
          </c:extLst>
        </c:ser>
        <c:ser>
          <c:idx val="3"/>
          <c:order val="3"/>
          <c:tx>
            <c:strRef>
              <c:f>'CaHoREs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AMS'!$H$48:$K$48</c:f>
              <c:numCache>
                <c:formatCode>0%</c:formatCode>
                <c:ptCount val="4"/>
                <c:pt idx="0">
                  <c:v>1.4E-2</c:v>
                </c:pt>
                <c:pt idx="1">
                  <c:v>9.3333333333333324E-3</c:v>
                </c:pt>
                <c:pt idx="2">
                  <c:v>4.6666666666666662E-3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FB-4C55-8E27-FF29A5441F2C}"/>
            </c:ext>
          </c:extLst>
        </c:ser>
        <c:ser>
          <c:idx val="4"/>
          <c:order val="4"/>
          <c:tx>
            <c:strRef>
              <c:f>'CaHoREs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AMS'!$H$49:$K$49</c:f>
              <c:numCache>
                <c:formatCode>0%</c:formatCode>
                <c:ptCount val="4"/>
                <c:pt idx="0">
                  <c:v>2.7E-2</c:v>
                </c:pt>
                <c:pt idx="1">
                  <c:v>2.4666666666666667E-2</c:v>
                </c:pt>
                <c:pt idx="2">
                  <c:v>2.2333333333333334E-2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FB-4C55-8E27-FF29A5441F2C}"/>
            </c:ext>
          </c:extLst>
        </c:ser>
        <c:ser>
          <c:idx val="5"/>
          <c:order val="5"/>
          <c:tx>
            <c:strRef>
              <c:f>'CaHoREs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AMS'!$H$50:$K$50</c:f>
              <c:numCache>
                <c:formatCode>0%</c:formatCode>
                <c:ptCount val="4"/>
                <c:pt idx="0">
                  <c:v>0.36199999999999999</c:v>
                </c:pt>
                <c:pt idx="1">
                  <c:v>0.23930000000000012</c:v>
                </c:pt>
                <c:pt idx="2">
                  <c:v>0.21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FB-4C55-8E27-FF29A5441F2C}"/>
            </c:ext>
          </c:extLst>
        </c:ser>
        <c:ser>
          <c:idx val="6"/>
          <c:order val="6"/>
          <c:tx>
            <c:strRef>
              <c:f>'CaHoREs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AMS'!$H$51:$K$51</c:f>
              <c:numCache>
                <c:formatCode>0%</c:formatCode>
                <c:ptCount val="4"/>
                <c:pt idx="0">
                  <c:v>0.107</c:v>
                </c:pt>
                <c:pt idx="1">
                  <c:v>0.31</c:v>
                </c:pt>
                <c:pt idx="2">
                  <c:v>0.44</c:v>
                </c:pt>
                <c:pt idx="3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FB-4C55-8E27-FF29A5441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33088"/>
        <c:axId val="1666230592"/>
      </c:areaChart>
      <c:catAx>
        <c:axId val="166623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6230592"/>
        <c:crosses val="autoZero"/>
        <c:auto val="1"/>
        <c:lblAlgn val="ctr"/>
        <c:lblOffset val="100"/>
        <c:noMultiLvlLbl val="0"/>
      </c:catAx>
      <c:valAx>
        <c:axId val="16662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623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'Commerce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AMS'!$H$13:$K$13</c:f>
              <c:numCache>
                <c:formatCode>#,##0</c:formatCode>
                <c:ptCount val="4"/>
                <c:pt idx="0">
                  <c:v>3430.6717540831437</c:v>
                </c:pt>
                <c:pt idx="1">
                  <c:v>332.27434245887554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A-4612-BBA8-EF3C5C4FAB53}"/>
            </c:ext>
          </c:extLst>
        </c:ser>
        <c:ser>
          <c:idx val="1"/>
          <c:order val="1"/>
          <c:tx>
            <c:strRef>
              <c:f>'Commerce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AMS'!$H$14:$K$14</c:f>
              <c:numCache>
                <c:formatCode>#,##0</c:formatCode>
                <c:ptCount val="4"/>
                <c:pt idx="0">
                  <c:v>7861.9618349850271</c:v>
                </c:pt>
                <c:pt idx="1">
                  <c:v>5881.4585237027622</c:v>
                </c:pt>
                <c:pt idx="2">
                  <c:v>3084.6816412397748</c:v>
                </c:pt>
                <c:pt idx="3">
                  <c:v>812.44436953738011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A-4612-BBA8-EF3C5C4FAB53}"/>
            </c:ext>
          </c:extLst>
        </c:ser>
        <c:ser>
          <c:idx val="2"/>
          <c:order val="2"/>
          <c:tx>
            <c:strRef>
              <c:f>'Commerce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AMS'!$H$15:$K$15</c:f>
              <c:numCache>
                <c:formatCode>#,##0</c:formatCode>
                <c:ptCount val="4"/>
                <c:pt idx="0">
                  <c:v>392.69537442242785</c:v>
                </c:pt>
                <c:pt idx="1">
                  <c:v>1758.8855489183268</c:v>
                </c:pt>
                <c:pt idx="2">
                  <c:v>1584.5979865788358</c:v>
                </c:pt>
                <c:pt idx="3">
                  <c:v>1465.6858519776661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A-4612-BBA8-EF3C5C4FAB53}"/>
            </c:ext>
          </c:extLst>
        </c:ser>
        <c:ser>
          <c:idx val="3"/>
          <c:order val="3"/>
          <c:tx>
            <c:strRef>
              <c:f>'Commerce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AMS'!$H$16:$K$16</c:f>
              <c:numCache>
                <c:formatCode>#,##0</c:formatCode>
                <c:ptCount val="4"/>
                <c:pt idx="0">
                  <c:v>159.09604448839201</c:v>
                </c:pt>
                <c:pt idx="1">
                  <c:v>93.479225666943606</c:v>
                </c:pt>
                <c:pt idx="2">
                  <c:v>43.914850617708019</c:v>
                </c:pt>
                <c:pt idx="3">
                  <c:v>4.1271599311841776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2A-4612-BBA8-EF3C5C4FAB53}"/>
            </c:ext>
          </c:extLst>
        </c:ser>
        <c:ser>
          <c:idx val="4"/>
          <c:order val="4"/>
          <c:tx>
            <c:strRef>
              <c:f>'Commerce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AMS'!$H$17:$K$17</c:f>
              <c:numCache>
                <c:formatCode>#,##0</c:formatCode>
                <c:ptCount val="4"/>
                <c:pt idx="0">
                  <c:v>142.21438786032849</c:v>
                </c:pt>
                <c:pt idx="1">
                  <c:v>212.88388424574569</c:v>
                </c:pt>
                <c:pt idx="2">
                  <c:v>270.95130278416588</c:v>
                </c:pt>
                <c:pt idx="3">
                  <c:v>317.33068192596113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2A-4612-BBA8-EF3C5C4FAB53}"/>
            </c:ext>
          </c:extLst>
        </c:ser>
        <c:ser>
          <c:idx val="5"/>
          <c:order val="5"/>
          <c:tx>
            <c:strRef>
              <c:f>'Commerce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AMS'!$H$18:$K$18</c:f>
              <c:numCache>
                <c:formatCode>#,##0</c:formatCode>
                <c:ptCount val="4"/>
                <c:pt idx="0">
                  <c:v>2654.7491874453258</c:v>
                </c:pt>
                <c:pt idx="1">
                  <c:v>1412.6336887374412</c:v>
                </c:pt>
                <c:pt idx="2">
                  <c:v>1449.3518820745273</c:v>
                </c:pt>
                <c:pt idx="3">
                  <c:v>1263.8273857164431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2A-4612-BBA8-EF3C5C4FAB53}"/>
            </c:ext>
          </c:extLst>
        </c:ser>
        <c:ser>
          <c:idx val="6"/>
          <c:order val="6"/>
          <c:tx>
            <c:strRef>
              <c:f>'Commerce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AMS'!$H$19:$K$19</c:f>
              <c:numCache>
                <c:formatCode>#,##0</c:formatCode>
                <c:ptCount val="4"/>
                <c:pt idx="0">
                  <c:v>822.29267193269948</c:v>
                </c:pt>
                <c:pt idx="1">
                  <c:v>2490.9183388563943</c:v>
                </c:pt>
                <c:pt idx="2">
                  <c:v>3254.128103743938</c:v>
                </c:pt>
                <c:pt idx="3">
                  <c:v>3677.8657124306987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2A-4612-BBA8-EF3C5C4FA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'Commerce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'Commerce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AMS'!$H$8:$K$8</c:f>
              <c:numCache>
                <c:formatCode>#,##0</c:formatCode>
                <c:ptCount val="4"/>
                <c:pt idx="0">
                  <c:v>0</c:v>
                </c:pt>
                <c:pt idx="1">
                  <c:v>12185.884803305064</c:v>
                </c:pt>
                <c:pt idx="2">
                  <c:v>8717.0415355715377</c:v>
                </c:pt>
                <c:pt idx="3">
                  <c:v>8710.5279603109702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6-4316-8923-1C8D00C3F2FF}"/>
            </c:ext>
          </c:extLst>
        </c:ser>
        <c:ser>
          <c:idx val="1"/>
          <c:order val="1"/>
          <c:tx>
            <c:strRef>
              <c:f>'Commerce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'Commerce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AMS'!$H$9:$K$9</c:f>
              <c:numCache>
                <c:formatCode>#,##0</c:formatCode>
                <c:ptCount val="4"/>
                <c:pt idx="0">
                  <c:v>184229.64520786435</c:v>
                </c:pt>
                <c:pt idx="1">
                  <c:v>175681.38967021945</c:v>
                </c:pt>
                <c:pt idx="2">
                  <c:v>179009.85416078556</c:v>
                </c:pt>
                <c:pt idx="3">
                  <c:v>172479.99008131743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6-4316-8923-1C8D00C3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'Commerce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AMS'!$H$111:$K$111</c:f>
              <c:numCache>
                <c:formatCode>_-* #\ ##0_-;\-* #\ ##0_-;_-* "-"??_-;_-@_-</c:formatCode>
                <c:ptCount val="4"/>
                <c:pt idx="0" formatCode="0">
                  <c:v>2825.1581894874689</c:v>
                </c:pt>
                <c:pt idx="1">
                  <c:v>273.94935458443007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B-4B9B-8539-106D984C36C3}"/>
            </c:ext>
          </c:extLst>
        </c:ser>
        <c:ser>
          <c:idx val="1"/>
          <c:order val="1"/>
          <c:tx>
            <c:strRef>
              <c:f>'Commerce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AMS'!$H$112:$K$112</c:f>
              <c:numCache>
                <c:formatCode>_-* #\ ##0_-;\-* #\ ##0_-;_-* "-"??_-;_-@_-</c:formatCode>
                <c:ptCount val="4"/>
                <c:pt idx="0" formatCode="0">
                  <c:v>6474.3255711101701</c:v>
                </c:pt>
                <c:pt idx="1">
                  <c:v>4812.9024202255114</c:v>
                </c:pt>
                <c:pt idx="2">
                  <c:v>2490.2840268909176</c:v>
                </c:pt>
                <c:pt idx="3">
                  <c:v>651.11364401674177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B-4B9B-8539-106D984C36C3}"/>
            </c:ext>
          </c:extLst>
        </c:ser>
        <c:ser>
          <c:idx val="2"/>
          <c:order val="2"/>
          <c:tx>
            <c:strRef>
              <c:f>'Commerce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AMS'!$H$113:$K$113</c:f>
              <c:numCache>
                <c:formatCode>_-* #\ ##0_-;\-* #\ ##0_-;_-* "-"??_-;_-@_-</c:formatCode>
                <c:ptCount val="4"/>
                <c:pt idx="0" formatCode="0">
                  <c:v>323.38464083686932</c:v>
                </c:pt>
                <c:pt idx="1">
                  <c:v>1368.5184752616137</c:v>
                </c:pt>
                <c:pt idx="2">
                  <c:v>1217.9261018090233</c:v>
                </c:pt>
                <c:pt idx="3">
                  <c:v>1109.7183095876317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B-4B9B-8539-106D984C36C3}"/>
            </c:ext>
          </c:extLst>
        </c:ser>
        <c:ser>
          <c:idx val="3"/>
          <c:order val="3"/>
          <c:tx>
            <c:strRef>
              <c:f>'Commerce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AMS'!$H$114:$K$114</c:f>
              <c:numCache>
                <c:formatCode>_-* #\ ##0_-;\-* #\ ##0_-;_-* "-"??_-;_-@_-</c:formatCode>
                <c:ptCount val="4"/>
                <c:pt idx="0" formatCode="0">
                  <c:v>131.01559263619083</c:v>
                </c:pt>
                <c:pt idx="1">
                  <c:v>70.565043210793633</c:v>
                </c:pt>
                <c:pt idx="2">
                  <c:v>31.400017447801645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6B-4B9B-8539-106D984C36C3}"/>
            </c:ext>
          </c:extLst>
        </c:ser>
        <c:ser>
          <c:idx val="4"/>
          <c:order val="4"/>
          <c:tx>
            <c:strRef>
              <c:f>'Commerce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AMS'!$H$115:$K$115</c:f>
              <c:numCache>
                <c:formatCode>_-* #\ ##0_-;\-* #\ ##0_-;_-* "-"??_-;_-@_-</c:formatCode>
                <c:ptCount val="4"/>
                <c:pt idx="0" formatCode="0">
                  <c:v>117.11354840298051</c:v>
                </c:pt>
                <c:pt idx="1">
                  <c:v>153.18796513868287</c:v>
                </c:pt>
                <c:pt idx="2">
                  <c:v>188.45768910186499</c:v>
                </c:pt>
                <c:pt idx="3">
                  <c:v>209.6785053842689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6B-4B9B-8539-106D984C36C3}"/>
            </c:ext>
          </c:extLst>
        </c:ser>
        <c:ser>
          <c:idx val="5"/>
          <c:order val="5"/>
          <c:tx>
            <c:strRef>
              <c:f>'Commerce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AMS'!$H$116:$K$116</c:f>
              <c:numCache>
                <c:formatCode>_-* #\ ##0_-;\-* #\ ##0_-;_-* "-"??_-;_-@_-</c:formatCode>
                <c:ptCount val="4"/>
                <c:pt idx="0" formatCode="0">
                  <c:v>2186.1859558612259</c:v>
                </c:pt>
                <c:pt idx="1">
                  <c:v>1096.1719893981626</c:v>
                </c:pt>
                <c:pt idx="2">
                  <c:v>1207.420906659592</c:v>
                </c:pt>
                <c:pt idx="3">
                  <c:v>1052.3140036876896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6B-4B9B-8539-106D984C36C3}"/>
            </c:ext>
          </c:extLst>
        </c:ser>
        <c:ser>
          <c:idx val="6"/>
          <c:order val="6"/>
          <c:tx>
            <c:strRef>
              <c:f>'Commerce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AMS'!$H$117:$K$117</c:f>
              <c:numCache>
                <c:formatCode>_-* #\ ##0_-;\-* #\ ##0_-;_-* "-"??_-;_-@_-</c:formatCode>
                <c:ptCount val="4"/>
                <c:pt idx="0" formatCode="0">
                  <c:v>677.15801533657805</c:v>
                </c:pt>
                <c:pt idx="1">
                  <c:v>1839.9289300543298</c:v>
                </c:pt>
                <c:pt idx="2">
                  <c:v>2488.94276185542</c:v>
                </c:pt>
                <c:pt idx="3">
                  <c:v>2854.2234855950533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6B-4B9B-8539-106D984C3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'Commerce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AMS'!$H$122:$K$122</c:f>
              <c:numCache>
                <c:formatCode>_-* #\ ##0_-;\-* #\ ##0_-;_-* "-"??_-;_-@_-</c:formatCode>
                <c:ptCount val="4"/>
                <c:pt idx="0">
                  <c:v>605.51356459567489</c:v>
                </c:pt>
                <c:pt idx="1">
                  <c:v>58.324987874445448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0-443C-8C93-DFDB8616FFFC}"/>
            </c:ext>
          </c:extLst>
        </c:ser>
        <c:ser>
          <c:idx val="1"/>
          <c:order val="1"/>
          <c:tx>
            <c:strRef>
              <c:f>'Commerce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AMS'!$H$123:$K$123</c:f>
              <c:numCache>
                <c:formatCode>_-* #\ ##0_-;\-* #\ ##0_-;_-* "-"??_-;_-@_-</c:formatCode>
                <c:ptCount val="4"/>
                <c:pt idx="0">
                  <c:v>1387.6362638748571</c:v>
                </c:pt>
                <c:pt idx="1">
                  <c:v>1068.5561034772504</c:v>
                </c:pt>
                <c:pt idx="2">
                  <c:v>594.39761434885702</c:v>
                </c:pt>
                <c:pt idx="3">
                  <c:v>161.33072552063834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0-443C-8C93-DFDB8616FFFC}"/>
            </c:ext>
          </c:extLst>
        </c:ser>
        <c:ser>
          <c:idx val="2"/>
          <c:order val="2"/>
          <c:tx>
            <c:strRef>
              <c:f>'Commerce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AMS'!$H$124:$K$124</c:f>
              <c:numCache>
                <c:formatCode>_-* #\ ##0_-;\-* #\ ##0_-;_-* "-"??_-;_-@_-</c:formatCode>
                <c:ptCount val="4"/>
                <c:pt idx="0">
                  <c:v>69.310733585558509</c:v>
                </c:pt>
                <c:pt idx="1">
                  <c:v>332.41517120893758</c:v>
                </c:pt>
                <c:pt idx="2">
                  <c:v>325.21661509865697</c:v>
                </c:pt>
                <c:pt idx="3">
                  <c:v>314.54324905618859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E0-443C-8C93-DFDB8616FFFC}"/>
            </c:ext>
          </c:extLst>
        </c:ser>
        <c:ser>
          <c:idx val="3"/>
          <c:order val="3"/>
          <c:tx>
            <c:strRef>
              <c:f>'Commerce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AMS'!$H$125:$K$125</c:f>
              <c:numCache>
                <c:formatCode>_-* #\ ##0_-;\-* #\ ##0_-;_-* "-"??_-;_-@_-</c:formatCode>
                <c:ptCount val="4"/>
                <c:pt idx="0">
                  <c:v>28.080451852201186</c:v>
                </c:pt>
                <c:pt idx="1">
                  <c:v>17.140353852948813</c:v>
                </c:pt>
                <c:pt idx="2">
                  <c:v>8.3845870231739923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E0-443C-8C93-DFDB8616FFFC}"/>
            </c:ext>
          </c:extLst>
        </c:ser>
        <c:ser>
          <c:idx val="4"/>
          <c:order val="4"/>
          <c:tx>
            <c:strRef>
              <c:f>'Commerce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AMS'!$H$126:$K$126</c:f>
              <c:numCache>
                <c:formatCode>_-* #\ ##0_-;\-* #\ ##0_-;_-* "-"??_-;_-@_-</c:formatCode>
                <c:ptCount val="4"/>
                <c:pt idx="0">
                  <c:v>25.100839457347977</c:v>
                </c:pt>
                <c:pt idx="1">
                  <c:v>37.209584363842424</c:v>
                </c:pt>
                <c:pt idx="2">
                  <c:v>50.322898612640202</c:v>
                </c:pt>
                <c:pt idx="3">
                  <c:v>59.432161991921561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E0-443C-8C93-DFDB8616FFFC}"/>
            </c:ext>
          </c:extLst>
        </c:ser>
        <c:ser>
          <c:idx val="5"/>
          <c:order val="5"/>
          <c:tx>
            <c:strRef>
              <c:f>'Commerce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AMS'!$H$127:$K$127</c:f>
              <c:numCache>
                <c:formatCode>_-* #\ ##0_-;\-* #\ ##0_-;_-* "-"??_-;_-@_-</c:formatCode>
                <c:ptCount val="4"/>
                <c:pt idx="0">
                  <c:v>468.56323158409987</c:v>
                </c:pt>
                <c:pt idx="1">
                  <c:v>212.77316260654567</c:v>
                </c:pt>
                <c:pt idx="2">
                  <c:v>243.73743442082383</c:v>
                </c:pt>
                <c:pt idx="3">
                  <c:v>213.31849120664785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E0-443C-8C93-DFDB8616FFFC}"/>
            </c:ext>
          </c:extLst>
        </c:ser>
        <c:ser>
          <c:idx val="6"/>
          <c:order val="6"/>
          <c:tx>
            <c:strRef>
              <c:f>'Commerce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AMS'!$H$128:$K$128</c:f>
              <c:numCache>
                <c:formatCode>_-* #\ ##0_-;\-* #\ ##0_-;_-* "-"??_-;_-@_-</c:formatCode>
                <c:ptCount val="4"/>
                <c:pt idx="0">
                  <c:v>145.13465659612143</c:v>
                </c:pt>
                <c:pt idx="1">
                  <c:v>357.14057757841277</c:v>
                </c:pt>
                <c:pt idx="2">
                  <c:v>502.43334354152574</c:v>
                </c:pt>
                <c:pt idx="3">
                  <c:v>578.59027379665667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E0-443C-8C93-DFDB8616F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'Commerce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AMS'!$H$45:$K$45</c:f>
              <c:numCache>
                <c:formatCode>0%</c:formatCode>
                <c:ptCount val="4"/>
                <c:pt idx="0">
                  <c:v>0.184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D-4FC7-8144-16701B3B2B2A}"/>
            </c:ext>
          </c:extLst>
        </c:ser>
        <c:ser>
          <c:idx val="1"/>
          <c:order val="1"/>
          <c:tx>
            <c:strRef>
              <c:f>'Commerce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AMS'!$H$46:$K$46</c:f>
              <c:numCache>
                <c:formatCode>0%</c:formatCode>
                <c:ptCount val="4"/>
                <c:pt idx="0">
                  <c:v>0.39300000000000002</c:v>
                </c:pt>
                <c:pt idx="1">
                  <c:v>0.33798</c:v>
                </c:pt>
                <c:pt idx="2">
                  <c:v>0.19650000000000001</c:v>
                </c:pt>
                <c:pt idx="3">
                  <c:v>5.8950000000000002E-2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D-4FC7-8144-16701B3B2B2A}"/>
            </c:ext>
          </c:extLst>
        </c:ser>
        <c:ser>
          <c:idx val="2"/>
          <c:order val="2"/>
          <c:tx>
            <c:strRef>
              <c:f>'Commerce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AMS'!$H$47:$K$47</c:f>
              <c:numCache>
                <c:formatCode>0%</c:formatCode>
                <c:ptCount val="4"/>
                <c:pt idx="0">
                  <c:v>4.2000000000000003E-2</c:v>
                </c:pt>
                <c:pt idx="1">
                  <c:v>0.22</c:v>
                </c:pt>
                <c:pt idx="2">
                  <c:v>0.22</c:v>
                </c:pt>
                <c:pt idx="3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D-4FC7-8144-16701B3B2B2A}"/>
            </c:ext>
          </c:extLst>
        </c:ser>
        <c:ser>
          <c:idx val="3"/>
          <c:order val="3"/>
          <c:tx>
            <c:strRef>
              <c:f>'Commerce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AMS'!$H$48:$K$48</c:f>
              <c:numCache>
                <c:formatCode>0%</c:formatCode>
                <c:ptCount val="4"/>
                <c:pt idx="0">
                  <c:v>1.7999999999999999E-2</c:v>
                </c:pt>
                <c:pt idx="1">
                  <c:v>1.2E-2</c:v>
                </c:pt>
                <c:pt idx="2">
                  <c:v>6.0000000000000001E-3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7D-4FC7-8144-16701B3B2B2A}"/>
            </c:ext>
          </c:extLst>
        </c:ser>
        <c:ser>
          <c:idx val="4"/>
          <c:order val="4"/>
          <c:tx>
            <c:strRef>
              <c:f>'Commerce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AMS'!$H$49:$K$49</c:f>
              <c:numCache>
                <c:formatCode>0%</c:formatCode>
                <c:ptCount val="4"/>
                <c:pt idx="0">
                  <c:v>1.4E-2</c:v>
                </c:pt>
                <c:pt idx="1">
                  <c:v>2.2666666666666668E-2</c:v>
                </c:pt>
                <c:pt idx="2">
                  <c:v>3.1333333333333338E-2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7D-4FC7-8144-16701B3B2B2A}"/>
            </c:ext>
          </c:extLst>
        </c:ser>
        <c:ser>
          <c:idx val="5"/>
          <c:order val="5"/>
          <c:tx>
            <c:strRef>
              <c:f>'Commerce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AMS'!$H$50:$K$50</c:f>
              <c:numCache>
                <c:formatCode>0%</c:formatCode>
                <c:ptCount val="4"/>
                <c:pt idx="0">
                  <c:v>0.26200000000000001</c:v>
                </c:pt>
                <c:pt idx="1">
                  <c:v>0.13735333333333338</c:v>
                </c:pt>
                <c:pt idx="2">
                  <c:v>0.17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7D-4FC7-8144-16701B3B2B2A}"/>
            </c:ext>
          </c:extLst>
        </c:ser>
        <c:ser>
          <c:idx val="6"/>
          <c:order val="6"/>
          <c:tx>
            <c:strRef>
              <c:f>'Commerce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AMS'!$H$51:$K$51</c:f>
              <c:numCache>
                <c:formatCode>0%</c:formatCode>
                <c:ptCount val="4"/>
                <c:pt idx="0">
                  <c:v>8.7999999999999995E-2</c:v>
                </c:pt>
                <c:pt idx="1">
                  <c:v>0.25</c:v>
                </c:pt>
                <c:pt idx="2">
                  <c:v>0.38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7D-4FC7-8144-16701B3B2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0096"/>
        <c:axId val="1666915520"/>
      </c:areaChart>
      <c:catAx>
        <c:axId val="166692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6915520"/>
        <c:crosses val="autoZero"/>
        <c:auto val="1"/>
        <c:lblAlgn val="ctr"/>
        <c:lblOffset val="100"/>
        <c:noMultiLvlLbl val="0"/>
      </c:catAx>
      <c:valAx>
        <c:axId val="16669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692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AMS'!$H$13:$K$13</c:f>
              <c:numCache>
                <c:formatCode>#,##0</c:formatCode>
                <c:ptCount val="4"/>
                <c:pt idx="0">
                  <c:v>3584.8950181469531</c:v>
                </c:pt>
                <c:pt idx="1">
                  <c:v>304.58902770750842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C-42E4-B74C-E478FE364A14}"/>
            </c:ext>
          </c:extLst>
        </c:ser>
        <c:ser>
          <c:idx val="1"/>
          <c:order val="1"/>
          <c:tx>
            <c:strRef>
              <c:f>'Enseignement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AMS'!$H$14:$K$14</c:f>
              <c:numCache>
                <c:formatCode>#,##0</c:formatCode>
                <c:ptCount val="4"/>
                <c:pt idx="0">
                  <c:v>8977.673558736793</c:v>
                </c:pt>
                <c:pt idx="1">
                  <c:v>6436.4040096628632</c:v>
                </c:pt>
                <c:pt idx="2">
                  <c:v>3176.5602592176588</c:v>
                </c:pt>
                <c:pt idx="3">
                  <c:v>791.83183879725004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C-42E4-B74C-E478FE364A14}"/>
            </c:ext>
          </c:extLst>
        </c:ser>
        <c:ser>
          <c:idx val="2"/>
          <c:order val="2"/>
          <c:tx>
            <c:strRef>
              <c:f>'Enseignement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AMS'!$H$15:$K$15</c:f>
              <c:numCache>
                <c:formatCode>#,##0</c:formatCode>
                <c:ptCount val="4"/>
                <c:pt idx="0">
                  <c:v>1357.2566620782518</c:v>
                </c:pt>
                <c:pt idx="1">
                  <c:v>2593.4290047416061</c:v>
                </c:pt>
                <c:pt idx="2">
                  <c:v>2525.6569757450052</c:v>
                </c:pt>
                <c:pt idx="3">
                  <c:v>2348.3298945820693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C-42E4-B74C-E478FE364A14}"/>
            </c:ext>
          </c:extLst>
        </c:ser>
        <c:ser>
          <c:idx val="3"/>
          <c:order val="3"/>
          <c:tx>
            <c:strRef>
              <c:f>'Enseignement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AMS'!$H$16:$K$16</c:f>
              <c:numCache>
                <c:formatCode>#,##0</c:formatCode>
                <c:ptCount val="4"/>
                <c:pt idx="0">
                  <c:v>214.36380852936159</c:v>
                </c:pt>
                <c:pt idx="1">
                  <c:v>115.60928157241699</c:v>
                </c:pt>
                <c:pt idx="2">
                  <c:v>50.114206034489293</c:v>
                </c:pt>
                <c:pt idx="3">
                  <c:v>2.4367442835254174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3C-42E4-B74C-E478FE364A14}"/>
            </c:ext>
          </c:extLst>
        </c:ser>
        <c:ser>
          <c:idx val="4"/>
          <c:order val="4"/>
          <c:tx>
            <c:strRef>
              <c:f>'Enseignement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AMS'!$H$17:$K$17</c:f>
              <c:numCache>
                <c:formatCode>#,##0</c:formatCode>
                <c:ptCount val="4"/>
                <c:pt idx="0">
                  <c:v>141.75559832606967</c:v>
                </c:pt>
                <c:pt idx="1">
                  <c:v>241.12067529101006</c:v>
                </c:pt>
                <c:pt idx="2">
                  <c:v>421.81658556291228</c:v>
                </c:pt>
                <c:pt idx="3">
                  <c:v>357.28695600139366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3C-42E4-B74C-E478FE364A14}"/>
            </c:ext>
          </c:extLst>
        </c:ser>
        <c:ser>
          <c:idx val="5"/>
          <c:order val="5"/>
          <c:tx>
            <c:strRef>
              <c:f>'Enseignement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AMS'!$H$18:$K$18</c:f>
              <c:numCache>
                <c:formatCode>#,##0</c:formatCode>
                <c:ptCount val="4"/>
                <c:pt idx="0">
                  <c:v>751.98019755972325</c:v>
                </c:pt>
                <c:pt idx="1">
                  <c:v>560.09077483690589</c:v>
                </c:pt>
                <c:pt idx="2">
                  <c:v>452.83954625435314</c:v>
                </c:pt>
                <c:pt idx="3">
                  <c:v>375.02530830226146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3C-42E4-B74C-E478FE364A14}"/>
            </c:ext>
          </c:extLst>
        </c:ser>
        <c:ser>
          <c:idx val="6"/>
          <c:order val="6"/>
          <c:tx>
            <c:strRef>
              <c:f>'Enseignement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AMS'!$H$19:$K$19</c:f>
              <c:numCache>
                <c:formatCode>#,##0</c:formatCode>
                <c:ptCount val="4"/>
                <c:pt idx="0">
                  <c:v>116.24970775877308</c:v>
                </c:pt>
                <c:pt idx="1">
                  <c:v>1554.6950589011014</c:v>
                </c:pt>
                <c:pt idx="2">
                  <c:v>2584.3526768731217</c:v>
                </c:pt>
                <c:pt idx="3">
                  <c:v>3201.723037858058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C-42E4-B74C-E478FE364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'Enseignement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'Enseignement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AMS'!$H$8:$K$8</c:f>
              <c:numCache>
                <c:formatCode>#,##0</c:formatCode>
                <c:ptCount val="4"/>
                <c:pt idx="0">
                  <c:v>0</c:v>
                </c:pt>
                <c:pt idx="1">
                  <c:v>4962.05556380077</c:v>
                </c:pt>
                <c:pt idx="2">
                  <c:v>3394.7194103913025</c:v>
                </c:pt>
                <c:pt idx="3">
                  <c:v>3357.062697205185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E-4954-9F34-987F0D2BE964}"/>
            </c:ext>
          </c:extLst>
        </c:ser>
        <c:ser>
          <c:idx val="1"/>
          <c:order val="1"/>
          <c:tx>
            <c:strRef>
              <c:f>'Enseignement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'Enseignement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AMS'!$H$9:$K$9</c:f>
              <c:numCache>
                <c:formatCode>#,##0</c:formatCode>
                <c:ptCount val="4"/>
                <c:pt idx="0">
                  <c:v>167106.71056882737</c:v>
                </c:pt>
                <c:pt idx="1">
                  <c:v>163744.17685661104</c:v>
                </c:pt>
                <c:pt idx="2">
                  <c:v>163440.099959646</c:v>
                </c:pt>
                <c:pt idx="3">
                  <c:v>155937.36674288791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E-4954-9F34-987F0D2BE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AMS'!$H$111:$K$111</c:f>
              <c:numCache>
                <c:formatCode>_-* #\ ##0_-;\-* #\ ##0_-;_-* "-"??_-;_-@_-</c:formatCode>
                <c:ptCount val="4"/>
                <c:pt idx="0" formatCode="0">
                  <c:v>3380.5560021125771</c:v>
                </c:pt>
                <c:pt idx="1">
                  <c:v>286.16628598600329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2-456E-B9BB-36A93F3D0D0B}"/>
            </c:ext>
          </c:extLst>
        </c:ser>
        <c:ser>
          <c:idx val="1"/>
          <c:order val="1"/>
          <c:tx>
            <c:strRef>
              <c:f>'Enseignement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AMS'!$H$112:$K$112</c:f>
              <c:numCache>
                <c:formatCode>_-* #\ ##0_-;\-* #\ ##0_-;_-* "-"??_-;_-@_-</c:formatCode>
                <c:ptCount val="4"/>
                <c:pt idx="0" formatCode="0">
                  <c:v>8465.9461658887958</c:v>
                </c:pt>
                <c:pt idx="1">
                  <c:v>6031.4869398973224</c:v>
                </c:pt>
                <c:pt idx="2">
                  <c:v>2955.9186643780827</c:v>
                </c:pt>
                <c:pt idx="3">
                  <c:v>732.53149457342363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2-456E-B9BB-36A93F3D0D0B}"/>
            </c:ext>
          </c:extLst>
        </c:ser>
        <c:ser>
          <c:idx val="2"/>
          <c:order val="2"/>
          <c:tx>
            <c:strRef>
              <c:f>'Enseignement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AMS'!$H$113:$K$113</c:f>
              <c:numCache>
                <c:formatCode>_-* #\ ##0_-;\-* #\ ##0_-;_-* "-"??_-;_-@_-</c:formatCode>
                <c:ptCount val="4"/>
                <c:pt idx="0" formatCode="0">
                  <c:v>1279.8930323397915</c:v>
                </c:pt>
                <c:pt idx="1">
                  <c:v>2359.4926944548711</c:v>
                </c:pt>
                <c:pt idx="2">
                  <c:v>2287.2467135562692</c:v>
                </c:pt>
                <c:pt idx="3">
                  <c:v>2135.851682930313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2-456E-B9BB-36A93F3D0D0B}"/>
            </c:ext>
          </c:extLst>
        </c:ser>
        <c:ser>
          <c:idx val="3"/>
          <c:order val="3"/>
          <c:tx>
            <c:strRef>
              <c:f>'Enseignement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AMS'!$H$114:$K$114</c:f>
              <c:numCache>
                <c:formatCode>_-* #\ ##0_-;\-* #\ ##0_-;_-* "-"??_-;_-@_-</c:formatCode>
                <c:ptCount val="4"/>
                <c:pt idx="0" formatCode="0">
                  <c:v>202.14507144318799</c:v>
                </c:pt>
                <c:pt idx="1">
                  <c:v>104.34368031297925</c:v>
                </c:pt>
                <c:pt idx="2">
                  <c:v>43.977717980595656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C2-456E-B9BB-36A93F3D0D0B}"/>
            </c:ext>
          </c:extLst>
        </c:ser>
        <c:ser>
          <c:idx val="4"/>
          <c:order val="4"/>
          <c:tx>
            <c:strRef>
              <c:f>'Enseignement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AMS'!$H$115:$K$115</c:f>
              <c:numCache>
                <c:formatCode>_-* #\ ##0_-;\-* #\ ##0_-;_-* "-"??_-;_-@_-</c:formatCode>
                <c:ptCount val="4"/>
                <c:pt idx="0" formatCode="0">
                  <c:v>133.67552922148371</c:v>
                </c:pt>
                <c:pt idx="1">
                  <c:v>222.33631027021653</c:v>
                </c:pt>
                <c:pt idx="2">
                  <c:v>387.75747754084159</c:v>
                </c:pt>
                <c:pt idx="3">
                  <c:v>320.31166032864621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C2-456E-B9BB-36A93F3D0D0B}"/>
            </c:ext>
          </c:extLst>
        </c:ser>
        <c:ser>
          <c:idx val="5"/>
          <c:order val="5"/>
          <c:tx>
            <c:strRef>
              <c:f>'Enseignement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AMS'!$H$116:$K$116</c:f>
              <c:numCache>
                <c:formatCode>_-* #\ ##0_-;\-* #\ ##0_-;_-* "-"??_-;_-@_-</c:formatCode>
                <c:ptCount val="4"/>
                <c:pt idx="0" formatCode="0">
                  <c:v>709.11732629881908</c:v>
                </c:pt>
                <c:pt idx="1">
                  <c:v>478.97203811329308</c:v>
                </c:pt>
                <c:pt idx="2">
                  <c:v>426.14776775060608</c:v>
                </c:pt>
                <c:pt idx="3">
                  <c:v>352.02441458828014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C2-456E-B9BB-36A93F3D0D0B}"/>
            </c:ext>
          </c:extLst>
        </c:ser>
        <c:ser>
          <c:idx val="6"/>
          <c:order val="6"/>
          <c:tx>
            <c:strRef>
              <c:f>'Enseignement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AMS'!$H$117:$K$117</c:f>
              <c:numCache>
                <c:formatCode>_-* #\ ##0_-;\-* #\ ##0_-;_-* "-"??_-;_-@_-</c:formatCode>
                <c:ptCount val="4"/>
                <c:pt idx="0" formatCode="0">
                  <c:v>109.62347441652302</c:v>
                </c:pt>
                <c:pt idx="1">
                  <c:v>1391.3063613653021</c:v>
                </c:pt>
                <c:pt idx="2">
                  <c:v>2345.5748772212328</c:v>
                </c:pt>
                <c:pt idx="3">
                  <c:v>2906.3848933851677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C2-456E-B9BB-36A93F3D0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AMS'!$H$122:$K$122</c:f>
              <c:numCache>
                <c:formatCode>_-* #\ ##0_-;\-* #\ ##0_-;_-* "-"??_-;_-@_-</c:formatCode>
                <c:ptCount val="4"/>
                <c:pt idx="0">
                  <c:v>204.33901603437613</c:v>
                </c:pt>
                <c:pt idx="1">
                  <c:v>18.422741721505112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3-4E56-8B06-DC08355C2B92}"/>
            </c:ext>
          </c:extLst>
        </c:ser>
        <c:ser>
          <c:idx val="1"/>
          <c:order val="1"/>
          <c:tx>
            <c:strRef>
              <c:f>'Enseignement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AMS'!$H$123:$K$123</c:f>
              <c:numCache>
                <c:formatCode>_-* #\ ##0_-;\-* #\ ##0_-;_-* "-"??_-;_-@_-</c:formatCode>
                <c:ptCount val="4"/>
                <c:pt idx="0">
                  <c:v>511.72739284799661</c:v>
                </c:pt>
                <c:pt idx="1">
                  <c:v>404.91706976554065</c:v>
                </c:pt>
                <c:pt idx="2">
                  <c:v>220.64159483957599</c:v>
                </c:pt>
                <c:pt idx="3">
                  <c:v>59.300344223826443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C3-4E56-8B06-DC08355C2B92}"/>
            </c:ext>
          </c:extLst>
        </c:ser>
        <c:ser>
          <c:idx val="2"/>
          <c:order val="2"/>
          <c:tx>
            <c:strRef>
              <c:f>'Enseignement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AMS'!$H$124:$K$124</c:f>
              <c:numCache>
                <c:formatCode>_-* #\ ##0_-;\-* #\ ##0_-;_-* "-"??_-;_-@_-</c:formatCode>
                <c:ptCount val="4"/>
                <c:pt idx="0">
                  <c:v>77.363629738460261</c:v>
                </c:pt>
                <c:pt idx="1">
                  <c:v>164.63563186979047</c:v>
                </c:pt>
                <c:pt idx="2">
                  <c:v>190.99919329794545</c:v>
                </c:pt>
                <c:pt idx="3">
                  <c:v>174.97009117011675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C3-4E56-8B06-DC08355C2B92}"/>
            </c:ext>
          </c:extLst>
        </c:ser>
        <c:ser>
          <c:idx val="3"/>
          <c:order val="3"/>
          <c:tx>
            <c:strRef>
              <c:f>'Enseignement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AMS'!$H$125:$K$125</c:f>
              <c:numCache>
                <c:formatCode>_-* #\ ##0_-;\-* #\ ##0_-;_-* "-"??_-;_-@_-</c:formatCode>
                <c:ptCount val="4"/>
                <c:pt idx="0">
                  <c:v>12.218737086173597</c:v>
                </c:pt>
                <c:pt idx="1">
                  <c:v>7.663863186540504</c:v>
                </c:pt>
                <c:pt idx="2">
                  <c:v>3.6724104171159744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C3-4E56-8B06-DC08355C2B92}"/>
            </c:ext>
          </c:extLst>
        </c:ser>
        <c:ser>
          <c:idx val="4"/>
          <c:order val="4"/>
          <c:tx>
            <c:strRef>
              <c:f>'Enseignement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AMS'!$H$126:$K$126</c:f>
              <c:numCache>
                <c:formatCode>_-* #\ ##0_-;\-* #\ ##0_-;_-* "-"??_-;_-@_-</c:formatCode>
                <c:ptCount val="4"/>
                <c:pt idx="0">
                  <c:v>8.0800691045859629</c:v>
                </c:pt>
                <c:pt idx="1">
                  <c:v>16.330218161752974</c:v>
                </c:pt>
                <c:pt idx="2">
                  <c:v>32.380138516143909</c:v>
                </c:pt>
                <c:pt idx="3">
                  <c:v>29.662721032715758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C3-4E56-8B06-DC08355C2B92}"/>
            </c:ext>
          </c:extLst>
        </c:ser>
        <c:ser>
          <c:idx val="5"/>
          <c:order val="5"/>
          <c:tx>
            <c:strRef>
              <c:f>'Enseignement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AMS'!$H$127:$K$127</c:f>
              <c:numCache>
                <c:formatCode>_-* #\ ##0_-;\-* #\ ##0_-;_-* "-"??_-;_-@_-</c:formatCode>
                <c:ptCount val="4"/>
                <c:pt idx="0">
                  <c:v>42.862871260904178</c:v>
                </c:pt>
                <c:pt idx="1">
                  <c:v>33.911359383076686</c:v>
                </c:pt>
                <c:pt idx="2">
                  <c:v>26.902367145645918</c:v>
                </c:pt>
                <c:pt idx="3">
                  <c:v>23.314524387446742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C3-4E56-8B06-DC08355C2B92}"/>
            </c:ext>
          </c:extLst>
        </c:ser>
        <c:ser>
          <c:idx val="6"/>
          <c:order val="6"/>
          <c:tx>
            <c:strRef>
              <c:f>'Enseignement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AMS'!$H$128:$K$128</c:f>
              <c:numCache>
                <c:formatCode>_-* #\ ##0_-;\-* #\ ##0_-;_-* "-"??_-;_-@_-</c:formatCode>
                <c:ptCount val="4"/>
                <c:pt idx="0">
                  <c:v>6.6262333422500586</c:v>
                </c:pt>
                <c:pt idx="1">
                  <c:v>81.660557452955928</c:v>
                </c:pt>
                <c:pt idx="2">
                  <c:v>148.07426270865224</c:v>
                </c:pt>
                <c:pt idx="3">
                  <c:v>203.18329491630939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C3-4E56-8B06-DC08355C2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'Enseignement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AMS'!$H$45:$K$45</c:f>
              <c:numCache>
                <c:formatCode>0%</c:formatCode>
                <c:ptCount val="4"/>
                <c:pt idx="0">
                  <c:v>0.20200000000000001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6-4723-AC49-1BC8DC656717}"/>
            </c:ext>
          </c:extLst>
        </c:ser>
        <c:ser>
          <c:idx val="1"/>
          <c:order val="1"/>
          <c:tx>
            <c:strRef>
              <c:f>'Enseignement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AMS'!$H$46:$K$46</c:f>
              <c:numCache>
                <c:formatCode>0%</c:formatCode>
                <c:ptCount val="4"/>
                <c:pt idx="0">
                  <c:v>0.58799999999999997</c:v>
                </c:pt>
                <c:pt idx="1">
                  <c:v>0.50568000000000002</c:v>
                </c:pt>
                <c:pt idx="2">
                  <c:v>0.29399999999999998</c:v>
                </c:pt>
                <c:pt idx="3">
                  <c:v>8.8199999999999987E-2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6-4723-AC49-1BC8DC656717}"/>
            </c:ext>
          </c:extLst>
        </c:ser>
        <c:ser>
          <c:idx val="2"/>
          <c:order val="2"/>
          <c:tx>
            <c:strRef>
              <c:f>'Enseignement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AMS'!$H$47:$K$47</c:f>
              <c:numCache>
                <c:formatCode>0%</c:formatCode>
                <c:ptCount val="4"/>
                <c:pt idx="0">
                  <c:v>8.4000000000000005E-2</c:v>
                </c:pt>
                <c:pt idx="1">
                  <c:v>0.2</c:v>
                </c:pt>
                <c:pt idx="2">
                  <c:v>0.23</c:v>
                </c:pt>
                <c:pt idx="3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56-4723-AC49-1BC8DC656717}"/>
            </c:ext>
          </c:extLst>
        </c:ser>
        <c:ser>
          <c:idx val="3"/>
          <c:order val="3"/>
          <c:tx>
            <c:strRef>
              <c:f>'Enseignement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AMS'!$H$48:$K$48</c:f>
              <c:numCache>
                <c:formatCode>0%</c:formatCode>
                <c:ptCount val="4"/>
                <c:pt idx="0">
                  <c:v>1.2999999999999999E-2</c:v>
                </c:pt>
                <c:pt idx="1">
                  <c:v>8.6666666666666663E-3</c:v>
                </c:pt>
                <c:pt idx="2">
                  <c:v>4.3333333333333331E-3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56-4723-AC49-1BC8DC656717}"/>
            </c:ext>
          </c:extLst>
        </c:ser>
        <c:ser>
          <c:idx val="4"/>
          <c:order val="4"/>
          <c:tx>
            <c:strRef>
              <c:f>'Enseignement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AMS'!$H$49:$K$49</c:f>
              <c:numCache>
                <c:formatCode>0%</c:formatCode>
                <c:ptCount val="4"/>
                <c:pt idx="0">
                  <c:v>8.9999999999999993E-3</c:v>
                </c:pt>
                <c:pt idx="1">
                  <c:v>1.9333333333333334E-2</c:v>
                </c:pt>
                <c:pt idx="2">
                  <c:v>0.04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56-4723-AC49-1BC8DC656717}"/>
            </c:ext>
          </c:extLst>
        </c:ser>
        <c:ser>
          <c:idx val="5"/>
          <c:order val="5"/>
          <c:tx>
            <c:strRef>
              <c:f>'Enseignement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AMS'!$H$50:$K$50</c:f>
              <c:numCache>
                <c:formatCode>0%</c:formatCode>
                <c:ptCount val="4"/>
                <c:pt idx="0">
                  <c:v>0.09</c:v>
                </c:pt>
                <c:pt idx="1">
                  <c:v>6.6319999999999962E-2</c:v>
                </c:pt>
                <c:pt idx="2">
                  <c:v>7.0000000000000007E-2</c:v>
                </c:pt>
                <c:pt idx="3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56-4723-AC49-1BC8DC656717}"/>
            </c:ext>
          </c:extLst>
        </c:ser>
        <c:ser>
          <c:idx val="6"/>
          <c:order val="6"/>
          <c:tx>
            <c:strRef>
              <c:f>'Enseignement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AMS'!$H$51:$K$51</c:f>
              <c:numCache>
                <c:formatCode>0%</c:formatCode>
                <c:ptCount val="4"/>
                <c:pt idx="0">
                  <c:v>1.2999999999999999E-2</c:v>
                </c:pt>
                <c:pt idx="1">
                  <c:v>0.18</c:v>
                </c:pt>
                <c:pt idx="2">
                  <c:v>0.36</c:v>
                </c:pt>
                <c:pt idx="3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56-4723-AC49-1BC8DC656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820032"/>
        <c:axId val="1567820448"/>
      </c:areaChart>
      <c:catAx>
        <c:axId val="156782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20448"/>
        <c:crosses val="autoZero"/>
        <c:auto val="1"/>
        <c:lblAlgn val="ctr"/>
        <c:lblOffset val="100"/>
        <c:noMultiLvlLbl val="0"/>
      </c:catAx>
      <c:valAx>
        <c:axId val="15678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2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AMS'!$H$13:$K$13</c:f>
              <c:numCache>
                <c:formatCode>#,##0</c:formatCode>
                <c:ptCount val="4"/>
                <c:pt idx="0">
                  <c:v>3808.9479439951956</c:v>
                </c:pt>
                <c:pt idx="1">
                  <c:v>416.93626029091678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D-4DF8-BFFA-1FE0356B5A00}"/>
            </c:ext>
          </c:extLst>
        </c:ser>
        <c:ser>
          <c:idx val="1"/>
          <c:order val="1"/>
          <c:tx>
            <c:strRef>
              <c:f>'Santé social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AMS'!$H$14:$K$14</c:f>
              <c:numCache>
                <c:formatCode>#,##0</c:formatCode>
                <c:ptCount val="4"/>
                <c:pt idx="0">
                  <c:v>10537.022711480739</c:v>
                </c:pt>
                <c:pt idx="1">
                  <c:v>7605.1354821355817</c:v>
                </c:pt>
                <c:pt idx="2">
                  <c:v>4346.3365875493091</c:v>
                </c:pt>
                <c:pt idx="3">
                  <c:v>1283.7986347076951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D-4DF8-BFFA-1FE0356B5A00}"/>
            </c:ext>
          </c:extLst>
        </c:ser>
        <c:ser>
          <c:idx val="2"/>
          <c:order val="2"/>
          <c:tx>
            <c:strRef>
              <c:f>'Santé social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AMS'!$H$15:$K$15</c:f>
              <c:numCache>
                <c:formatCode>#,##0</c:formatCode>
                <c:ptCount val="4"/>
                <c:pt idx="0">
                  <c:v>1744.7346539514624</c:v>
                </c:pt>
                <c:pt idx="1">
                  <c:v>3678.0894966965643</c:v>
                </c:pt>
                <c:pt idx="2">
                  <c:v>4171.7727500605379</c:v>
                </c:pt>
                <c:pt idx="3">
                  <c:v>3934.9043840142881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BD-4DF8-BFFA-1FE0356B5A00}"/>
            </c:ext>
          </c:extLst>
        </c:ser>
        <c:ser>
          <c:idx val="3"/>
          <c:order val="3"/>
          <c:tx>
            <c:strRef>
              <c:f>'Santé social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AMS'!$H$16:$K$16</c:f>
              <c:numCache>
                <c:formatCode>#,##0</c:formatCode>
                <c:ptCount val="4"/>
                <c:pt idx="0">
                  <c:v>268.71711769333643</c:v>
                </c:pt>
                <c:pt idx="1">
                  <c:v>192.98537115732489</c:v>
                </c:pt>
                <c:pt idx="2">
                  <c:v>114.32937585343893</c:v>
                </c:pt>
                <c:pt idx="3">
                  <c:v>28.192705890556326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BD-4DF8-BFFA-1FE0356B5A00}"/>
            </c:ext>
          </c:extLst>
        </c:ser>
        <c:ser>
          <c:idx val="4"/>
          <c:order val="4"/>
          <c:tx>
            <c:strRef>
              <c:f>'Santé social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AMS'!$H$17:$K$17</c:f>
              <c:numCache>
                <c:formatCode>#,##0</c:formatCode>
                <c:ptCount val="4"/>
                <c:pt idx="0">
                  <c:v>289.13034571123416</c:v>
                </c:pt>
                <c:pt idx="1">
                  <c:v>441.17897458728459</c:v>
                </c:pt>
                <c:pt idx="2">
                  <c:v>593.21623620565879</c:v>
                </c:pt>
                <c:pt idx="3">
                  <c:v>755.99002635507577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BD-4DF8-BFFA-1FE0356B5A00}"/>
            </c:ext>
          </c:extLst>
        </c:ser>
        <c:ser>
          <c:idx val="5"/>
          <c:order val="5"/>
          <c:tx>
            <c:strRef>
              <c:f>'Santé social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AMS'!$H$18:$K$18</c:f>
              <c:numCache>
                <c:formatCode>#,##0</c:formatCode>
                <c:ptCount val="4"/>
                <c:pt idx="0">
                  <c:v>2089.6512000000002</c:v>
                </c:pt>
                <c:pt idx="1">
                  <c:v>1857.3953627810513</c:v>
                </c:pt>
                <c:pt idx="2">
                  <c:v>1073.0298647434456</c:v>
                </c:pt>
                <c:pt idx="3">
                  <c:v>1013.5833002588178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BD-4DF8-BFFA-1FE0356B5A00}"/>
            </c:ext>
          </c:extLst>
        </c:ser>
        <c:ser>
          <c:idx val="6"/>
          <c:order val="6"/>
          <c:tx>
            <c:strRef>
              <c:f>'Santé social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AMS'!$H$19:$K$19</c:f>
              <c:numCache>
                <c:formatCode>#,##0</c:formatCode>
                <c:ptCount val="4"/>
                <c:pt idx="0">
                  <c:v>258.00164643359227</c:v>
                </c:pt>
                <c:pt idx="1">
                  <c:v>1460.5906835990165</c:v>
                </c:pt>
                <c:pt idx="2">
                  <c:v>3073.4417789819781</c:v>
                </c:pt>
                <c:pt idx="3">
                  <c:v>4204.3183162352543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BD-4DF8-BFFA-1FE0356B5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'Santé social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'Santé social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AMS'!$H$8:$K$8</c:f>
              <c:numCache>
                <c:formatCode>#,##0</c:formatCode>
                <c:ptCount val="4"/>
                <c:pt idx="0">
                  <c:v>0</c:v>
                </c:pt>
                <c:pt idx="1">
                  <c:v>21439.617925882485</c:v>
                </c:pt>
                <c:pt idx="2">
                  <c:v>18543.245511428384</c:v>
                </c:pt>
                <c:pt idx="3">
                  <c:v>11635.794006183507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D-4B7E-955E-E84D5DB436EC}"/>
            </c:ext>
          </c:extLst>
        </c:ser>
        <c:ser>
          <c:idx val="1"/>
          <c:order val="1"/>
          <c:tx>
            <c:strRef>
              <c:f>'Santé social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'Santé social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AMS'!$H$9:$K$9</c:f>
              <c:numCache>
                <c:formatCode>#,##0</c:formatCode>
                <c:ptCount val="4"/>
                <c:pt idx="0">
                  <c:v>179200</c:v>
                </c:pt>
                <c:pt idx="1">
                  <c:v>174566.14878613554</c:v>
                </c:pt>
                <c:pt idx="2">
                  <c:v>190937.34282807316</c:v>
                </c:pt>
                <c:pt idx="3">
                  <c:v>204063.72517790535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D-4B7E-955E-E84D5DB43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AMS'!$H$111:$K$111</c:f>
              <c:numCache>
                <c:formatCode>_-* #\ ##0_-;\-* #\ ##0_-;_-* "-"??_-;_-@_-</c:formatCode>
                <c:ptCount val="4"/>
                <c:pt idx="0" formatCode="0">
                  <c:v>3671.8258180113685</c:v>
                </c:pt>
                <c:pt idx="1">
                  <c:v>401.22341487941901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0-46AC-8A95-46541E2710B2}"/>
            </c:ext>
          </c:extLst>
        </c:ser>
        <c:ser>
          <c:idx val="1"/>
          <c:order val="1"/>
          <c:tx>
            <c:strRef>
              <c:f>'Santé social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AMS'!$H$112:$K$112</c:f>
              <c:numCache>
                <c:formatCode>_-* #\ ##0_-;\-* #\ ##0_-;_-* "-"??_-;_-@_-</c:formatCode>
                <c:ptCount val="4"/>
                <c:pt idx="0" formatCode="0">
                  <c:v>10157.689893867431</c:v>
                </c:pt>
                <c:pt idx="1">
                  <c:v>7306.7361214949624</c:v>
                </c:pt>
                <c:pt idx="2">
                  <c:v>4168.1572747178816</c:v>
                </c:pt>
                <c:pt idx="3">
                  <c:v>1230.15595496431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0-46AC-8A95-46541E2710B2}"/>
            </c:ext>
          </c:extLst>
        </c:ser>
        <c:ser>
          <c:idx val="2"/>
          <c:order val="2"/>
          <c:tx>
            <c:strRef>
              <c:f>'Santé social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AMS'!$H$113:$K$113</c:f>
              <c:numCache>
                <c:formatCode>_-* #\ ##0_-;\-* #\ ##0_-;_-* "-"??_-;_-@_-</c:formatCode>
                <c:ptCount val="4"/>
                <c:pt idx="0" formatCode="0">
                  <c:v>1681.9242064092098</c:v>
                </c:pt>
                <c:pt idx="1">
                  <c:v>2904.9282321552923</c:v>
                </c:pt>
                <c:pt idx="2">
                  <c:v>3450.315137932444</c:v>
                </c:pt>
                <c:pt idx="3">
                  <c:v>3394.3262643309449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0-46AC-8A95-46541E2710B2}"/>
            </c:ext>
          </c:extLst>
        </c:ser>
        <c:ser>
          <c:idx val="3"/>
          <c:order val="3"/>
          <c:tx>
            <c:strRef>
              <c:f>'Santé social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AMS'!$H$114:$K$114</c:f>
              <c:numCache>
                <c:formatCode>_-* #\ ##0_-;\-* #\ ##0_-;_-* "-"??_-;_-@_-</c:formatCode>
                <c:ptCount val="4"/>
                <c:pt idx="0" formatCode="0">
                  <c:v>259.0433014563763</c:v>
                </c:pt>
                <c:pt idx="1">
                  <c:v>135.00658255462778</c:v>
                </c:pt>
                <c:pt idx="2">
                  <c:v>66.23294552773234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D0-46AC-8A95-46541E2710B2}"/>
            </c:ext>
          </c:extLst>
        </c:ser>
        <c:ser>
          <c:idx val="4"/>
          <c:order val="4"/>
          <c:tx>
            <c:strRef>
              <c:f>'Santé social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AMS'!$H$115:$K$115</c:f>
              <c:numCache>
                <c:formatCode>_-* #\ ##0_-;\-* #\ ##0_-;_-* "-"??_-;_-@_-</c:formatCode>
                <c:ptCount val="4"/>
                <c:pt idx="0" formatCode="0">
                  <c:v>278.7216532656297</c:v>
                </c:pt>
                <c:pt idx="1">
                  <c:v>368.74307631604762</c:v>
                </c:pt>
                <c:pt idx="2">
                  <c:v>493.36867254710518</c:v>
                </c:pt>
                <c:pt idx="3">
                  <c:v>647.1502558568211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D0-46AC-8A95-46541E2710B2}"/>
            </c:ext>
          </c:extLst>
        </c:ser>
        <c:ser>
          <c:idx val="5"/>
          <c:order val="5"/>
          <c:tx>
            <c:strRef>
              <c:f>'Santé social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AMS'!$H$116:$K$116</c:f>
              <c:numCache>
                <c:formatCode>_-* #\ ##0_-;\-* #\ ##0_-;_-* "-"??_-;_-@_-</c:formatCode>
                <c:ptCount val="4"/>
                <c:pt idx="0" formatCode="0">
                  <c:v>2014.4237568000001</c:v>
                </c:pt>
                <c:pt idx="1">
                  <c:v>1707.4524255050546</c:v>
                </c:pt>
                <c:pt idx="2">
                  <c:v>974.14902483069204</c:v>
                </c:pt>
                <c:pt idx="3">
                  <c:v>958.34133641966957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D0-46AC-8A95-46541E2710B2}"/>
            </c:ext>
          </c:extLst>
        </c:ser>
        <c:ser>
          <c:idx val="6"/>
          <c:order val="6"/>
          <c:tx>
            <c:strRef>
              <c:f>'Santé social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AMS'!$H$117:$K$117</c:f>
              <c:numCache>
                <c:formatCode>_-* #\ ##0_-;\-* #\ ##0_-;_-* "-"??_-;_-@_-</c:formatCode>
                <c:ptCount val="4"/>
                <c:pt idx="0" formatCode="0">
                  <c:v>248.71358716198296</c:v>
                </c:pt>
                <c:pt idx="1">
                  <c:v>1078.9726384689116</c:v>
                </c:pt>
                <c:pt idx="2">
                  <c:v>2681.9574929560008</c:v>
                </c:pt>
                <c:pt idx="3">
                  <c:v>3888.2227921454169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D0-46AC-8A95-46541E271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AMS'!$H$122:$K$122</c:f>
              <c:numCache>
                <c:formatCode>_-* #\ ##0_-;\-* #\ ##0_-;_-* "-"??_-;_-@_-</c:formatCode>
                <c:ptCount val="4"/>
                <c:pt idx="0">
                  <c:v>137.12212598382717</c:v>
                </c:pt>
                <c:pt idx="1">
                  <c:v>15.712845411497787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F-407C-9703-0A248E611919}"/>
            </c:ext>
          </c:extLst>
        </c:ser>
        <c:ser>
          <c:idx val="1"/>
          <c:order val="1"/>
          <c:tx>
            <c:strRef>
              <c:f>'Santé social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AMS'!$H$123:$K$123</c:f>
              <c:numCache>
                <c:formatCode>_-* #\ ##0_-;\-* #\ ##0_-;_-* "-"??_-;_-@_-</c:formatCode>
                <c:ptCount val="4"/>
                <c:pt idx="0">
                  <c:v>379.33281761330687</c:v>
                </c:pt>
                <c:pt idx="1">
                  <c:v>298.39936064061942</c:v>
                </c:pt>
                <c:pt idx="2">
                  <c:v>178.17931283142721</c:v>
                </c:pt>
                <c:pt idx="3">
                  <c:v>53.642679743384996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3F-407C-9703-0A248E611919}"/>
            </c:ext>
          </c:extLst>
        </c:ser>
        <c:ser>
          <c:idx val="2"/>
          <c:order val="2"/>
          <c:tx>
            <c:strRef>
              <c:f>'Santé social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AMS'!$H$124:$K$124</c:f>
              <c:numCache>
                <c:formatCode>_-* #\ ##0_-;\-* #\ ##0_-;_-* "-"??_-;_-@_-</c:formatCode>
                <c:ptCount val="4"/>
                <c:pt idx="0">
                  <c:v>62.810447542252703</c:v>
                </c:pt>
                <c:pt idx="1">
                  <c:v>129.79255187289471</c:v>
                </c:pt>
                <c:pt idx="2">
                  <c:v>165.00441251305048</c:v>
                </c:pt>
                <c:pt idx="3">
                  <c:v>191.40651426983081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3F-407C-9703-0A248E611919}"/>
            </c:ext>
          </c:extLst>
        </c:ser>
        <c:ser>
          <c:idx val="3"/>
          <c:order val="3"/>
          <c:tx>
            <c:strRef>
              <c:f>'Santé social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AMS'!$H$125:$K$125</c:f>
              <c:numCache>
                <c:formatCode>_-* #\ ##0_-;\-* #\ ##0_-;_-* "-"??_-;_-@_-</c:formatCode>
                <c:ptCount val="4"/>
                <c:pt idx="0">
                  <c:v>9.6738162369601195</c:v>
                </c:pt>
                <c:pt idx="1">
                  <c:v>6.0321107679836912</c:v>
                </c:pt>
                <c:pt idx="2">
                  <c:v>3.1674579941011549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3F-407C-9703-0A248E611919}"/>
            </c:ext>
          </c:extLst>
        </c:ser>
        <c:ser>
          <c:idx val="4"/>
          <c:order val="4"/>
          <c:tx>
            <c:strRef>
              <c:f>'Santé social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AMS'!$H$126:$K$126</c:f>
              <c:numCache>
                <c:formatCode>_-* #\ ##0_-;\-* #\ ##0_-;_-* "-"??_-;_-@_-</c:formatCode>
                <c:ptCount val="4"/>
                <c:pt idx="0">
                  <c:v>10.408692445604437</c:v>
                </c:pt>
                <c:pt idx="1">
                  <c:v>16.475486151687775</c:v>
                </c:pt>
                <c:pt idx="2">
                  <c:v>23.594368836338045</c:v>
                </c:pt>
                <c:pt idx="3">
                  <c:v>32.282171843339711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3F-407C-9703-0A248E611919}"/>
            </c:ext>
          </c:extLst>
        </c:ser>
        <c:ser>
          <c:idx val="5"/>
          <c:order val="5"/>
          <c:tx>
            <c:strRef>
              <c:f>'Santé social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AMS'!$H$127:$K$127</c:f>
              <c:numCache>
                <c:formatCode>_-* #\ ##0_-;\-* #\ ##0_-;_-* "-"??_-;_-@_-</c:formatCode>
                <c:ptCount val="4"/>
                <c:pt idx="0">
                  <c:v>75.227443200000081</c:v>
                </c:pt>
                <c:pt idx="1">
                  <c:v>55.142207225726004</c:v>
                </c:pt>
                <c:pt idx="2">
                  <c:v>35.218751114535365</c:v>
                </c:pt>
                <c:pt idx="3">
                  <c:v>34.189549277767242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3F-407C-9703-0A248E611919}"/>
            </c:ext>
          </c:extLst>
        </c:ser>
        <c:ser>
          <c:idx val="6"/>
          <c:order val="6"/>
          <c:tx>
            <c:strRef>
              <c:f>'Santé social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AMS'!$H$128:$K$128</c:f>
              <c:numCache>
                <c:formatCode>_-* #\ ##0_-;\-* #\ ##0_-;_-* "-"??_-;_-@_-</c:formatCode>
                <c:ptCount val="4"/>
                <c:pt idx="0">
                  <c:v>9.2880592716093311</c:v>
                </c:pt>
                <c:pt idx="1">
                  <c:v>41.092398964975558</c:v>
                </c:pt>
                <c:pt idx="2">
                  <c:v>96.961749215523781</c:v>
                </c:pt>
                <c:pt idx="3">
                  <c:v>131.28410224931139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3F-407C-9703-0A248E611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'Santé social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AMS'!$H$45:$K$45</c:f>
              <c:numCache>
                <c:formatCode>0%</c:formatCode>
                <c:ptCount val="4"/>
                <c:pt idx="0">
                  <c:v>0.158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B-4E1C-9F4B-841EAA7A05C4}"/>
            </c:ext>
          </c:extLst>
        </c:ser>
        <c:ser>
          <c:idx val="1"/>
          <c:order val="1"/>
          <c:tx>
            <c:strRef>
              <c:f>'Santé social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AMS'!$H$46:$K$46</c:f>
              <c:numCache>
                <c:formatCode>0%</c:formatCode>
                <c:ptCount val="4"/>
                <c:pt idx="0">
                  <c:v>0.52700000000000002</c:v>
                </c:pt>
                <c:pt idx="1">
                  <c:v>0.45322000000000001</c:v>
                </c:pt>
                <c:pt idx="2">
                  <c:v>0.26350000000000001</c:v>
                </c:pt>
                <c:pt idx="3">
                  <c:v>7.9049999999999995E-2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BB-4E1C-9F4B-841EAA7A05C4}"/>
            </c:ext>
          </c:extLst>
        </c:ser>
        <c:ser>
          <c:idx val="2"/>
          <c:order val="2"/>
          <c:tx>
            <c:strRef>
              <c:f>'Santé social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AMS'!$H$47:$K$47</c:f>
              <c:numCache>
                <c:formatCode>0%</c:formatCode>
                <c:ptCount val="4"/>
                <c:pt idx="0">
                  <c:v>8.5999999999999993E-2</c:v>
                </c:pt>
                <c:pt idx="1">
                  <c:v>0.19</c:v>
                </c:pt>
                <c:pt idx="2">
                  <c:v>0.23</c:v>
                </c:pt>
                <c:pt idx="3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BB-4E1C-9F4B-841EAA7A05C4}"/>
            </c:ext>
          </c:extLst>
        </c:ser>
        <c:ser>
          <c:idx val="3"/>
          <c:order val="3"/>
          <c:tx>
            <c:strRef>
              <c:f>'Santé social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AMS'!$H$48:$K$48</c:f>
              <c:numCache>
                <c:formatCode>0%</c:formatCode>
                <c:ptCount val="4"/>
                <c:pt idx="0">
                  <c:v>1.4999999999999999E-2</c:v>
                </c:pt>
                <c:pt idx="1">
                  <c:v>9.9999999999999985E-3</c:v>
                </c:pt>
                <c:pt idx="2">
                  <c:v>4.9999999999999992E-3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BB-4E1C-9F4B-841EAA7A05C4}"/>
            </c:ext>
          </c:extLst>
        </c:ser>
        <c:ser>
          <c:idx val="4"/>
          <c:order val="4"/>
          <c:tx>
            <c:strRef>
              <c:f>'Santé social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AMS'!$H$49:$K$49</c:f>
              <c:numCache>
                <c:formatCode>0%</c:formatCode>
                <c:ptCount val="4"/>
                <c:pt idx="0">
                  <c:v>1.2999999999999999E-2</c:v>
                </c:pt>
                <c:pt idx="1">
                  <c:v>2.1999999999999999E-2</c:v>
                </c:pt>
                <c:pt idx="2">
                  <c:v>0.03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BB-4E1C-9F4B-841EAA7A05C4}"/>
            </c:ext>
          </c:extLst>
        </c:ser>
        <c:ser>
          <c:idx val="5"/>
          <c:order val="5"/>
          <c:tx>
            <c:strRef>
              <c:f>'Santé social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AMS'!$H$50:$K$50</c:f>
              <c:numCache>
                <c:formatCode>0%</c:formatCode>
                <c:ptCount val="4"/>
                <c:pt idx="0">
                  <c:v>0.16900000000000001</c:v>
                </c:pt>
                <c:pt idx="1">
                  <c:v>0.15478</c:v>
                </c:pt>
                <c:pt idx="2">
                  <c:v>0.09</c:v>
                </c:pt>
                <c:pt idx="3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BB-4E1C-9F4B-841EAA7A05C4}"/>
            </c:ext>
          </c:extLst>
        </c:ser>
        <c:ser>
          <c:idx val="6"/>
          <c:order val="6"/>
          <c:tx>
            <c:strRef>
              <c:f>'Santé social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AMS'!$H$51:$K$51</c:f>
              <c:numCache>
                <c:formatCode>0%</c:formatCode>
                <c:ptCount val="4"/>
                <c:pt idx="0">
                  <c:v>3.2000000000000001E-2</c:v>
                </c:pt>
                <c:pt idx="1">
                  <c:v>0.15</c:v>
                </c:pt>
                <c:pt idx="2">
                  <c:v>0.38</c:v>
                </c:pt>
                <c:pt idx="3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BB-4E1C-9F4B-841EAA7A0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817536"/>
        <c:axId val="1567832928"/>
      </c:areaChart>
      <c:catAx>
        <c:axId val="156781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32928"/>
        <c:crosses val="autoZero"/>
        <c:auto val="1"/>
        <c:lblAlgn val="ctr"/>
        <c:lblOffset val="100"/>
        <c:noMultiLvlLbl val="0"/>
      </c:catAx>
      <c:valAx>
        <c:axId val="15678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1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AMS'!$H$13:$K$13</c:f>
              <c:numCache>
                <c:formatCode>#,##0</c:formatCode>
                <c:ptCount val="4"/>
                <c:pt idx="0">
                  <c:v>775.0285636451614</c:v>
                </c:pt>
                <c:pt idx="1">
                  <c:v>122.89630535301498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1-41A4-92FD-599983F559A5}"/>
            </c:ext>
          </c:extLst>
        </c:ser>
        <c:ser>
          <c:idx val="1"/>
          <c:order val="1"/>
          <c:tx>
            <c:strRef>
              <c:f>'Sport Loisir Culture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AMS'!$H$14:$K$14</c:f>
              <c:numCache>
                <c:formatCode>#,##0</c:formatCode>
                <c:ptCount val="4"/>
                <c:pt idx="0">
                  <c:v>4659.8384813407283</c:v>
                </c:pt>
                <c:pt idx="1">
                  <c:v>3556.130826487105</c:v>
                </c:pt>
                <c:pt idx="2">
                  <c:v>2156.5164806636176</c:v>
                </c:pt>
                <c:pt idx="3">
                  <c:v>678.79529092603184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1-41A4-92FD-599983F559A5}"/>
            </c:ext>
          </c:extLst>
        </c:ser>
        <c:ser>
          <c:idx val="2"/>
          <c:order val="2"/>
          <c:tx>
            <c:strRef>
              <c:f>'Sport Loisir Culture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AMS'!$H$15:$K$15</c:f>
              <c:numCache>
                <c:formatCode>#,##0</c:formatCode>
                <c:ptCount val="4"/>
                <c:pt idx="0">
                  <c:v>196.33019618287977</c:v>
                </c:pt>
                <c:pt idx="1">
                  <c:v>437.25903827037064</c:v>
                </c:pt>
                <c:pt idx="2">
                  <c:v>529.76205832566745</c:v>
                </c:pt>
                <c:pt idx="3">
                  <c:v>566.30143855653284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1-41A4-92FD-599983F559A5}"/>
            </c:ext>
          </c:extLst>
        </c:ser>
        <c:ser>
          <c:idx val="3"/>
          <c:order val="3"/>
          <c:tx>
            <c:strRef>
              <c:f>'Sport Loisir Culture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AMS'!$H$16:$K$16</c:f>
              <c:numCache>
                <c:formatCode>#,##0</c:formatCode>
                <c:ptCount val="4"/>
                <c:pt idx="0">
                  <c:v>23.048589382883492</c:v>
                </c:pt>
                <c:pt idx="1">
                  <c:v>13.82278077301067</c:v>
                </c:pt>
                <c:pt idx="2">
                  <c:v>6.7251997556954572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81-41A4-92FD-599983F559A5}"/>
            </c:ext>
          </c:extLst>
        </c:ser>
        <c:ser>
          <c:idx val="4"/>
          <c:order val="4"/>
          <c:tx>
            <c:strRef>
              <c:f>'Sport Loisir Culture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AMS'!$H$17:$K$17</c:f>
              <c:numCache>
                <c:formatCode>#,##0</c:formatCode>
                <c:ptCount val="4"/>
                <c:pt idx="0">
                  <c:v>21.255363322958679</c:v>
                </c:pt>
                <c:pt idx="1">
                  <c:v>55.525585767281477</c:v>
                </c:pt>
                <c:pt idx="2">
                  <c:v>89.574784531557881</c:v>
                </c:pt>
                <c:pt idx="3">
                  <c:v>127.26497361286037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81-41A4-92FD-599983F559A5}"/>
            </c:ext>
          </c:extLst>
        </c:ser>
        <c:ser>
          <c:idx val="5"/>
          <c:order val="5"/>
          <c:tx>
            <c:strRef>
              <c:f>'Sport Loisir Culture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AMS'!$H$18:$K$18</c:f>
              <c:numCache>
                <c:formatCode>#,##0</c:formatCode>
                <c:ptCount val="4"/>
                <c:pt idx="0">
                  <c:v>922.21764323082664</c:v>
                </c:pt>
                <c:pt idx="1">
                  <c:v>692.79855658638348</c:v>
                </c:pt>
                <c:pt idx="2">
                  <c:v>442.10099097200884</c:v>
                </c:pt>
                <c:pt idx="3">
                  <c:v>441.88877858819524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81-41A4-92FD-599983F559A5}"/>
            </c:ext>
          </c:extLst>
        </c:ser>
        <c:ser>
          <c:idx val="6"/>
          <c:order val="6"/>
          <c:tx>
            <c:strRef>
              <c:f>'Sport Loisir Culture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AMS'!$H$19:$K$19</c:f>
              <c:numCache>
                <c:formatCode>#,##0</c:formatCode>
                <c:ptCount val="4"/>
                <c:pt idx="0">
                  <c:v>164.33662746238309</c:v>
                </c:pt>
                <c:pt idx="1">
                  <c:v>507.69178222035265</c:v>
                </c:pt>
                <c:pt idx="2">
                  <c:v>1041.2207025480595</c:v>
                </c:pt>
                <c:pt idx="3">
                  <c:v>1495.2242083022338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81-41A4-92FD-599983F55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'Sport Loisir Culture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'Sport Loisir Culture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AMS'!$H$8:$K$8</c:f>
              <c:numCache>
                <c:formatCode>#,##0</c:formatCode>
                <c:ptCount val="4"/>
                <c:pt idx="0">
                  <c:v>0</c:v>
                </c:pt>
                <c:pt idx="1">
                  <c:v>3032.6506608058498</c:v>
                </c:pt>
                <c:pt idx="2">
                  <c:v>1932.1865496032522</c:v>
                </c:pt>
                <c:pt idx="3">
                  <c:v>1190.4419462520159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B-480C-A5E0-BCBCACCA77B6}"/>
            </c:ext>
          </c:extLst>
        </c:ser>
        <c:ser>
          <c:idx val="1"/>
          <c:order val="1"/>
          <c:tx>
            <c:strRef>
              <c:f>'Sport Loisir Culture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'Sport Loisir Culture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AMS'!$H$9:$K$9</c:f>
              <c:numCache>
                <c:formatCode>#,##0</c:formatCode>
                <c:ptCount val="4"/>
                <c:pt idx="0">
                  <c:v>56508.434021496723</c:v>
                </c:pt>
                <c:pt idx="1">
                  <c:v>55371.36709117992</c:v>
                </c:pt>
                <c:pt idx="2">
                  <c:v>57228.807744252132</c:v>
                </c:pt>
                <c:pt idx="3">
                  <c:v>56704.890169085382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7B-480C-A5E0-BCBCACCA7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AMS'!$H$111:$K$111</c:f>
              <c:numCache>
                <c:formatCode>_-* #\ ##0_-;\-* #\ ##0_-;_-* "-"??_-;_-@_-</c:formatCode>
                <c:ptCount val="4"/>
                <c:pt idx="0" formatCode="0">
                  <c:v>694.68329002347662</c:v>
                </c:pt>
                <c:pt idx="1">
                  <c:v>110.17250550029576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2-482A-BBA4-D39929B1949C}"/>
            </c:ext>
          </c:extLst>
        </c:ser>
        <c:ser>
          <c:idx val="1"/>
          <c:order val="1"/>
          <c:tx>
            <c:strRef>
              <c:f>'Sport Loisir Culture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AMS'!$H$112:$K$112</c:f>
              <c:numCache>
                <c:formatCode>_-* #\ ##0_-;\-* #\ ##0_-;_-* "-"??_-;_-@_-</c:formatCode>
                <c:ptCount val="4"/>
                <c:pt idx="0" formatCode="0">
                  <c:v>4176.764675576338</c:v>
                </c:pt>
                <c:pt idx="1">
                  <c:v>3173.8866225527122</c:v>
                </c:pt>
                <c:pt idx="2">
                  <c:v>1940.8419266146107</c:v>
                </c:pt>
                <c:pt idx="3">
                  <c:v>618.59716467850376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2-482A-BBA4-D39929B1949C}"/>
            </c:ext>
          </c:extLst>
        </c:ser>
        <c:ser>
          <c:idx val="2"/>
          <c:order val="2"/>
          <c:tx>
            <c:strRef>
              <c:f>'Sport Loisir Culture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AMS'!$H$113:$K$113</c:f>
              <c:numCache>
                <c:formatCode>_-* #\ ##0_-;\-* #\ ##0_-;_-* "-"??_-;_-@_-</c:formatCode>
                <c:ptCount val="4"/>
                <c:pt idx="0" formatCode="0">
                  <c:v>175.97713557009109</c:v>
                </c:pt>
                <c:pt idx="1">
                  <c:v>348.79018148444726</c:v>
                </c:pt>
                <c:pt idx="2">
                  <c:v>448.37524822020805</c:v>
                </c:pt>
                <c:pt idx="3">
                  <c:v>476.36312443854956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2-482A-BBA4-D39929B1949C}"/>
            </c:ext>
          </c:extLst>
        </c:ser>
        <c:ser>
          <c:idx val="3"/>
          <c:order val="3"/>
          <c:tx>
            <c:strRef>
              <c:f>'Sport Loisir Culture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AMS'!$H$114:$K$114</c:f>
              <c:numCache>
                <c:formatCode>_-* #\ ##0_-;\-* #\ ##0_-;_-* "-"??_-;_-@_-</c:formatCode>
                <c:ptCount val="4"/>
                <c:pt idx="0" formatCode="0">
                  <c:v>20.659199743033415</c:v>
                </c:pt>
                <c:pt idx="1">
                  <c:v>11.3741512882603</c:v>
                </c:pt>
                <c:pt idx="2">
                  <c:v>5.9815840323420471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2-482A-BBA4-D39929B1949C}"/>
            </c:ext>
          </c:extLst>
        </c:ser>
        <c:ser>
          <c:idx val="4"/>
          <c:order val="4"/>
          <c:tx>
            <c:strRef>
              <c:f>'Sport Loisir Culture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AMS'!$H$115:$K$115</c:f>
              <c:numCache>
                <c:formatCode>_-* #\ ##0_-;\-* #\ ##0_-;_-* "-"??_-;_-@_-</c:formatCode>
                <c:ptCount val="4"/>
                <c:pt idx="0" formatCode="0">
                  <c:v>19.051872945675861</c:v>
                </c:pt>
                <c:pt idx="1">
                  <c:v>43.268031318001881</c:v>
                </c:pt>
                <c:pt idx="2">
                  <c:v>74.468766245055491</c:v>
                </c:pt>
                <c:pt idx="3">
                  <c:v>109.88493796456915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C2-482A-BBA4-D39929B1949C}"/>
            </c:ext>
          </c:extLst>
        </c:ser>
        <c:ser>
          <c:idx val="5"/>
          <c:order val="5"/>
          <c:tx>
            <c:strRef>
              <c:f>'Sport Loisir Culture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AMS'!$H$116:$K$116</c:f>
              <c:numCache>
                <c:formatCode>_-* #\ ##0_-;\-* #\ ##0_-;_-* "-"??_-;_-@_-</c:formatCode>
                <c:ptCount val="4"/>
                <c:pt idx="0" formatCode="0">
                  <c:v>826.61364570119486</c:v>
                </c:pt>
                <c:pt idx="1">
                  <c:v>615.97324398561409</c:v>
                </c:pt>
                <c:pt idx="2">
                  <c:v>400.0031461736566</c:v>
                </c:pt>
                <c:pt idx="3">
                  <c:v>424.9716041482975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C2-482A-BBA4-D39929B1949C}"/>
            </c:ext>
          </c:extLst>
        </c:ser>
        <c:ser>
          <c:idx val="6"/>
          <c:order val="6"/>
          <c:tx>
            <c:strRef>
              <c:f>'Sport Loisir Culture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AMS'!$H$117:$K$117</c:f>
              <c:numCache>
                <c:formatCode>_-* #\ ##0_-;\-* #\ ##0_-;_-* "-"??_-;_-@_-</c:formatCode>
                <c:ptCount val="4"/>
                <c:pt idx="0" formatCode="0">
                  <c:v>147.3002601349265</c:v>
                </c:pt>
                <c:pt idx="1">
                  <c:v>382.52958479015825</c:v>
                </c:pt>
                <c:pt idx="2">
                  <c:v>899.34620780277203</c:v>
                </c:pt>
                <c:pt idx="3">
                  <c:v>1357.7930330781978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C2-482A-BBA4-D39929B19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AMS'!$H$122:$K$122</c:f>
              <c:numCache>
                <c:formatCode>_-* #\ ##0_-;\-* #\ ##0_-;_-* "-"??_-;_-@_-</c:formatCode>
                <c:ptCount val="4"/>
                <c:pt idx="0">
                  <c:v>80.345273621684782</c:v>
                </c:pt>
                <c:pt idx="1">
                  <c:v>12.723799852719219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F-4B87-B8EA-F074C9EDC591}"/>
            </c:ext>
          </c:extLst>
        </c:ser>
        <c:ser>
          <c:idx val="1"/>
          <c:order val="1"/>
          <c:tx>
            <c:strRef>
              <c:f>'Sport Loisir Culture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AMS'!$H$123:$K$123</c:f>
              <c:numCache>
                <c:formatCode>_-* #\ ##0_-;\-* #\ ##0_-;_-* "-"??_-;_-@_-</c:formatCode>
                <c:ptCount val="4"/>
                <c:pt idx="0">
                  <c:v>483.07380576439004</c:v>
                </c:pt>
                <c:pt idx="1">
                  <c:v>382.24420393439271</c:v>
                </c:pt>
                <c:pt idx="2">
                  <c:v>215.67455404900701</c:v>
                </c:pt>
                <c:pt idx="3">
                  <c:v>60.198126247528123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EF-4B87-B8EA-F074C9EDC591}"/>
            </c:ext>
          </c:extLst>
        </c:ser>
        <c:ser>
          <c:idx val="2"/>
          <c:order val="2"/>
          <c:tx>
            <c:strRef>
              <c:f>'Sport Loisir Culture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AMS'!$H$124:$K$124</c:f>
              <c:numCache>
                <c:formatCode>_-* #\ ##0_-;\-* #\ ##0_-;_-* "-"??_-;_-@_-</c:formatCode>
                <c:ptCount val="4"/>
                <c:pt idx="0">
                  <c:v>20.353060612788692</c:v>
                </c:pt>
                <c:pt idx="1">
                  <c:v>56.169922619683398</c:v>
                </c:pt>
                <c:pt idx="2">
                  <c:v>60.808255849577357</c:v>
                </c:pt>
                <c:pt idx="3">
                  <c:v>74.723898604457361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EF-4B87-B8EA-F074C9EDC591}"/>
            </c:ext>
          </c:extLst>
        </c:ser>
        <c:ser>
          <c:idx val="3"/>
          <c:order val="3"/>
          <c:tx>
            <c:strRef>
              <c:f>'Sport Loisir Culture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AMS'!$H$125:$K$125</c:f>
              <c:numCache>
                <c:formatCode>_-* #\ ##0_-;\-* #\ ##0_-;_-* "-"??_-;_-@_-</c:formatCode>
                <c:ptCount val="4"/>
                <c:pt idx="0">
                  <c:v>2.3893896398500747</c:v>
                </c:pt>
                <c:pt idx="1">
                  <c:v>1.4986782324557582</c:v>
                </c:pt>
                <c:pt idx="2">
                  <c:v>0.74361572335341042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EF-4B87-B8EA-F074C9EDC591}"/>
            </c:ext>
          </c:extLst>
        </c:ser>
        <c:ser>
          <c:idx val="4"/>
          <c:order val="4"/>
          <c:tx>
            <c:strRef>
              <c:f>'Sport Loisir Culture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AMS'!$H$126:$K$126</c:f>
              <c:numCache>
                <c:formatCode>_-* #\ ##0_-;\-* #\ ##0_-;_-* "-"??_-;_-@_-</c:formatCode>
                <c:ptCount val="4"/>
                <c:pt idx="0">
                  <c:v>2.2034903772828187</c:v>
                </c:pt>
                <c:pt idx="1">
                  <c:v>5.7010721111501574</c:v>
                </c:pt>
                <c:pt idx="2">
                  <c:v>9.2577727202589877</c:v>
                </c:pt>
                <c:pt idx="3">
                  <c:v>12.23264976831271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EF-4B87-B8EA-F074C9EDC591}"/>
            </c:ext>
          </c:extLst>
        </c:ser>
        <c:ser>
          <c:idx val="5"/>
          <c:order val="5"/>
          <c:tx>
            <c:strRef>
              <c:f>'Sport Loisir Culture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AMS'!$H$127:$K$127</c:f>
              <c:numCache>
                <c:formatCode>_-* #\ ##0_-;\-* #\ ##0_-;_-* "-"??_-;_-@_-</c:formatCode>
                <c:ptCount val="4"/>
                <c:pt idx="0">
                  <c:v>95.603997529631741</c:v>
                </c:pt>
                <c:pt idx="1">
                  <c:v>46.717583368426567</c:v>
                </c:pt>
                <c:pt idx="2">
                  <c:v>31.327538600162981</c:v>
                </c:pt>
                <c:pt idx="3">
                  <c:v>16.917174439897757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EF-4B87-B8EA-F074C9EDC591}"/>
            </c:ext>
          </c:extLst>
        </c:ser>
        <c:ser>
          <c:idx val="6"/>
          <c:order val="6"/>
          <c:tx>
            <c:strRef>
              <c:f>'Sport Loisir Culture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AMS'!$H$128:$K$128</c:f>
              <c:numCache>
                <c:formatCode>_-* #\ ##0_-;\-* #\ ##0_-;_-* "-"??_-;_-@_-</c:formatCode>
                <c:ptCount val="4"/>
                <c:pt idx="0">
                  <c:v>17.036367327456603</c:v>
                </c:pt>
                <c:pt idx="1">
                  <c:v>42.646754748323659</c:v>
                </c:pt>
                <c:pt idx="2">
                  <c:v>84.522244315408429</c:v>
                </c:pt>
                <c:pt idx="3">
                  <c:v>102.09580626719408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EF-4B87-B8EA-F074C9EDC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'Sport Loisir Culture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AMS'!$H$45:$K$45</c:f>
              <c:numCache>
                <c:formatCode>0%</c:formatCode>
                <c:ptCount val="4"/>
                <c:pt idx="0">
                  <c:v>0.115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B-4511-8E48-8CE707F6F25F}"/>
            </c:ext>
          </c:extLst>
        </c:ser>
        <c:ser>
          <c:idx val="1"/>
          <c:order val="1"/>
          <c:tx>
            <c:strRef>
              <c:f>'Sport Loisir Culture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AMS'!$H$46:$K$46</c:f>
              <c:numCache>
                <c:formatCode>0%</c:formatCode>
                <c:ptCount val="4"/>
                <c:pt idx="0">
                  <c:v>0.47399999999999998</c:v>
                </c:pt>
                <c:pt idx="1">
                  <c:v>0.40763999999999995</c:v>
                </c:pt>
                <c:pt idx="2">
                  <c:v>0.23699999999999999</c:v>
                </c:pt>
                <c:pt idx="3">
                  <c:v>7.1099999999999997E-2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B-4511-8E48-8CE707F6F25F}"/>
            </c:ext>
          </c:extLst>
        </c:ser>
        <c:ser>
          <c:idx val="2"/>
          <c:order val="2"/>
          <c:tx>
            <c:strRef>
              <c:f>'Sport Loisir Culture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AMS'!$H$47:$K$47</c:f>
              <c:numCache>
                <c:formatCode>0%</c:formatCode>
                <c:ptCount val="4"/>
                <c:pt idx="0">
                  <c:v>7.4999999999999997E-2</c:v>
                </c:pt>
                <c:pt idx="1">
                  <c:v>0.18</c:v>
                </c:pt>
                <c:pt idx="2">
                  <c:v>0.22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9B-4511-8E48-8CE707F6F25F}"/>
            </c:ext>
          </c:extLst>
        </c:ser>
        <c:ser>
          <c:idx val="3"/>
          <c:order val="3"/>
          <c:tx>
            <c:strRef>
              <c:f>'Sport Loisir Culture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AMS'!$H$48:$K$48</c:f>
              <c:numCache>
                <c:formatCode>0%</c:formatCode>
                <c:ptCount val="4"/>
                <c:pt idx="0">
                  <c:v>8.9999999999999993E-3</c:v>
                </c:pt>
                <c:pt idx="1">
                  <c:v>6.0000000000000001E-3</c:v>
                </c:pt>
                <c:pt idx="2">
                  <c:v>3.0000000000000001E-3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9B-4511-8E48-8CE707F6F25F}"/>
            </c:ext>
          </c:extLst>
        </c:ser>
        <c:ser>
          <c:idx val="4"/>
          <c:order val="4"/>
          <c:tx>
            <c:strRef>
              <c:f>'Sport Loisir Culture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AMS'!$H$49:$K$49</c:f>
              <c:numCache>
                <c:formatCode>0%</c:formatCode>
                <c:ptCount val="4"/>
                <c:pt idx="0">
                  <c:v>8.0000000000000002E-3</c:v>
                </c:pt>
                <c:pt idx="1">
                  <c:v>2.1999999999999999E-2</c:v>
                </c:pt>
                <c:pt idx="2">
                  <c:v>3.6000000000000004E-2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9B-4511-8E48-8CE707F6F25F}"/>
            </c:ext>
          </c:extLst>
        </c:ser>
        <c:ser>
          <c:idx val="5"/>
          <c:order val="5"/>
          <c:tx>
            <c:strRef>
              <c:f>'Sport Loisir Culture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AMS'!$H$50:$K$50</c:f>
              <c:numCache>
                <c:formatCode>0%</c:formatCode>
                <c:ptCount val="4"/>
                <c:pt idx="0">
                  <c:v>0.255</c:v>
                </c:pt>
                <c:pt idx="1">
                  <c:v>0.19435999999999995</c:v>
                </c:pt>
                <c:pt idx="2">
                  <c:v>0.12</c:v>
                </c:pt>
                <c:pt idx="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9B-4511-8E48-8CE707F6F25F}"/>
            </c:ext>
          </c:extLst>
        </c:ser>
        <c:ser>
          <c:idx val="6"/>
          <c:order val="6"/>
          <c:tx>
            <c:strRef>
              <c:f>'Sport Loisir Culture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AMS'!$H$51:$K$51</c:f>
              <c:numCache>
                <c:formatCode>0%</c:formatCode>
                <c:ptCount val="4"/>
                <c:pt idx="0">
                  <c:v>6.4000000000000001E-2</c:v>
                </c:pt>
                <c:pt idx="1">
                  <c:v>0.17</c:v>
                </c:pt>
                <c:pt idx="2">
                  <c:v>0.38</c:v>
                </c:pt>
                <c:pt idx="3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9B-4511-8E48-8CE707F6F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096608"/>
        <c:axId val="1855111168"/>
      </c:areaChart>
      <c:catAx>
        <c:axId val="185509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5111168"/>
        <c:crosses val="autoZero"/>
        <c:auto val="1"/>
        <c:lblAlgn val="ctr"/>
        <c:lblOffset val="100"/>
        <c:noMultiLvlLbl val="0"/>
      </c:catAx>
      <c:valAx>
        <c:axId val="18551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509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AMS'!$H$13:$K$13</c:f>
              <c:numCache>
                <c:formatCode>#,##0</c:formatCode>
                <c:ptCount val="4"/>
                <c:pt idx="0">
                  <c:v>1184.8678605253267</c:v>
                </c:pt>
                <c:pt idx="1">
                  <c:v>105.99629801259429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2-4B36-A480-3A159D262738}"/>
            </c:ext>
          </c:extLst>
        </c:ser>
        <c:ser>
          <c:idx val="1"/>
          <c:order val="1"/>
          <c:tx>
            <c:strRef>
              <c:f>'Transport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AMS'!$H$14:$K$14</c:f>
              <c:numCache>
                <c:formatCode>#,##0</c:formatCode>
                <c:ptCount val="4"/>
                <c:pt idx="0">
                  <c:v>2573.628699991908</c:v>
                </c:pt>
                <c:pt idx="1">
                  <c:v>1914.2297264137896</c:v>
                </c:pt>
                <c:pt idx="2">
                  <c:v>1031.4613136141184</c:v>
                </c:pt>
                <c:pt idx="3">
                  <c:v>293.44233064894593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2-4B36-A480-3A159D262738}"/>
            </c:ext>
          </c:extLst>
        </c:ser>
        <c:ser>
          <c:idx val="2"/>
          <c:order val="2"/>
          <c:tx>
            <c:strRef>
              <c:f>'Transport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AMS'!$H$15:$K$15</c:f>
              <c:numCache>
                <c:formatCode>#,##0</c:formatCode>
                <c:ptCount val="4"/>
                <c:pt idx="0">
                  <c:v>324.73142968208481</c:v>
                </c:pt>
                <c:pt idx="1">
                  <c:v>873.47361297421298</c:v>
                </c:pt>
                <c:pt idx="2">
                  <c:v>993.59565546930946</c:v>
                </c:pt>
                <c:pt idx="3">
                  <c:v>984.72360581967394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2-4B36-A480-3A159D262738}"/>
            </c:ext>
          </c:extLst>
        </c:ser>
        <c:ser>
          <c:idx val="3"/>
          <c:order val="3"/>
          <c:tx>
            <c:strRef>
              <c:f>'Transport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AMS'!$H$16:$K$16</c:f>
              <c:numCache>
                <c:formatCode>#,##0</c:formatCode>
                <c:ptCount val="4"/>
                <c:pt idx="0">
                  <c:v>87.743683724161997</c:v>
                </c:pt>
                <c:pt idx="1">
                  <c:v>51.140999350072462</c:v>
                </c:pt>
                <c:pt idx="2">
                  <c:v>77.878145359953919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72-4B36-A480-3A159D262738}"/>
            </c:ext>
          </c:extLst>
        </c:ser>
        <c:ser>
          <c:idx val="4"/>
          <c:order val="4"/>
          <c:tx>
            <c:strRef>
              <c:f>'Transport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AMS'!$H$17:$K$17</c:f>
              <c:numCache>
                <c:formatCode>#,##0</c:formatCode>
                <c:ptCount val="4"/>
                <c:pt idx="0">
                  <c:v>74.66951741609185</c:v>
                </c:pt>
                <c:pt idx="1">
                  <c:v>86.785320323898489</c:v>
                </c:pt>
                <c:pt idx="2">
                  <c:v>100.37368710829429</c:v>
                </c:pt>
                <c:pt idx="3">
                  <c:v>112.20251615748211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72-4B36-A480-3A159D262738}"/>
            </c:ext>
          </c:extLst>
        </c:ser>
        <c:ser>
          <c:idx val="5"/>
          <c:order val="5"/>
          <c:tx>
            <c:strRef>
              <c:f>'Transport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AMS'!$H$18:$K$18</c:f>
              <c:numCache>
                <c:formatCode>#,##0</c:formatCode>
                <c:ptCount val="4"/>
                <c:pt idx="0">
                  <c:v>601.96304228562485</c:v>
                </c:pt>
                <c:pt idx="1">
                  <c:v>484.08025956782944</c:v>
                </c:pt>
                <c:pt idx="2">
                  <c:v>228.93932959249119</c:v>
                </c:pt>
                <c:pt idx="3">
                  <c:v>189.95348717080196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72-4B36-A480-3A159D262738}"/>
            </c:ext>
          </c:extLst>
        </c:ser>
        <c:ser>
          <c:idx val="6"/>
          <c:order val="6"/>
          <c:tx>
            <c:strRef>
              <c:f>'Transport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AMS'!$H$19:$K$19</c:f>
              <c:numCache>
                <c:formatCode>#,##0</c:formatCode>
                <c:ptCount val="4"/>
                <c:pt idx="0">
                  <c:v>131.45762730537481</c:v>
                </c:pt>
                <c:pt idx="1">
                  <c:v>426.14351192396924</c:v>
                </c:pt>
                <c:pt idx="2">
                  <c:v>726.73394410871947</c:v>
                </c:pt>
                <c:pt idx="3">
                  <c:v>905.54444496979499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72-4B36-A480-3A159D262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'Transport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'Transport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AMS'!$H$8:$K$8</c:f>
              <c:numCache>
                <c:formatCode>#,##0</c:formatCode>
                <c:ptCount val="4"/>
                <c:pt idx="0">
                  <c:v>0</c:v>
                </c:pt>
                <c:pt idx="1">
                  <c:v>2489.8567580842946</c:v>
                </c:pt>
                <c:pt idx="2">
                  <c:v>1683.7900254259353</c:v>
                </c:pt>
                <c:pt idx="3">
                  <c:v>1138.2129713889146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2-4394-80BD-E4885C1B9532}"/>
            </c:ext>
          </c:extLst>
        </c:ser>
        <c:ser>
          <c:idx val="1"/>
          <c:order val="1"/>
          <c:tx>
            <c:strRef>
              <c:f>'Transport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'Transport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AMS'!$H$9:$K$9</c:f>
              <c:numCache>
                <c:formatCode>#,##0</c:formatCode>
                <c:ptCount val="4"/>
                <c:pt idx="0">
                  <c:v>41814.604215450461</c:v>
                </c:pt>
                <c:pt idx="1">
                  <c:v>40727.42450584875</c:v>
                </c:pt>
                <c:pt idx="2">
                  <c:v>42093.631951070784</c:v>
                </c:pt>
                <c:pt idx="3">
                  <c:v>41702.655657247182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2-4394-80BD-E4885C1B9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AMS'!$H$111:$K$111</c:f>
              <c:numCache>
                <c:formatCode>_-* #\ ##0_-;\-* #\ ##0_-;_-* "-"??_-;_-@_-</c:formatCode>
                <c:ptCount val="4"/>
                <c:pt idx="0" formatCode="0">
                  <c:v>1125.6244674990603</c:v>
                </c:pt>
                <c:pt idx="1">
                  <c:v>100.52456157034786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B-4A9A-874A-F88A09378D58}"/>
            </c:ext>
          </c:extLst>
        </c:ser>
        <c:ser>
          <c:idx val="1"/>
          <c:order val="1"/>
          <c:tx>
            <c:strRef>
              <c:f>'Transport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AMS'!$H$112:$K$112</c:f>
              <c:numCache>
                <c:formatCode>_-* #\ ##0_-;\-* #\ ##0_-;_-* "-"??_-;_-@_-</c:formatCode>
                <c:ptCount val="4"/>
                <c:pt idx="0" formatCode="0">
                  <c:v>2444.9472649923123</c:v>
                </c:pt>
                <c:pt idx="1">
                  <c:v>1783.0824199347726</c:v>
                </c:pt>
                <c:pt idx="2">
                  <c:v>955.95052998573408</c:v>
                </c:pt>
                <c:pt idx="3">
                  <c:v>266.30840354759567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1B-4A9A-874A-F88A09378D58}"/>
            </c:ext>
          </c:extLst>
        </c:ser>
        <c:ser>
          <c:idx val="2"/>
          <c:order val="2"/>
          <c:tx>
            <c:strRef>
              <c:f>'Transport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AMS'!$H$113:$K$113</c:f>
              <c:numCache>
                <c:formatCode>_-* #\ ##0_-;\-* #\ ##0_-;_-* "-"??_-;_-@_-</c:formatCode>
                <c:ptCount val="4"/>
                <c:pt idx="0" formatCode="0">
                  <c:v>308.49485819798053</c:v>
                </c:pt>
                <c:pt idx="1">
                  <c:v>788.73937372437729</c:v>
                </c:pt>
                <c:pt idx="2">
                  <c:v>909.15091747359327</c:v>
                </c:pt>
                <c:pt idx="3">
                  <c:v>911.77553498653924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1B-4A9A-874A-F88A09378D58}"/>
            </c:ext>
          </c:extLst>
        </c:ser>
        <c:ser>
          <c:idx val="3"/>
          <c:order val="3"/>
          <c:tx>
            <c:strRef>
              <c:f>'Transport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AMS'!$H$114:$K$114</c:f>
              <c:numCache>
                <c:formatCode>_-* #\ ##0_-;\-* #\ ##0_-;_-* "-"??_-;_-@_-</c:formatCode>
                <c:ptCount val="4"/>
                <c:pt idx="0" formatCode="0">
                  <c:v>83.356499537953894</c:v>
                </c:pt>
                <c:pt idx="1">
                  <c:v>44.044886461307563</c:v>
                </c:pt>
                <c:pt idx="2">
                  <c:v>71.673774371318444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1B-4A9A-874A-F88A09378D58}"/>
            </c:ext>
          </c:extLst>
        </c:ser>
        <c:ser>
          <c:idx val="4"/>
          <c:order val="4"/>
          <c:tx>
            <c:strRef>
              <c:f>'Transport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AMS'!$H$115:$K$115</c:f>
              <c:numCache>
                <c:formatCode>_-* #\ ##0_-;\-* #\ ##0_-;_-* "-"??_-;_-@_-</c:formatCode>
                <c:ptCount val="4"/>
                <c:pt idx="0" formatCode="0">
                  <c:v>70.936041545287253</c:v>
                </c:pt>
                <c:pt idx="1">
                  <c:v>77.641324982506859</c:v>
                </c:pt>
                <c:pt idx="2">
                  <c:v>91.345911005088993</c:v>
                </c:pt>
                <c:pt idx="3">
                  <c:v>103.16398252661234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1B-4A9A-874A-F88A09378D58}"/>
            </c:ext>
          </c:extLst>
        </c:ser>
        <c:ser>
          <c:idx val="5"/>
          <c:order val="5"/>
          <c:tx>
            <c:strRef>
              <c:f>'Transport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AMS'!$H$116:$K$116</c:f>
              <c:numCache>
                <c:formatCode>_-* #\ ##0_-;\-* #\ ##0_-;_-* "-"??_-;_-@_-</c:formatCode>
                <c:ptCount val="4"/>
                <c:pt idx="0" formatCode="0">
                  <c:v>571.86489017134363</c:v>
                </c:pt>
                <c:pt idx="1">
                  <c:v>447.30367810514457</c:v>
                </c:pt>
                <c:pt idx="2">
                  <c:v>209.66066837040236</c:v>
                </c:pt>
                <c:pt idx="3">
                  <c:v>175.22161282114772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1B-4A9A-874A-F88A09378D58}"/>
            </c:ext>
          </c:extLst>
        </c:ser>
        <c:ser>
          <c:idx val="6"/>
          <c:order val="6"/>
          <c:tx>
            <c:strRef>
              <c:f>'Transport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AMS'!$H$117:$K$117</c:f>
              <c:numCache>
                <c:formatCode>_-* #\ ##0_-;\-* #\ ##0_-;_-* "-"??_-;_-@_-</c:formatCode>
                <c:ptCount val="4"/>
                <c:pt idx="0" formatCode="0">
                  <c:v>124.88474594010606</c:v>
                </c:pt>
                <c:pt idx="1">
                  <c:v>355.09008257615267</c:v>
                </c:pt>
                <c:pt idx="2">
                  <c:v>654.87888164730145</c:v>
                </c:pt>
                <c:pt idx="3">
                  <c:v>836.16480150670668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1B-4A9A-874A-F88A09378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AMS'!$H$122:$K$122</c:f>
              <c:numCache>
                <c:formatCode>_-* #\ ##0_-;\-* #\ ##0_-;_-* "-"??_-;_-@_-</c:formatCode>
                <c:ptCount val="4"/>
                <c:pt idx="0">
                  <c:v>59.243393026266382</c:v>
                </c:pt>
                <c:pt idx="1">
                  <c:v>5.4717364422464447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7-4E6A-A793-8C28C360E6E7}"/>
            </c:ext>
          </c:extLst>
        </c:ser>
        <c:ser>
          <c:idx val="1"/>
          <c:order val="1"/>
          <c:tx>
            <c:strRef>
              <c:f>'Transport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AMS'!$H$123:$K$123</c:f>
              <c:numCache>
                <c:formatCode>_-* #\ ##0_-;\-* #\ ##0_-;_-* "-"??_-;_-@_-</c:formatCode>
                <c:ptCount val="4"/>
                <c:pt idx="0">
                  <c:v>128.6814349995955</c:v>
                </c:pt>
                <c:pt idx="1">
                  <c:v>101.21160179031043</c:v>
                </c:pt>
                <c:pt idx="2">
                  <c:v>57.10686219968818</c:v>
                </c:pt>
                <c:pt idx="3">
                  <c:v>15.937267422635971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F7-4E6A-A793-8C28C360E6E7}"/>
            </c:ext>
          </c:extLst>
        </c:ser>
        <c:ser>
          <c:idx val="2"/>
          <c:order val="2"/>
          <c:tx>
            <c:strRef>
              <c:f>'Transport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AMS'!$H$124:$K$124</c:f>
              <c:numCache>
                <c:formatCode>_-* #\ ##0_-;\-* #\ ##0_-;_-* "-"??_-;_-@_-</c:formatCode>
                <c:ptCount val="4"/>
                <c:pt idx="0">
                  <c:v>16.236571484104257</c:v>
                </c:pt>
                <c:pt idx="1">
                  <c:v>46.532448511256938</c:v>
                </c:pt>
                <c:pt idx="2">
                  <c:v>60.7592596732175</c:v>
                </c:pt>
                <c:pt idx="3">
                  <c:v>55.484506470343682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F7-4E6A-A793-8C28C360E6E7}"/>
            </c:ext>
          </c:extLst>
        </c:ser>
        <c:ser>
          <c:idx val="3"/>
          <c:order val="3"/>
          <c:tx>
            <c:strRef>
              <c:f>'Transport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AMS'!$H$125:$K$125</c:f>
              <c:numCache>
                <c:formatCode>_-* #\ ##0_-;\-* #\ ##0_-;_-* "-"??_-;_-@_-</c:formatCode>
                <c:ptCount val="4"/>
                <c:pt idx="0">
                  <c:v>4.3871841862081027</c:v>
                </c:pt>
                <c:pt idx="1">
                  <c:v>2.7352326612919122</c:v>
                </c:pt>
                <c:pt idx="2">
                  <c:v>4.7900138305838826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F7-4E6A-A793-8C28C360E6E7}"/>
            </c:ext>
          </c:extLst>
        </c:ser>
        <c:ser>
          <c:idx val="4"/>
          <c:order val="4"/>
          <c:tx>
            <c:strRef>
              <c:f>'Transport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AMS'!$H$126:$K$126</c:f>
              <c:numCache>
                <c:formatCode>_-* #\ ##0_-;\-* #\ ##0_-;_-* "-"??_-;_-@_-</c:formatCode>
                <c:ptCount val="4"/>
                <c:pt idx="0">
                  <c:v>3.7334758708045954</c:v>
                </c:pt>
                <c:pt idx="1">
                  <c:v>4.8216059801787017</c:v>
                </c:pt>
                <c:pt idx="2">
                  <c:v>6.1047179518531625</c:v>
                </c:pt>
                <c:pt idx="3">
                  <c:v>7.0625968134798027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F7-4E6A-A793-8C28C360E6E7}"/>
            </c:ext>
          </c:extLst>
        </c:ser>
        <c:ser>
          <c:idx val="5"/>
          <c:order val="5"/>
          <c:tx>
            <c:strRef>
              <c:f>'Transport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AMS'!$H$127:$K$127</c:f>
              <c:numCache>
                <c:formatCode>_-* #\ ##0_-;\-* #\ ##0_-;_-* "-"??_-;_-@_-</c:formatCode>
                <c:ptCount val="4"/>
                <c:pt idx="0">
                  <c:v>30.098152114281266</c:v>
                </c:pt>
                <c:pt idx="1">
                  <c:v>22.197763763348757</c:v>
                </c:pt>
                <c:pt idx="2">
                  <c:v>10.592664445016387</c:v>
                </c:pt>
                <c:pt idx="3">
                  <c:v>8.5790564403112572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F7-4E6A-A793-8C28C360E6E7}"/>
            </c:ext>
          </c:extLst>
        </c:ser>
        <c:ser>
          <c:idx val="6"/>
          <c:order val="6"/>
          <c:tx>
            <c:strRef>
              <c:f>'Transport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AMS'!$H$128:$K$128</c:f>
              <c:numCache>
                <c:formatCode>_-* #\ ##0_-;\-* #\ ##0_-;_-* "-"??_-;_-@_-</c:formatCode>
                <c:ptCount val="4"/>
                <c:pt idx="0">
                  <c:v>6.5728813652687457</c:v>
                </c:pt>
                <c:pt idx="1">
                  <c:v>18.502678294933791</c:v>
                </c:pt>
                <c:pt idx="2">
                  <c:v>33.086378572266078</c:v>
                </c:pt>
                <c:pt idx="3">
                  <c:v>43.172682844500109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F7-4E6A-A793-8C28C360E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'Transport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AMS'!$H$45:$K$45</c:f>
              <c:numCache>
                <c:formatCode>0%</c:formatCode>
                <c:ptCount val="4"/>
                <c:pt idx="0">
                  <c:v>0.19600000000000001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A-4C2B-AEC3-2D40550E08B5}"/>
            </c:ext>
          </c:extLst>
        </c:ser>
        <c:ser>
          <c:idx val="1"/>
          <c:order val="1"/>
          <c:tx>
            <c:strRef>
              <c:f>'Transport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AMS'!$H$46:$K$46</c:f>
              <c:numCache>
                <c:formatCode>0%</c:formatCode>
                <c:ptCount val="4"/>
                <c:pt idx="0">
                  <c:v>0.41</c:v>
                </c:pt>
                <c:pt idx="1">
                  <c:v>0.35259999999999997</c:v>
                </c:pt>
                <c:pt idx="2">
                  <c:v>0.20499999999999999</c:v>
                </c:pt>
                <c:pt idx="3">
                  <c:v>6.1499999999999992E-2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A-4C2B-AEC3-2D40550E08B5}"/>
            </c:ext>
          </c:extLst>
        </c:ser>
        <c:ser>
          <c:idx val="2"/>
          <c:order val="2"/>
          <c:tx>
            <c:strRef>
              <c:f>'Transport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AMS'!$H$47:$K$47</c:f>
              <c:numCache>
                <c:formatCode>0%</c:formatCode>
                <c:ptCount val="4"/>
                <c:pt idx="0">
                  <c:v>6.2E-2</c:v>
                </c:pt>
                <c:pt idx="1">
                  <c:v>0.2</c:v>
                </c:pt>
                <c:pt idx="2">
                  <c:v>0.25</c:v>
                </c:pt>
                <c:pt idx="3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8A-4C2B-AEC3-2D40550E08B5}"/>
            </c:ext>
          </c:extLst>
        </c:ser>
        <c:ser>
          <c:idx val="3"/>
          <c:order val="3"/>
          <c:tx>
            <c:strRef>
              <c:f>'Transport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AMS'!$H$48:$K$48</c:f>
              <c:numCache>
                <c:formatCode>0%</c:formatCode>
                <c:ptCount val="4"/>
                <c:pt idx="0">
                  <c:v>1.7000000000000001E-2</c:v>
                </c:pt>
                <c:pt idx="1">
                  <c:v>1.1333333333333334E-2</c:v>
                </c:pt>
                <c:pt idx="2">
                  <c:v>0.02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8A-4C2B-AEC3-2D40550E08B5}"/>
            </c:ext>
          </c:extLst>
        </c:ser>
        <c:ser>
          <c:idx val="4"/>
          <c:order val="4"/>
          <c:tx>
            <c:strRef>
              <c:f>'Transport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AMS'!$H$49:$K$49</c:f>
              <c:numCache>
                <c:formatCode>0%</c:formatCode>
                <c:ptCount val="4"/>
                <c:pt idx="0">
                  <c:v>1.4E-2</c:v>
                </c:pt>
                <c:pt idx="1">
                  <c:v>1.9333333333333334E-2</c:v>
                </c:pt>
                <c:pt idx="2">
                  <c:v>2.4666666666666667E-2</c:v>
                </c:pt>
                <c:pt idx="3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8A-4C2B-AEC3-2D40550E08B5}"/>
            </c:ext>
          </c:extLst>
        </c:ser>
        <c:ser>
          <c:idx val="5"/>
          <c:order val="5"/>
          <c:tx>
            <c:strRef>
              <c:f>'Transport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AMS'!$H$50:$K$50</c:f>
              <c:numCache>
                <c:formatCode>0%</c:formatCode>
                <c:ptCount val="4"/>
                <c:pt idx="0">
                  <c:v>0.23599999999999999</c:v>
                </c:pt>
                <c:pt idx="1">
                  <c:v>0.19673333333333326</c:v>
                </c:pt>
                <c:pt idx="2">
                  <c:v>0.1</c:v>
                </c:pt>
                <c:pt idx="3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8A-4C2B-AEC3-2D40550E08B5}"/>
            </c:ext>
          </c:extLst>
        </c:ser>
        <c:ser>
          <c:idx val="6"/>
          <c:order val="6"/>
          <c:tx>
            <c:strRef>
              <c:f>'Transport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AMS'!$H$51:$K$51</c:f>
              <c:numCache>
                <c:formatCode>0%</c:formatCode>
                <c:ptCount val="4"/>
                <c:pt idx="0">
                  <c:v>6.6000000000000003E-2</c:v>
                </c:pt>
                <c:pt idx="1">
                  <c:v>0.2</c:v>
                </c:pt>
                <c:pt idx="2">
                  <c:v>0.4</c:v>
                </c:pt>
                <c:pt idx="3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8A-4C2B-AEC3-2D40550E0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124480"/>
        <c:axId val="1855133632"/>
      </c:areaChart>
      <c:catAx>
        <c:axId val="185512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5133632"/>
        <c:crosses val="autoZero"/>
        <c:auto val="1"/>
        <c:lblAlgn val="ctr"/>
        <c:lblOffset val="100"/>
        <c:noMultiLvlLbl val="0"/>
      </c:catAx>
      <c:valAx>
        <c:axId val="185513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512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3" Type="http://schemas.openxmlformats.org/officeDocument/2006/relationships/chart" Target="../charts/chart23.xml"/><Relationship Id="rId21" Type="http://schemas.openxmlformats.org/officeDocument/2006/relationships/chart" Target="../charts/chart41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4" Type="http://schemas.openxmlformats.org/officeDocument/2006/relationships/chart" Target="../charts/chart4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4" Type="http://schemas.openxmlformats.org/officeDocument/2006/relationships/chart" Target="../charts/chart5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4" Type="http://schemas.openxmlformats.org/officeDocument/2006/relationships/chart" Target="../charts/chart5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Relationship Id="rId4" Type="http://schemas.openxmlformats.org/officeDocument/2006/relationships/chart" Target="../charts/chart6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6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4" Type="http://schemas.openxmlformats.org/officeDocument/2006/relationships/chart" Target="../charts/chart6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5" Type="http://schemas.openxmlformats.org/officeDocument/2006/relationships/chart" Target="../charts/chart73.xml"/><Relationship Id="rId4" Type="http://schemas.openxmlformats.org/officeDocument/2006/relationships/chart" Target="../charts/chart7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Relationship Id="rId5" Type="http://schemas.openxmlformats.org/officeDocument/2006/relationships/chart" Target="../charts/chart78.xml"/><Relationship Id="rId4" Type="http://schemas.openxmlformats.org/officeDocument/2006/relationships/chart" Target="../charts/chart7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1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Relationship Id="rId5" Type="http://schemas.openxmlformats.org/officeDocument/2006/relationships/chart" Target="../charts/chart83.xml"/><Relationship Id="rId4" Type="http://schemas.openxmlformats.org/officeDocument/2006/relationships/chart" Target="../charts/chart8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6.xml"/><Relationship Id="rId2" Type="http://schemas.openxmlformats.org/officeDocument/2006/relationships/chart" Target="../charts/chart85.xml"/><Relationship Id="rId1" Type="http://schemas.openxmlformats.org/officeDocument/2006/relationships/chart" Target="../charts/chart84.xml"/><Relationship Id="rId5" Type="http://schemas.openxmlformats.org/officeDocument/2006/relationships/chart" Target="../charts/chart88.xml"/><Relationship Id="rId4" Type="http://schemas.openxmlformats.org/officeDocument/2006/relationships/chart" Target="../charts/chart87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5" Type="http://schemas.openxmlformats.org/officeDocument/2006/relationships/chart" Target="../charts/chart93.xml"/><Relationship Id="rId4" Type="http://schemas.openxmlformats.org/officeDocument/2006/relationships/chart" Target="../charts/chart92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6.xml"/><Relationship Id="rId2" Type="http://schemas.openxmlformats.org/officeDocument/2006/relationships/chart" Target="../charts/chart95.xml"/><Relationship Id="rId1" Type="http://schemas.openxmlformats.org/officeDocument/2006/relationships/chart" Target="../charts/chart94.xml"/><Relationship Id="rId5" Type="http://schemas.openxmlformats.org/officeDocument/2006/relationships/chart" Target="../charts/chart98.xml"/><Relationship Id="rId4" Type="http://schemas.openxmlformats.org/officeDocument/2006/relationships/chart" Target="../charts/chart9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1.xml"/><Relationship Id="rId2" Type="http://schemas.openxmlformats.org/officeDocument/2006/relationships/chart" Target="../charts/chart100.xml"/><Relationship Id="rId1" Type="http://schemas.openxmlformats.org/officeDocument/2006/relationships/chart" Target="../charts/chart99.xml"/><Relationship Id="rId5" Type="http://schemas.openxmlformats.org/officeDocument/2006/relationships/chart" Target="../charts/chart103.xml"/><Relationship Id="rId4" Type="http://schemas.openxmlformats.org/officeDocument/2006/relationships/chart" Target="../charts/chart102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59417</xdr:colOff>
      <xdr:row>4</xdr:row>
      <xdr:rowOff>52614</xdr:rowOff>
    </xdr:from>
    <xdr:to>
      <xdr:col>13</xdr:col>
      <xdr:colOff>545192</xdr:colOff>
      <xdr:row>20</xdr:row>
      <xdr:rowOff>125639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268941</xdr:colOff>
      <xdr:row>61</xdr:row>
      <xdr:rowOff>190499</xdr:rowOff>
    </xdr:from>
    <xdr:to>
      <xdr:col>13</xdr:col>
      <xdr:colOff>614875</xdr:colOff>
      <xdr:row>76</xdr:row>
      <xdr:rowOff>207914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704850</xdr:colOff>
      <xdr:row>77</xdr:row>
      <xdr:rowOff>25401</xdr:rowOff>
    </xdr:from>
    <xdr:to>
      <xdr:col>13</xdr:col>
      <xdr:colOff>504825</xdr:colOff>
      <xdr:row>90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650422</xdr:colOff>
      <xdr:row>89</xdr:row>
      <xdr:rowOff>135165</xdr:rowOff>
    </xdr:from>
    <xdr:to>
      <xdr:col>13</xdr:col>
      <xdr:colOff>450397</xdr:colOff>
      <xdr:row>102</xdr:row>
      <xdr:rowOff>109764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362857</xdr:colOff>
      <xdr:row>4</xdr:row>
      <xdr:rowOff>81643</xdr:rowOff>
    </xdr:from>
    <xdr:to>
      <xdr:col>22</xdr:col>
      <xdr:colOff>86632</xdr:colOff>
      <xdr:row>20</xdr:row>
      <xdr:rowOff>154668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362857</xdr:colOff>
      <xdr:row>59</xdr:row>
      <xdr:rowOff>172357</xdr:rowOff>
    </xdr:from>
    <xdr:to>
      <xdr:col>22</xdr:col>
      <xdr:colOff>80282</xdr:colOff>
      <xdr:row>77</xdr:row>
      <xdr:rowOff>63046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371929</xdr:colOff>
      <xdr:row>77</xdr:row>
      <xdr:rowOff>90715</xdr:rowOff>
    </xdr:from>
    <xdr:to>
      <xdr:col>22</xdr:col>
      <xdr:colOff>171904</xdr:colOff>
      <xdr:row>90</xdr:row>
      <xdr:rowOff>65314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399142</xdr:colOff>
      <xdr:row>90</xdr:row>
      <xdr:rowOff>9072</xdr:rowOff>
    </xdr:from>
    <xdr:to>
      <xdr:col>22</xdr:col>
      <xdr:colOff>199117</xdr:colOff>
      <xdr:row>102</xdr:row>
      <xdr:rowOff>165099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86178</xdr:colOff>
      <xdr:row>20</xdr:row>
      <xdr:rowOff>18142</xdr:rowOff>
    </xdr:from>
    <xdr:to>
      <xdr:col>13</xdr:col>
      <xdr:colOff>136071</xdr:colOff>
      <xdr:row>33</xdr:row>
      <xdr:rowOff>69850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607785</xdr:colOff>
      <xdr:row>20</xdr:row>
      <xdr:rowOff>0</xdr:rowOff>
    </xdr:from>
    <xdr:to>
      <xdr:col>21</xdr:col>
      <xdr:colOff>171450</xdr:colOff>
      <xdr:row>34</xdr:row>
      <xdr:rowOff>12700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95249</xdr:colOff>
      <xdr:row>33</xdr:row>
      <xdr:rowOff>29936</xdr:rowOff>
    </xdr:from>
    <xdr:to>
      <xdr:col>13</xdr:col>
      <xdr:colOff>95249</xdr:colOff>
      <xdr:row>47</xdr:row>
      <xdr:rowOff>178707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504076</xdr:colOff>
      <xdr:row>33</xdr:row>
      <xdr:rowOff>124239</xdr:rowOff>
    </xdr:from>
    <xdr:to>
      <xdr:col>21</xdr:col>
      <xdr:colOff>491830</xdr:colOff>
      <xdr:row>47</xdr:row>
      <xdr:rowOff>136485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625929</xdr:colOff>
      <xdr:row>109</xdr:row>
      <xdr:rowOff>0</xdr:rowOff>
    </xdr:from>
    <xdr:to>
      <xdr:col>13</xdr:col>
      <xdr:colOff>425904</xdr:colOff>
      <xdr:row>121</xdr:row>
      <xdr:rowOff>156027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425823</xdr:colOff>
      <xdr:row>109</xdr:row>
      <xdr:rowOff>134470</xdr:rowOff>
    </xdr:from>
    <xdr:to>
      <xdr:col>22</xdr:col>
      <xdr:colOff>225798</xdr:colOff>
      <xdr:row>122</xdr:row>
      <xdr:rowOff>103732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571499</xdr:colOff>
      <xdr:row>128</xdr:row>
      <xdr:rowOff>166204</xdr:rowOff>
    </xdr:from>
    <xdr:to>
      <xdr:col>12</xdr:col>
      <xdr:colOff>571499</xdr:colOff>
      <xdr:row>145</xdr:row>
      <xdr:rowOff>120926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705971</xdr:colOff>
      <xdr:row>128</xdr:row>
      <xdr:rowOff>136713</xdr:rowOff>
    </xdr:from>
    <xdr:to>
      <xdr:col>21</xdr:col>
      <xdr:colOff>705971</xdr:colOff>
      <xdr:row>145</xdr:row>
      <xdr:rowOff>91435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182486</xdr:colOff>
      <xdr:row>151</xdr:row>
      <xdr:rowOff>42329</xdr:rowOff>
    </xdr:from>
    <xdr:to>
      <xdr:col>22</xdr:col>
      <xdr:colOff>669552</xdr:colOff>
      <xdr:row>172</xdr:row>
      <xdr:rowOff>126066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1A67E1CC-3DB2-445D-AA10-0B648A018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151</xdr:row>
      <xdr:rowOff>0</xdr:rowOff>
    </xdr:from>
    <xdr:to>
      <xdr:col>5</xdr:col>
      <xdr:colOff>666360</xdr:colOff>
      <xdr:row>172</xdr:row>
      <xdr:rowOff>83737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98F1C8DB-B834-478D-A522-9115AA5D9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28574</xdr:colOff>
      <xdr:row>5</xdr:row>
      <xdr:rowOff>52387</xdr:rowOff>
    </xdr:from>
    <xdr:to>
      <xdr:col>35</xdr:col>
      <xdr:colOff>552449</xdr:colOff>
      <xdr:row>24</xdr:row>
      <xdr:rowOff>19050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1AD796F4-529B-48CE-8216-C9C4E0CF3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30</xdr:col>
      <xdr:colOff>342899</xdr:colOff>
      <xdr:row>149</xdr:row>
      <xdr:rowOff>128586</xdr:rowOff>
    </xdr:from>
    <xdr:to>
      <xdr:col>37</xdr:col>
      <xdr:colOff>9524</xdr:colOff>
      <xdr:row>169</xdr:row>
      <xdr:rowOff>152399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7FA94943-0228-4DEC-97FB-34DA1BFBC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59417</xdr:colOff>
      <xdr:row>4</xdr:row>
      <xdr:rowOff>52614</xdr:rowOff>
    </xdr:from>
    <xdr:to>
      <xdr:col>13</xdr:col>
      <xdr:colOff>545192</xdr:colOff>
      <xdr:row>20</xdr:row>
      <xdr:rowOff>125639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114E202-3F34-49C0-83F2-8907BB7AE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268941</xdr:colOff>
      <xdr:row>61</xdr:row>
      <xdr:rowOff>190499</xdr:rowOff>
    </xdr:from>
    <xdr:to>
      <xdr:col>13</xdr:col>
      <xdr:colOff>614875</xdr:colOff>
      <xdr:row>76</xdr:row>
      <xdr:rowOff>207914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56E0CF4-0BD0-4B44-9EB9-635B76EE1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704850</xdr:colOff>
      <xdr:row>77</xdr:row>
      <xdr:rowOff>25401</xdr:rowOff>
    </xdr:from>
    <xdr:to>
      <xdr:col>13</xdr:col>
      <xdr:colOff>504825</xdr:colOff>
      <xdr:row>90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7C0441A-4E4D-4A88-BBBC-D218DA01E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650422</xdr:colOff>
      <xdr:row>89</xdr:row>
      <xdr:rowOff>135165</xdr:rowOff>
    </xdr:from>
    <xdr:to>
      <xdr:col>13</xdr:col>
      <xdr:colOff>450397</xdr:colOff>
      <xdr:row>102</xdr:row>
      <xdr:rowOff>109764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D58AE5E-1E5E-45FF-B149-ABBD218AE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362857</xdr:colOff>
      <xdr:row>4</xdr:row>
      <xdr:rowOff>81643</xdr:rowOff>
    </xdr:from>
    <xdr:to>
      <xdr:col>22</xdr:col>
      <xdr:colOff>86632</xdr:colOff>
      <xdr:row>20</xdr:row>
      <xdr:rowOff>154668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D970B18-9917-4A69-A83E-6C6F8B3ED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362857</xdr:colOff>
      <xdr:row>59</xdr:row>
      <xdr:rowOff>172357</xdr:rowOff>
    </xdr:from>
    <xdr:to>
      <xdr:col>22</xdr:col>
      <xdr:colOff>80282</xdr:colOff>
      <xdr:row>77</xdr:row>
      <xdr:rowOff>63046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4E35D94-1042-44DF-B32C-1B78FB91D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371929</xdr:colOff>
      <xdr:row>77</xdr:row>
      <xdr:rowOff>90715</xdr:rowOff>
    </xdr:from>
    <xdr:to>
      <xdr:col>22</xdr:col>
      <xdr:colOff>171904</xdr:colOff>
      <xdr:row>90</xdr:row>
      <xdr:rowOff>65314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8D2C803-A459-4A10-A0DB-5FFAD82DA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399142</xdr:colOff>
      <xdr:row>90</xdr:row>
      <xdr:rowOff>9072</xdr:rowOff>
    </xdr:from>
    <xdr:to>
      <xdr:col>22</xdr:col>
      <xdr:colOff>199117</xdr:colOff>
      <xdr:row>102</xdr:row>
      <xdr:rowOff>165099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CB8E3C4-68FD-484A-96D5-65D062335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86178</xdr:colOff>
      <xdr:row>20</xdr:row>
      <xdr:rowOff>18142</xdr:rowOff>
    </xdr:from>
    <xdr:to>
      <xdr:col>13</xdr:col>
      <xdr:colOff>136071</xdr:colOff>
      <xdr:row>33</xdr:row>
      <xdr:rowOff>69850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3B9424CC-A48E-4E60-9837-0D9C731C5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607785</xdr:colOff>
      <xdr:row>20</xdr:row>
      <xdr:rowOff>0</xdr:rowOff>
    </xdr:from>
    <xdr:to>
      <xdr:col>21</xdr:col>
      <xdr:colOff>171450</xdr:colOff>
      <xdr:row>34</xdr:row>
      <xdr:rowOff>12700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0BFF0DF-CED0-4889-8E9E-8067096EC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95249</xdr:colOff>
      <xdr:row>33</xdr:row>
      <xdr:rowOff>29936</xdr:rowOff>
    </xdr:from>
    <xdr:to>
      <xdr:col>13</xdr:col>
      <xdr:colOff>95249</xdr:colOff>
      <xdr:row>47</xdr:row>
      <xdr:rowOff>178707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9C8FAF63-BDEB-4AA8-9804-E287C33E6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504076</xdr:colOff>
      <xdr:row>33</xdr:row>
      <xdr:rowOff>124239</xdr:rowOff>
    </xdr:from>
    <xdr:to>
      <xdr:col>21</xdr:col>
      <xdr:colOff>491830</xdr:colOff>
      <xdr:row>47</xdr:row>
      <xdr:rowOff>136485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48CB98EF-ABAA-4097-AAC5-EFA3E3333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625929</xdr:colOff>
      <xdr:row>109</xdr:row>
      <xdr:rowOff>0</xdr:rowOff>
    </xdr:from>
    <xdr:to>
      <xdr:col>13</xdr:col>
      <xdr:colOff>425904</xdr:colOff>
      <xdr:row>121</xdr:row>
      <xdr:rowOff>156027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46DD4FAE-1733-4091-876D-445F5497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425823</xdr:colOff>
      <xdr:row>109</xdr:row>
      <xdr:rowOff>134470</xdr:rowOff>
    </xdr:from>
    <xdr:to>
      <xdr:col>22</xdr:col>
      <xdr:colOff>225798</xdr:colOff>
      <xdr:row>122</xdr:row>
      <xdr:rowOff>103732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E7F403E8-DF54-4957-9D0A-1C9CF04D3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571499</xdr:colOff>
      <xdr:row>128</xdr:row>
      <xdr:rowOff>166204</xdr:rowOff>
    </xdr:from>
    <xdr:to>
      <xdr:col>12</xdr:col>
      <xdr:colOff>571499</xdr:colOff>
      <xdr:row>145</xdr:row>
      <xdr:rowOff>120926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77FBA359-7694-47E8-9B6E-BF4D13501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705971</xdr:colOff>
      <xdr:row>128</xdr:row>
      <xdr:rowOff>136713</xdr:rowOff>
    </xdr:from>
    <xdr:to>
      <xdr:col>21</xdr:col>
      <xdr:colOff>705971</xdr:colOff>
      <xdr:row>145</xdr:row>
      <xdr:rowOff>91435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DB1B3B12-9EF7-4CC4-89A5-04C3E1D54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182486</xdr:colOff>
      <xdr:row>151</xdr:row>
      <xdr:rowOff>42329</xdr:rowOff>
    </xdr:from>
    <xdr:to>
      <xdr:col>22</xdr:col>
      <xdr:colOff>669552</xdr:colOff>
      <xdr:row>172</xdr:row>
      <xdr:rowOff>126066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74983E4C-8C3C-4E0A-BB67-587837070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151</xdr:row>
      <xdr:rowOff>0</xdr:rowOff>
    </xdr:from>
    <xdr:to>
      <xdr:col>5</xdr:col>
      <xdr:colOff>666360</xdr:colOff>
      <xdr:row>172</xdr:row>
      <xdr:rowOff>83737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BC817792-D12D-4E2A-B24A-BB8A794A2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28574</xdr:colOff>
      <xdr:row>5</xdr:row>
      <xdr:rowOff>52387</xdr:rowOff>
    </xdr:from>
    <xdr:to>
      <xdr:col>35</xdr:col>
      <xdr:colOff>552449</xdr:colOff>
      <xdr:row>24</xdr:row>
      <xdr:rowOff>19050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16DF7FC9-9D8D-4A64-905B-2B5CD2911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30</xdr:col>
      <xdr:colOff>342899</xdr:colOff>
      <xdr:row>149</xdr:row>
      <xdr:rowOff>128586</xdr:rowOff>
    </xdr:from>
    <xdr:to>
      <xdr:col>37</xdr:col>
      <xdr:colOff>9524</xdr:colOff>
      <xdr:row>169</xdr:row>
      <xdr:rowOff>152399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1E3015DF-0D07-4721-AEB9-7E9B453CB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30</xdr:col>
      <xdr:colOff>397565</xdr:colOff>
      <xdr:row>170</xdr:row>
      <xdr:rowOff>33131</xdr:rowOff>
    </xdr:from>
    <xdr:to>
      <xdr:col>37</xdr:col>
      <xdr:colOff>64190</xdr:colOff>
      <xdr:row>195</xdr:row>
      <xdr:rowOff>16565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76E4B560-33D4-42D1-B4BB-1087D5752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756245</xdr:colOff>
      <xdr:row>71</xdr:row>
      <xdr:rowOff>75884</xdr:rowOff>
    </xdr:from>
    <xdr:to>
      <xdr:col>23</xdr:col>
      <xdr:colOff>70644</xdr:colOff>
      <xdr:row>88</xdr:row>
      <xdr:rowOff>6584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571011</xdr:colOff>
      <xdr:row>42</xdr:row>
      <xdr:rowOff>254977</xdr:rowOff>
    </xdr:from>
    <xdr:to>
      <xdr:col>24</xdr:col>
      <xdr:colOff>296740</xdr:colOff>
      <xdr:row>62</xdr:row>
      <xdr:rowOff>39077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0AA78D0-1B77-43DA-82A7-5BF18F0F1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538370</xdr:colOff>
      <xdr:row>42</xdr:row>
      <xdr:rowOff>180423</xdr:rowOff>
    </xdr:from>
    <xdr:to>
      <xdr:col>24</xdr:col>
      <xdr:colOff>265044</xdr:colOff>
      <xdr:row>61</xdr:row>
      <xdr:rowOff>99254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2C3AF41-4301-44BC-99F0-381D8F099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356152</xdr:colOff>
      <xdr:row>42</xdr:row>
      <xdr:rowOff>221835</xdr:rowOff>
    </xdr:from>
    <xdr:to>
      <xdr:col>24</xdr:col>
      <xdr:colOff>82826</xdr:colOff>
      <xdr:row>62</xdr:row>
      <xdr:rowOff>8144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222B602-882F-4A61-96FA-F2B29331C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505239</xdr:colOff>
      <xdr:row>42</xdr:row>
      <xdr:rowOff>251791</xdr:rowOff>
    </xdr:from>
    <xdr:to>
      <xdr:col>24</xdr:col>
      <xdr:colOff>231913</xdr:colOff>
      <xdr:row>62</xdr:row>
      <xdr:rowOff>34925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5E74D8F-85CE-4908-A4D1-A9D071789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397565</xdr:colOff>
      <xdr:row>42</xdr:row>
      <xdr:rowOff>226944</xdr:rowOff>
    </xdr:from>
    <xdr:to>
      <xdr:col>24</xdr:col>
      <xdr:colOff>124239</xdr:colOff>
      <xdr:row>62</xdr:row>
      <xdr:rowOff>16428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2C620BD-A6DA-4E24-8F27-60D5C241E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579782</xdr:colOff>
      <xdr:row>42</xdr:row>
      <xdr:rowOff>213553</xdr:rowOff>
    </xdr:from>
    <xdr:to>
      <xdr:col>24</xdr:col>
      <xdr:colOff>306456</xdr:colOff>
      <xdr:row>61</xdr:row>
      <xdr:rowOff>132384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ED85E5B-2BA8-47B2-906F-A898651F9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430696</xdr:colOff>
      <xdr:row>42</xdr:row>
      <xdr:rowOff>230118</xdr:rowOff>
    </xdr:from>
    <xdr:to>
      <xdr:col>24</xdr:col>
      <xdr:colOff>157370</xdr:colOff>
      <xdr:row>62</xdr:row>
      <xdr:rowOff>10077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727E903-4CA7-4116-98E7-102292E2B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2</xdr:row>
      <xdr:rowOff>120650</xdr:rowOff>
    </xdr:from>
    <xdr:to>
      <xdr:col>12</xdr:col>
      <xdr:colOff>457200</xdr:colOff>
      <xdr:row>24</xdr:row>
      <xdr:rowOff>119100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350" y="488950"/>
          <a:ext cx="8070850" cy="404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184149</xdr:rowOff>
    </xdr:from>
    <xdr:to>
      <xdr:col>16</xdr:col>
      <xdr:colOff>342900</xdr:colOff>
      <xdr:row>42</xdr:row>
      <xdr:rowOff>148300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4972049"/>
          <a:ext cx="11010900" cy="2910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0DDD-74A1-4607-A6BF-126ECFD1EF4A}">
  <sheetPr>
    <tabColor rgb="FF3DB84B"/>
  </sheetPr>
  <dimension ref="A1:A2"/>
  <sheetViews>
    <sheetView workbookViewId="0">
      <selection activeCell="C9" sqref="C9"/>
    </sheetView>
  </sheetViews>
  <sheetFormatPr baseColWidth="10" defaultRowHeight="15"/>
  <sheetData>
    <row r="1" spans="1:1">
      <c r="A1" t="s">
        <v>403</v>
      </c>
    </row>
    <row r="2" spans="1:1">
      <c r="A2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B84B"/>
  </sheetPr>
  <dimension ref="A2:AQ58"/>
  <sheetViews>
    <sheetView topLeftCell="A22" zoomScale="85" zoomScaleNormal="85" workbookViewId="0">
      <selection activeCell="B44" sqref="B44:M44"/>
    </sheetView>
  </sheetViews>
  <sheetFormatPr baseColWidth="10" defaultRowHeight="15"/>
  <cols>
    <col min="1" max="1" width="13.85546875" customWidth="1"/>
    <col min="2" max="2" width="8.140625" customWidth="1"/>
    <col min="3" max="3" width="22.85546875" customWidth="1"/>
    <col min="4" max="4" width="14.140625" style="74" customWidth="1"/>
    <col min="5" max="5" width="13.42578125" customWidth="1"/>
    <col min="6" max="6" width="16.28515625" customWidth="1"/>
    <col min="7" max="7" width="10" bestFit="1" customWidth="1"/>
    <col min="8" max="8" width="13" bestFit="1" customWidth="1"/>
    <col min="9" max="9" width="14.7109375" customWidth="1"/>
    <col min="11" max="11" width="11.85546875" customWidth="1"/>
    <col min="13" max="13" width="11.85546875" style="169" customWidth="1"/>
    <col min="15" max="15" width="36.42578125" customWidth="1"/>
    <col min="16" max="16" width="13.140625" customWidth="1"/>
    <col min="31" max="31" width="14.7109375" customWidth="1"/>
  </cols>
  <sheetData>
    <row r="2" spans="2:20">
      <c r="B2" s="451" t="s">
        <v>267</v>
      </c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3"/>
    </row>
    <row r="3" spans="2:20">
      <c r="B3" s="158"/>
      <c r="C3" s="158"/>
      <c r="D3" s="159"/>
      <c r="E3" s="158"/>
      <c r="F3" s="158"/>
      <c r="G3" s="158"/>
      <c r="H3" s="158"/>
      <c r="I3" s="158"/>
      <c r="J3" s="158"/>
      <c r="K3" s="158"/>
      <c r="L3" s="158"/>
    </row>
    <row r="4" spans="2:20" ht="45">
      <c r="B4" s="158"/>
      <c r="C4" s="158"/>
      <c r="D4" s="159"/>
      <c r="E4" s="165" t="s">
        <v>0</v>
      </c>
      <c r="F4" s="165" t="s">
        <v>48</v>
      </c>
      <c r="G4" s="165" t="s">
        <v>3</v>
      </c>
      <c r="H4" s="165" t="s">
        <v>43</v>
      </c>
      <c r="I4" s="165" t="s">
        <v>1</v>
      </c>
      <c r="J4" s="165" t="s">
        <v>45</v>
      </c>
      <c r="K4" s="165" t="s">
        <v>44</v>
      </c>
      <c r="L4" s="165" t="s">
        <v>4</v>
      </c>
      <c r="M4" s="166" t="s">
        <v>17</v>
      </c>
      <c r="O4" s="322" t="s">
        <v>294</v>
      </c>
    </row>
    <row r="5" spans="2:20">
      <c r="B5" s="158"/>
      <c r="C5" s="158"/>
      <c r="D5"/>
      <c r="O5" s="323"/>
      <c r="Q5" s="16"/>
      <c r="R5" s="16"/>
      <c r="S5" s="16"/>
    </row>
    <row r="6" spans="2:20" ht="30">
      <c r="B6" s="158"/>
      <c r="C6" s="446" t="s">
        <v>101</v>
      </c>
      <c r="D6" s="446"/>
      <c r="E6" s="325">
        <v>261321</v>
      </c>
      <c r="F6" s="325">
        <v>76051</v>
      </c>
      <c r="G6" s="325">
        <v>247482</v>
      </c>
      <c r="H6" s="325">
        <v>224459</v>
      </c>
      <c r="I6" s="325">
        <v>72135</v>
      </c>
      <c r="J6" s="325">
        <v>138496</v>
      </c>
      <c r="K6" s="325">
        <v>73203</v>
      </c>
      <c r="L6" s="325">
        <v>31290</v>
      </c>
      <c r="M6" s="167">
        <f>SUM(E6:L6)</f>
        <v>1124437</v>
      </c>
      <c r="O6" s="324" t="s">
        <v>295</v>
      </c>
      <c r="Q6" s="16"/>
      <c r="R6" s="16"/>
      <c r="S6" s="16"/>
    </row>
    <row r="7" spans="2:20">
      <c r="B7" s="158"/>
      <c r="C7" s="158"/>
      <c r="D7"/>
      <c r="O7" s="324"/>
      <c r="Q7" s="16"/>
      <c r="R7" s="16"/>
      <c r="S7" s="16"/>
    </row>
    <row r="8" spans="2:20">
      <c r="C8" s="447" t="s">
        <v>92</v>
      </c>
      <c r="D8" s="448"/>
      <c r="E8" s="160">
        <v>0.1</v>
      </c>
      <c r="F8" s="160">
        <v>0</v>
      </c>
      <c r="G8" s="160">
        <v>0</v>
      </c>
      <c r="H8" s="160">
        <v>7.0000000000000007E-2</v>
      </c>
      <c r="I8" s="160">
        <v>0</v>
      </c>
      <c r="J8" s="160">
        <v>0.6</v>
      </c>
      <c r="K8" s="160">
        <v>0.06</v>
      </c>
      <c r="L8" s="160">
        <v>0.5</v>
      </c>
      <c r="M8" s="168">
        <f>SUMPRODUCT(E$6:L$6,E8:L8)/M$6</f>
        <v>0.12893475579334368</v>
      </c>
      <c r="N8" s="107"/>
      <c r="O8" s="449" t="s">
        <v>296</v>
      </c>
      <c r="Q8" s="16"/>
      <c r="R8" s="16"/>
      <c r="S8" s="16"/>
    </row>
    <row r="9" spans="2:20" ht="14.45" customHeight="1">
      <c r="C9" s="447" t="s">
        <v>94</v>
      </c>
      <c r="D9" s="448"/>
      <c r="E9" s="160">
        <v>0.1</v>
      </c>
      <c r="F9" s="160">
        <v>0</v>
      </c>
      <c r="G9" s="160">
        <v>0</v>
      </c>
      <c r="H9" s="160">
        <v>0.72</v>
      </c>
      <c r="I9" s="160">
        <v>0.1</v>
      </c>
      <c r="J9" s="160">
        <v>0.08</v>
      </c>
      <c r="K9" s="160">
        <v>0.85</v>
      </c>
      <c r="L9" s="160">
        <v>0</v>
      </c>
      <c r="M9" s="168">
        <f>SUMPRODUCT(E$6:L$6,E9:L9)/M$6</f>
        <v>0.23857122275414275</v>
      </c>
      <c r="N9" s="157"/>
      <c r="O9" s="449"/>
      <c r="Q9" s="16"/>
      <c r="S9" s="16"/>
    </row>
    <row r="10" spans="2:20" ht="14.45" customHeight="1">
      <c r="C10" s="447" t="s">
        <v>93</v>
      </c>
      <c r="D10" s="448"/>
      <c r="E10" s="160">
        <v>0.8</v>
      </c>
      <c r="F10" s="160">
        <v>1</v>
      </c>
      <c r="G10" s="160">
        <v>1</v>
      </c>
      <c r="H10" s="160">
        <v>0.21</v>
      </c>
      <c r="I10" s="160">
        <v>0.9</v>
      </c>
      <c r="J10" s="160">
        <v>0.32</v>
      </c>
      <c r="K10" s="160">
        <v>0.09</v>
      </c>
      <c r="L10" s="160">
        <v>0.5</v>
      </c>
      <c r="M10" s="168">
        <f>SUMPRODUCT(E$6:L$6,E10:L10)/M$6</f>
        <v>0.63249402145251366</v>
      </c>
      <c r="O10" s="449"/>
      <c r="Q10" s="437" t="s">
        <v>219</v>
      </c>
      <c r="R10" s="437"/>
      <c r="S10" s="437"/>
      <c r="T10" s="437"/>
    </row>
    <row r="11" spans="2:20" ht="14.45" customHeight="1">
      <c r="C11" s="158"/>
      <c r="D11" s="161"/>
      <c r="E11" s="162"/>
      <c r="F11" s="162"/>
      <c r="G11" s="162"/>
      <c r="H11" s="162"/>
      <c r="I11" s="162"/>
      <c r="J11" s="162"/>
      <c r="K11" s="162"/>
      <c r="L11" s="162"/>
      <c r="M11" s="170"/>
      <c r="O11" s="324"/>
      <c r="Q11" s="438"/>
      <c r="R11" s="438"/>
      <c r="S11" s="438"/>
      <c r="T11" s="438"/>
    </row>
    <row r="12" spans="2:20" ht="28.5" customHeight="1">
      <c r="C12" s="440" t="s">
        <v>112</v>
      </c>
      <c r="D12" s="441"/>
      <c r="E12" s="160">
        <v>0.76</v>
      </c>
      <c r="F12" s="160">
        <v>0.61</v>
      </c>
      <c r="G12" s="160">
        <v>0.74</v>
      </c>
      <c r="H12" s="160">
        <v>0.92</v>
      </c>
      <c r="I12" s="160">
        <v>0.85</v>
      </c>
      <c r="J12" s="160">
        <v>0.83</v>
      </c>
      <c r="K12" s="160">
        <v>0.77</v>
      </c>
      <c r="L12" s="160">
        <v>0.86</v>
      </c>
      <c r="M12" s="168">
        <f>SUMPRODUCT(E$6:L$6,E12:L12)/M$6</f>
        <v>0.79522122626701186</v>
      </c>
      <c r="O12" s="324" t="s">
        <v>297</v>
      </c>
      <c r="Q12" s="280" t="s">
        <v>220</v>
      </c>
      <c r="R12" s="289" t="s">
        <v>8</v>
      </c>
      <c r="S12" s="289" t="s">
        <v>9</v>
      </c>
      <c r="T12" s="289" t="s">
        <v>10</v>
      </c>
    </row>
    <row r="13" spans="2:20" ht="28.5" customHeight="1">
      <c r="C13" s="440" t="s">
        <v>113</v>
      </c>
      <c r="D13" s="441"/>
      <c r="E13" s="160">
        <f>MIN(100%, E12+0.175)</f>
        <v>0.93500000000000005</v>
      </c>
      <c r="F13" s="160">
        <f t="shared" ref="F13:L13" si="0">MIN(100%, F12+0.175)</f>
        <v>0.78499999999999992</v>
      </c>
      <c r="G13" s="160">
        <f t="shared" si="0"/>
        <v>0.91500000000000004</v>
      </c>
      <c r="H13" s="160">
        <f t="shared" si="0"/>
        <v>1</v>
      </c>
      <c r="I13" s="160">
        <v>0.9</v>
      </c>
      <c r="J13" s="160">
        <f t="shared" si="0"/>
        <v>1</v>
      </c>
      <c r="K13" s="160">
        <f t="shared" si="0"/>
        <v>0.94500000000000006</v>
      </c>
      <c r="L13" s="160">
        <f t="shared" si="0"/>
        <v>1</v>
      </c>
      <c r="M13" s="168">
        <f t="shared" ref="M13" si="1">SUMPRODUCT(E$6:L$6,E13:L13)/M$6</f>
        <v>0.94164860725856581</v>
      </c>
      <c r="O13" s="74" t="s">
        <v>298</v>
      </c>
      <c r="Q13" s="105"/>
      <c r="R13" s="93"/>
      <c r="S13" s="93"/>
      <c r="T13" s="93"/>
    </row>
    <row r="14" spans="2:20">
      <c r="B14" s="158"/>
      <c r="C14" s="161"/>
      <c r="D14" s="161"/>
      <c r="E14" s="158"/>
      <c r="F14" s="158"/>
      <c r="G14" s="158"/>
      <c r="H14" s="158"/>
      <c r="I14" s="158"/>
      <c r="J14" s="158"/>
      <c r="K14" s="158"/>
      <c r="L14" s="158"/>
      <c r="O14" s="324"/>
      <c r="Q14" s="93" t="s">
        <v>0</v>
      </c>
      <c r="R14" s="102">
        <v>0.65</v>
      </c>
      <c r="S14" s="102">
        <v>0.65</v>
      </c>
      <c r="T14" s="102">
        <v>0.55000000000000004</v>
      </c>
    </row>
    <row r="15" spans="2:20" ht="14.45" customHeight="1">
      <c r="B15" s="454" t="s">
        <v>18</v>
      </c>
      <c r="C15" s="455" t="s">
        <v>218</v>
      </c>
      <c r="D15" s="314" t="s">
        <v>95</v>
      </c>
      <c r="E15" s="163">
        <v>0.6</v>
      </c>
      <c r="F15" s="163">
        <v>0.6</v>
      </c>
      <c r="G15" s="163">
        <v>0.6</v>
      </c>
      <c r="H15" s="163">
        <v>0.6</v>
      </c>
      <c r="I15" s="163">
        <v>0.6</v>
      </c>
      <c r="J15" s="163">
        <v>0.6</v>
      </c>
      <c r="K15" s="163">
        <v>0.6</v>
      </c>
      <c r="L15" s="163">
        <v>0.6</v>
      </c>
      <c r="M15" s="171">
        <f>SUMPRODUCT(E$6:L$6,E15:L15)/M$6</f>
        <v>0.60000000000000009</v>
      </c>
      <c r="O15" s="450" t="s">
        <v>299</v>
      </c>
      <c r="Q15" s="93" t="s">
        <v>11</v>
      </c>
      <c r="R15" s="102">
        <v>0.66</v>
      </c>
      <c r="S15" s="102">
        <v>0.66</v>
      </c>
      <c r="T15" s="102">
        <v>0.55000000000000004</v>
      </c>
    </row>
    <row r="16" spans="2:20">
      <c r="B16" s="454"/>
      <c r="C16" s="455"/>
      <c r="D16" s="314" t="s">
        <v>97</v>
      </c>
      <c r="E16" s="163">
        <v>0.5</v>
      </c>
      <c r="F16" s="163">
        <v>0.5</v>
      </c>
      <c r="G16" s="163">
        <v>0.5</v>
      </c>
      <c r="H16" s="163">
        <v>0.5</v>
      </c>
      <c r="I16" s="163">
        <v>0.5</v>
      </c>
      <c r="J16" s="163">
        <v>0.5</v>
      </c>
      <c r="K16" s="163">
        <v>0.5</v>
      </c>
      <c r="L16" s="163">
        <v>0.5</v>
      </c>
      <c r="M16" s="171">
        <f>SUMPRODUCT(E$6:L$6,E16:L16)/M$6</f>
        <v>0.5</v>
      </c>
      <c r="O16" s="450"/>
      <c r="Q16" s="93" t="s">
        <v>3</v>
      </c>
      <c r="R16" s="102">
        <v>0.52</v>
      </c>
      <c r="S16" s="102">
        <v>0.52</v>
      </c>
      <c r="T16" s="102">
        <v>0.42</v>
      </c>
    </row>
    <row r="17" spans="1:31" ht="27" customHeight="1">
      <c r="B17" s="454"/>
      <c r="C17" s="455"/>
      <c r="D17" s="314" t="s">
        <v>96</v>
      </c>
      <c r="E17" s="163">
        <v>0.45</v>
      </c>
      <c r="F17" s="163">
        <v>0.45</v>
      </c>
      <c r="G17" s="163">
        <v>0.45</v>
      </c>
      <c r="H17" s="163">
        <v>0.45</v>
      </c>
      <c r="I17" s="163">
        <v>0.45</v>
      </c>
      <c r="J17" s="163">
        <v>0.45</v>
      </c>
      <c r="K17" s="163">
        <v>0.45</v>
      </c>
      <c r="L17" s="163">
        <v>0.45</v>
      </c>
      <c r="M17" s="171">
        <f t="shared" ref="M17" si="2">SUMPRODUCT(E$6:L$6,E17:L17)/M$6</f>
        <v>0.44999999999999996</v>
      </c>
      <c r="O17" s="450"/>
      <c r="Q17" s="93" t="s">
        <v>12</v>
      </c>
      <c r="R17" s="102">
        <v>0.85</v>
      </c>
      <c r="S17" s="102">
        <v>0.85</v>
      </c>
      <c r="T17" s="102">
        <v>0.75</v>
      </c>
    </row>
    <row r="18" spans="1:31">
      <c r="B18" s="158"/>
      <c r="C18" s="256"/>
      <c r="D18" s="161"/>
      <c r="E18" s="158"/>
      <c r="F18" s="158"/>
      <c r="G18" s="158"/>
      <c r="H18" s="158"/>
      <c r="I18" s="158"/>
      <c r="J18" s="158"/>
      <c r="K18" s="158"/>
      <c r="L18" s="158"/>
      <c r="O18" s="74"/>
      <c r="Q18" s="93" t="s">
        <v>1</v>
      </c>
      <c r="R18" s="102">
        <v>0.78</v>
      </c>
      <c r="S18" s="102">
        <v>0.78</v>
      </c>
      <c r="T18" s="102">
        <v>0.68</v>
      </c>
    </row>
    <row r="19" spans="1:31">
      <c r="B19" s="456" t="s">
        <v>19</v>
      </c>
      <c r="C19" s="455" t="s">
        <v>218</v>
      </c>
      <c r="D19" s="314" t="s">
        <v>95</v>
      </c>
      <c r="E19" s="163">
        <v>1</v>
      </c>
      <c r="F19" s="163">
        <v>1</v>
      </c>
      <c r="G19" s="163">
        <v>1</v>
      </c>
      <c r="H19" s="163">
        <v>1</v>
      </c>
      <c r="I19" s="163">
        <v>1</v>
      </c>
      <c r="J19" s="163">
        <v>1</v>
      </c>
      <c r="K19" s="163">
        <v>1</v>
      </c>
      <c r="L19" s="163">
        <v>1</v>
      </c>
      <c r="M19" s="171">
        <f>SUMPRODUCT(E$6:L$6,E19:L19)/M$6</f>
        <v>1</v>
      </c>
      <c r="O19" s="74"/>
      <c r="Q19" s="93" t="s">
        <v>2</v>
      </c>
      <c r="R19" s="102">
        <v>0.99</v>
      </c>
      <c r="S19" s="102">
        <v>0.99</v>
      </c>
      <c r="T19" s="102">
        <v>0.89</v>
      </c>
    </row>
    <row r="20" spans="1:31">
      <c r="B20" s="456"/>
      <c r="C20" s="455"/>
      <c r="D20" s="314" t="s">
        <v>97</v>
      </c>
      <c r="E20" s="163">
        <v>0.95</v>
      </c>
      <c r="F20" s="163">
        <v>0.95</v>
      </c>
      <c r="G20" s="163">
        <v>0.95</v>
      </c>
      <c r="H20" s="163">
        <v>0.95</v>
      </c>
      <c r="I20" s="163">
        <v>0.95</v>
      </c>
      <c r="J20" s="163">
        <v>0.95</v>
      </c>
      <c r="K20" s="163">
        <v>0.95</v>
      </c>
      <c r="L20" s="163">
        <v>0.95</v>
      </c>
      <c r="M20" s="171">
        <f t="shared" ref="M20:M21" si="3">SUMPRODUCT(E$6:L$6,E20:L20)/M$6</f>
        <v>0.95</v>
      </c>
      <c r="O20" s="74"/>
      <c r="Q20" s="93" t="s">
        <v>13</v>
      </c>
      <c r="R20" s="102">
        <v>0.59</v>
      </c>
      <c r="S20" s="102">
        <v>0.59</v>
      </c>
      <c r="T20" s="102">
        <v>0.49</v>
      </c>
    </row>
    <row r="21" spans="1:31" ht="33.950000000000003" customHeight="1">
      <c r="B21" s="456"/>
      <c r="C21" s="455"/>
      <c r="D21" s="314" t="s">
        <v>96</v>
      </c>
      <c r="E21" s="163">
        <v>0.9</v>
      </c>
      <c r="F21" s="163">
        <v>0.9</v>
      </c>
      <c r="G21" s="163">
        <v>0.9</v>
      </c>
      <c r="H21" s="163">
        <v>0.9</v>
      </c>
      <c r="I21" s="163">
        <v>0.9</v>
      </c>
      <c r="J21" s="163">
        <v>0.9</v>
      </c>
      <c r="K21" s="163">
        <v>0.9</v>
      </c>
      <c r="L21" s="163">
        <v>0.9</v>
      </c>
      <c r="M21" s="171">
        <f t="shared" si="3"/>
        <v>0.89999999999999991</v>
      </c>
      <c r="O21" s="74"/>
      <c r="Q21" s="93" t="s">
        <v>4</v>
      </c>
      <c r="R21" s="102">
        <v>0.78</v>
      </c>
      <c r="S21" s="102">
        <v>0.57999999999999996</v>
      </c>
      <c r="T21" s="102">
        <v>0.57999999999999996</v>
      </c>
    </row>
    <row r="22" spans="1:31">
      <c r="B22" s="158"/>
      <c r="C22" s="257"/>
      <c r="D22" s="159"/>
      <c r="E22" s="158"/>
      <c r="F22" s="158"/>
      <c r="G22" s="158"/>
      <c r="H22" s="158"/>
      <c r="I22" s="158"/>
      <c r="J22" s="158"/>
      <c r="K22" s="158"/>
      <c r="L22" s="158"/>
      <c r="O22" s="74"/>
      <c r="Q22" s="105" t="s">
        <v>14</v>
      </c>
      <c r="R22" s="106">
        <v>0.70855330401002814</v>
      </c>
      <c r="S22" s="106">
        <v>0.71522962558045855</v>
      </c>
      <c r="T22" s="106">
        <v>0.61947513903282436</v>
      </c>
    </row>
    <row r="23" spans="1:31" ht="15.75" thickBot="1">
      <c r="B23" s="158"/>
      <c r="C23" s="257"/>
      <c r="D23" s="159"/>
      <c r="E23" s="158"/>
      <c r="F23" s="158"/>
      <c r="G23" s="158"/>
      <c r="H23" s="158"/>
      <c r="I23" s="158"/>
      <c r="J23" s="158"/>
      <c r="K23" s="158"/>
      <c r="L23" s="158"/>
      <c r="O23" s="74"/>
    </row>
    <row r="24" spans="1:31" ht="14.45" customHeight="1">
      <c r="B24" s="128" t="s">
        <v>18</v>
      </c>
      <c r="C24" s="439" t="s">
        <v>223</v>
      </c>
      <c r="D24" s="164" t="s">
        <v>17</v>
      </c>
      <c r="E24" s="163">
        <f>E8*E15+E9*E16+E10*E17</f>
        <v>0.47000000000000003</v>
      </c>
      <c r="F24" s="163">
        <f>F8*F15+F9*F16+F10*F17</f>
        <v>0.45</v>
      </c>
      <c r="G24" s="163">
        <f t="shared" ref="G24:L24" si="4">G8*G15+G9*G16+G10*G17</f>
        <v>0.45</v>
      </c>
      <c r="H24" s="163">
        <f t="shared" si="4"/>
        <v>0.49649999999999994</v>
      </c>
      <c r="I24" s="163">
        <f t="shared" ref="I24" si="5">I8*I15+I9*I16+I10*I17</f>
        <v>0.45500000000000002</v>
      </c>
      <c r="J24" s="163">
        <f t="shared" si="4"/>
        <v>0.54400000000000004</v>
      </c>
      <c r="K24" s="163">
        <f t="shared" si="4"/>
        <v>0.50149999999999995</v>
      </c>
      <c r="L24" s="173">
        <f t="shared" si="4"/>
        <v>0.52500000000000002</v>
      </c>
      <c r="M24" s="174">
        <f t="shared" ref="M24:M25" si="6">SUMPRODUCT(E$6:L$6,E24:L24)/M$6</f>
        <v>0.48126877450670869</v>
      </c>
      <c r="O24" s="74"/>
    </row>
    <row r="25" spans="1:31" ht="43.5" customHeight="1" thickBot="1">
      <c r="B25" s="128" t="s">
        <v>19</v>
      </c>
      <c r="C25" s="439"/>
      <c r="D25" s="164" t="s">
        <v>17</v>
      </c>
      <c r="E25" s="163">
        <f>E8*E19+E9*E20+E10*E21</f>
        <v>0.91500000000000004</v>
      </c>
      <c r="F25" s="163">
        <f t="shared" ref="F25:L25" si="7">F8*F19+F9*F20+F10*F21</f>
        <v>0.9</v>
      </c>
      <c r="G25" s="163">
        <f t="shared" si="7"/>
        <v>0.9</v>
      </c>
      <c r="H25" s="163">
        <f t="shared" si="7"/>
        <v>0.94300000000000006</v>
      </c>
      <c r="I25" s="163">
        <f t="shared" ref="I25" si="8">I8*I19+I9*I20+I10*I21</f>
        <v>0.90500000000000003</v>
      </c>
      <c r="J25" s="163">
        <f t="shared" si="7"/>
        <v>0.96399999999999997</v>
      </c>
      <c r="K25" s="163">
        <f t="shared" si="7"/>
        <v>0.9484999999999999</v>
      </c>
      <c r="L25" s="173">
        <f t="shared" si="7"/>
        <v>0.95</v>
      </c>
      <c r="M25" s="175">
        <f t="shared" si="6"/>
        <v>0.92482203671704166</v>
      </c>
      <c r="O25" s="74"/>
    </row>
    <row r="26" spans="1:31" ht="15.75" thickBot="1">
      <c r="C26" s="258"/>
      <c r="L26" s="156"/>
      <c r="M26" s="172"/>
      <c r="N26" s="156"/>
      <c r="O26" s="74"/>
      <c r="S26" s="156"/>
      <c r="T26" s="156"/>
      <c r="U26" s="156"/>
    </row>
    <row r="27" spans="1:31">
      <c r="B27" s="128" t="s">
        <v>18</v>
      </c>
      <c r="C27" s="439" t="s">
        <v>219</v>
      </c>
      <c r="D27" s="164" t="s">
        <v>17</v>
      </c>
      <c r="E27" s="163">
        <f>E12*E24</f>
        <v>0.35720000000000002</v>
      </c>
      <c r="F27" s="163">
        <f t="shared" ref="F27:K27" si="9">F12*F24</f>
        <v>0.27450000000000002</v>
      </c>
      <c r="G27" s="163">
        <f t="shared" si="9"/>
        <v>0.33300000000000002</v>
      </c>
      <c r="H27" s="163">
        <f t="shared" si="9"/>
        <v>0.45677999999999996</v>
      </c>
      <c r="I27" s="163">
        <f t="shared" ref="I27" si="10">I12*I24</f>
        <v>0.38674999999999998</v>
      </c>
      <c r="J27" s="163">
        <f t="shared" si="9"/>
        <v>0.45152000000000003</v>
      </c>
      <c r="K27" s="163">
        <f t="shared" si="9"/>
        <v>0.38615499999999997</v>
      </c>
      <c r="L27" s="173">
        <f>L12*L24</f>
        <v>0.45150000000000001</v>
      </c>
      <c r="M27" s="174">
        <f t="shared" ref="M27:M28" si="11">SUMPRODUCT(E$6:L$6,E27:L27)/M$6</f>
        <v>0.38418053955446152</v>
      </c>
      <c r="O27" s="74"/>
      <c r="S27" s="156"/>
      <c r="T27" s="156"/>
      <c r="U27" s="156"/>
    </row>
    <row r="28" spans="1:31" ht="45" customHeight="1" thickBot="1">
      <c r="B28" s="128" t="s">
        <v>19</v>
      </c>
      <c r="C28" s="439"/>
      <c r="D28" s="164" t="s">
        <v>17</v>
      </c>
      <c r="E28" s="163">
        <f>E13*E25</f>
        <v>0.85552500000000009</v>
      </c>
      <c r="F28" s="163">
        <f t="shared" ref="F28:L28" si="12">F13*F25</f>
        <v>0.70649999999999991</v>
      </c>
      <c r="G28" s="163">
        <f t="shared" si="12"/>
        <v>0.82350000000000001</v>
      </c>
      <c r="H28" s="163">
        <f t="shared" si="12"/>
        <v>0.94300000000000006</v>
      </c>
      <c r="I28" s="163">
        <f t="shared" ref="I28" si="13">I13*I25</f>
        <v>0.8145</v>
      </c>
      <c r="J28" s="163">
        <f t="shared" si="12"/>
        <v>0.96399999999999997</v>
      </c>
      <c r="K28" s="163">
        <f t="shared" si="12"/>
        <v>0.89633249999999998</v>
      </c>
      <c r="L28" s="163">
        <f t="shared" si="12"/>
        <v>0.95</v>
      </c>
      <c r="M28" s="175">
        <f t="shared" si="11"/>
        <v>0.87187345624743762</v>
      </c>
      <c r="O28" s="74"/>
    </row>
    <row r="29" spans="1:31">
      <c r="S29" s="156"/>
      <c r="T29" s="156"/>
      <c r="U29" s="156"/>
    </row>
    <row r="31" spans="1:31" ht="14.45" customHeight="1">
      <c r="B31" s="451" t="s">
        <v>274</v>
      </c>
      <c r="C31" s="452"/>
      <c r="D31" s="452"/>
      <c r="E31" s="452"/>
      <c r="F31" s="452"/>
      <c r="G31" s="452"/>
      <c r="H31" s="452"/>
      <c r="I31" s="452"/>
      <c r="J31" s="452"/>
      <c r="K31" s="452"/>
      <c r="L31" s="452"/>
      <c r="M31" s="453"/>
    </row>
    <row r="32" spans="1:31" ht="36.75" thickBot="1">
      <c r="A32" s="326">
        <v>2030</v>
      </c>
      <c r="P32" s="326">
        <v>2040</v>
      </c>
      <c r="AE32" s="326">
        <v>2050</v>
      </c>
    </row>
    <row r="33" spans="1:43" ht="60.6" customHeight="1" thickBot="1">
      <c r="B33" s="442" t="s">
        <v>396</v>
      </c>
      <c r="C33" s="442"/>
      <c r="D33" s="442"/>
      <c r="E33" s="380" t="s">
        <v>268</v>
      </c>
      <c r="F33" s="380" t="s">
        <v>272</v>
      </c>
      <c r="G33" s="443" t="s">
        <v>271</v>
      </c>
      <c r="H33" s="444"/>
      <c r="I33" s="444"/>
      <c r="J33" s="444"/>
      <c r="K33" s="444"/>
      <c r="L33" s="444"/>
      <c r="M33" s="445"/>
      <c r="P33" s="385">
        <v>0.5</v>
      </c>
      <c r="Q33" s="156"/>
      <c r="R33" s="156"/>
      <c r="AE33" s="386">
        <v>0.6</v>
      </c>
    </row>
    <row r="34" spans="1:43" ht="51.75" customHeight="1">
      <c r="A34" s="420" t="s">
        <v>304</v>
      </c>
      <c r="B34" s="423" t="s">
        <v>273</v>
      </c>
      <c r="C34" s="423"/>
      <c r="D34" s="423"/>
      <c r="E34" s="383">
        <v>0.5</v>
      </c>
      <c r="F34" s="383">
        <v>0.2</v>
      </c>
      <c r="G34" s="424" t="s">
        <v>305</v>
      </c>
      <c r="H34" s="425"/>
      <c r="I34" s="425"/>
      <c r="J34" s="425"/>
      <c r="K34" s="425"/>
      <c r="L34" s="425"/>
      <c r="M34" s="426"/>
      <c r="P34" s="156"/>
      <c r="Q34" s="156"/>
      <c r="R34" s="156"/>
    </row>
    <row r="35" spans="1:43" ht="45" customHeight="1">
      <c r="A35" s="421"/>
      <c r="B35" s="427" t="s">
        <v>269</v>
      </c>
      <c r="C35" s="427"/>
      <c r="D35" s="427"/>
      <c r="E35" s="163">
        <v>0.25</v>
      </c>
      <c r="F35" s="163">
        <v>0.33</v>
      </c>
      <c r="G35" s="428" t="s">
        <v>307</v>
      </c>
      <c r="H35" s="429"/>
      <c r="I35" s="429"/>
      <c r="J35" s="429"/>
      <c r="K35" s="429"/>
      <c r="L35" s="429"/>
      <c r="M35" s="430"/>
      <c r="P35" s="156"/>
      <c r="Q35" s="156"/>
      <c r="R35" s="156"/>
    </row>
    <row r="36" spans="1:43" ht="15.75" thickBot="1">
      <c r="A36" s="421"/>
      <c r="B36" s="427" t="s">
        <v>270</v>
      </c>
      <c r="C36" s="427"/>
      <c r="D36" s="427"/>
      <c r="E36" s="163">
        <v>0.25</v>
      </c>
      <c r="F36" s="286">
        <v>0.45</v>
      </c>
      <c r="G36" s="431" t="s">
        <v>308</v>
      </c>
      <c r="H36" s="431"/>
      <c r="I36" s="431"/>
      <c r="J36" s="431"/>
      <c r="K36" s="431"/>
      <c r="L36" s="431"/>
      <c r="M36" s="432"/>
      <c r="P36" s="156"/>
      <c r="Q36" s="156"/>
      <c r="R36" s="156"/>
    </row>
    <row r="37" spans="1:43" ht="15.75" thickBot="1">
      <c r="A37" s="422"/>
      <c r="B37" s="433" t="s">
        <v>17</v>
      </c>
      <c r="C37" s="433"/>
      <c r="D37" s="433"/>
      <c r="E37" s="384">
        <f>SUM(E34:E36)</f>
        <v>1</v>
      </c>
      <c r="F37" s="287" cm="1">
        <f t="array" ref="F37">MMULT(TRANSPOSE(E34:E36),F34:F36)</f>
        <v>0.29499999999999998</v>
      </c>
      <c r="G37" s="434" t="s">
        <v>309</v>
      </c>
      <c r="H37" s="435"/>
      <c r="I37" s="435"/>
      <c r="J37" s="435"/>
      <c r="K37" s="435"/>
      <c r="L37" s="435"/>
      <c r="M37" s="436"/>
      <c r="P37" s="156"/>
      <c r="Q37" s="156"/>
      <c r="R37" s="156"/>
    </row>
    <row r="38" spans="1:43" ht="56.25" customHeight="1">
      <c r="A38" s="420" t="s">
        <v>312</v>
      </c>
      <c r="B38" s="423" t="s">
        <v>273</v>
      </c>
      <c r="C38" s="423"/>
      <c r="D38" s="423"/>
      <c r="E38" s="383">
        <v>0.25</v>
      </c>
      <c r="F38" s="383">
        <v>0.2</v>
      </c>
      <c r="G38" s="424" t="s">
        <v>305</v>
      </c>
      <c r="H38" s="425"/>
      <c r="I38" s="425"/>
      <c r="J38" s="425"/>
      <c r="K38" s="425"/>
      <c r="L38" s="425"/>
      <c r="M38" s="426"/>
      <c r="P38" s="156"/>
      <c r="Q38" s="156"/>
      <c r="R38" s="156"/>
    </row>
    <row r="39" spans="1:43" ht="50.25" customHeight="1">
      <c r="A39" s="421"/>
      <c r="B39" s="427" t="s">
        <v>269</v>
      </c>
      <c r="C39" s="427"/>
      <c r="D39" s="427"/>
      <c r="E39" s="163">
        <v>0.25</v>
      </c>
      <c r="F39" s="163">
        <v>0.33</v>
      </c>
      <c r="G39" s="428" t="s">
        <v>307</v>
      </c>
      <c r="H39" s="429"/>
      <c r="I39" s="429"/>
      <c r="J39" s="429"/>
      <c r="K39" s="429"/>
      <c r="L39" s="429"/>
      <c r="M39" s="430"/>
      <c r="P39" s="156"/>
      <c r="Q39" s="156"/>
      <c r="R39" s="156"/>
    </row>
    <row r="40" spans="1:43" ht="15.75" thickBot="1">
      <c r="A40" s="421"/>
      <c r="B40" s="427" t="s">
        <v>270</v>
      </c>
      <c r="C40" s="427"/>
      <c r="D40" s="427"/>
      <c r="E40" s="163">
        <v>0.5</v>
      </c>
      <c r="F40" s="286">
        <v>0.45</v>
      </c>
      <c r="G40" s="431" t="s">
        <v>308</v>
      </c>
      <c r="H40" s="431"/>
      <c r="I40" s="431"/>
      <c r="J40" s="431"/>
      <c r="K40" s="431"/>
      <c r="L40" s="431"/>
      <c r="M40" s="432"/>
      <c r="P40" s="156"/>
      <c r="Q40" s="156"/>
      <c r="R40" s="156"/>
    </row>
    <row r="41" spans="1:43" ht="15.75" thickBot="1">
      <c r="A41" s="422"/>
      <c r="B41" s="433" t="s">
        <v>17</v>
      </c>
      <c r="C41" s="433"/>
      <c r="D41" s="433"/>
      <c r="E41" s="384">
        <f>SUM(E38:E40)</f>
        <v>1</v>
      </c>
      <c r="F41" s="287" cm="1">
        <f t="array" ref="F41">MMULT(TRANSPOSE(E38:E40),F38:F40)</f>
        <v>0.35750000000000004</v>
      </c>
      <c r="G41" s="434" t="s">
        <v>313</v>
      </c>
      <c r="H41" s="435"/>
      <c r="I41" s="435"/>
      <c r="J41" s="435"/>
      <c r="K41" s="435"/>
      <c r="L41" s="435"/>
      <c r="M41" s="436"/>
      <c r="P41" s="156"/>
      <c r="Q41" s="156"/>
      <c r="R41" s="156"/>
    </row>
    <row r="42" spans="1:43">
      <c r="D42"/>
      <c r="M42"/>
      <c r="P42" s="156"/>
      <c r="Q42" s="156"/>
      <c r="R42" s="156"/>
    </row>
    <row r="43" spans="1:43">
      <c r="O43" s="282"/>
      <c r="P43" s="156"/>
      <c r="Q43" s="156"/>
      <c r="R43" s="156"/>
    </row>
    <row r="44" spans="1:43">
      <c r="B44" s="457" t="s">
        <v>275</v>
      </c>
      <c r="C44" s="457"/>
      <c r="D44" s="457"/>
      <c r="E44" s="457"/>
      <c r="F44" s="457"/>
      <c r="G44" s="457"/>
      <c r="H44" s="457"/>
      <c r="I44" s="457"/>
      <c r="J44" s="457"/>
      <c r="K44" s="457"/>
      <c r="L44" s="457"/>
      <c r="M44" s="457"/>
      <c r="P44" s="156"/>
      <c r="Q44" s="156"/>
      <c r="R44" s="156"/>
    </row>
    <row r="45" spans="1:43">
      <c r="B45" s="458" t="s">
        <v>276</v>
      </c>
      <c r="C45" s="458"/>
      <c r="D45" s="458"/>
      <c r="E45" s="458"/>
      <c r="F45" s="458"/>
      <c r="G45" s="458"/>
      <c r="H45" s="458"/>
      <c r="I45" s="458"/>
      <c r="J45" s="458"/>
      <c r="K45" s="458"/>
      <c r="L45" s="458"/>
      <c r="M45" s="458"/>
      <c r="P45" s="156"/>
      <c r="Q45" s="156"/>
      <c r="R45" s="156"/>
    </row>
    <row r="46" spans="1:43">
      <c r="C46" s="156"/>
      <c r="D46" s="156"/>
      <c r="M46"/>
      <c r="P46" s="156"/>
      <c r="Q46" s="156"/>
      <c r="R46" s="156"/>
    </row>
    <row r="47" spans="1:43" ht="36">
      <c r="A47" s="326">
        <v>2030</v>
      </c>
      <c r="D47" s="156"/>
      <c r="M47"/>
      <c r="P47" s="326">
        <v>2040</v>
      </c>
      <c r="R47" s="156"/>
      <c r="AE47" s="326">
        <v>2050</v>
      </c>
    </row>
    <row r="48" spans="1:43" ht="105.75" thickBot="1">
      <c r="B48" s="442" t="s">
        <v>300</v>
      </c>
      <c r="C48" s="442"/>
      <c r="D48" s="442"/>
      <c r="E48" s="380" t="s">
        <v>268</v>
      </c>
      <c r="F48" s="380" t="s">
        <v>301</v>
      </c>
      <c r="G48" s="443" t="s">
        <v>271</v>
      </c>
      <c r="H48" s="444"/>
      <c r="I48" s="444"/>
      <c r="J48" s="444"/>
      <c r="K48" s="444"/>
      <c r="L48" s="444"/>
      <c r="M48" s="445"/>
      <c r="Q48" s="456" t="s">
        <v>300</v>
      </c>
      <c r="R48" s="456"/>
      <c r="S48" s="456"/>
      <c r="T48" s="285" t="s">
        <v>268</v>
      </c>
      <c r="U48" s="285" t="s">
        <v>302</v>
      </c>
      <c r="V48" s="459" t="s">
        <v>271</v>
      </c>
      <c r="W48" s="460"/>
      <c r="X48" s="460"/>
      <c r="Y48" s="460"/>
      <c r="Z48" s="460"/>
      <c r="AA48" s="460"/>
      <c r="AB48" s="461"/>
      <c r="AF48" s="456" t="s">
        <v>300</v>
      </c>
      <c r="AG48" s="456"/>
      <c r="AH48" s="456"/>
      <c r="AI48" s="285" t="s">
        <v>268</v>
      </c>
      <c r="AJ48" s="285" t="s">
        <v>303</v>
      </c>
      <c r="AK48" s="459" t="s">
        <v>271</v>
      </c>
      <c r="AL48" s="460"/>
      <c r="AM48" s="460"/>
      <c r="AN48" s="460"/>
      <c r="AO48" s="460"/>
      <c r="AP48" s="460"/>
      <c r="AQ48" s="461"/>
    </row>
    <row r="49" spans="1:43" ht="55.5" customHeight="1">
      <c r="A49" s="420" t="s">
        <v>304</v>
      </c>
      <c r="B49" s="462" t="s">
        <v>273</v>
      </c>
      <c r="C49" s="462"/>
      <c r="D49" s="462"/>
      <c r="E49" s="383">
        <v>0.5</v>
      </c>
      <c r="F49" s="383">
        <v>0.2</v>
      </c>
      <c r="G49" s="424" t="s">
        <v>305</v>
      </c>
      <c r="H49" s="425"/>
      <c r="I49" s="425"/>
      <c r="J49" s="425"/>
      <c r="K49" s="425"/>
      <c r="L49" s="425"/>
      <c r="M49" s="426"/>
      <c r="P49" s="463" t="s">
        <v>304</v>
      </c>
      <c r="Q49" s="466" t="s">
        <v>273</v>
      </c>
      <c r="R49" s="466"/>
      <c r="S49" s="466"/>
      <c r="T49" s="163">
        <v>0.25</v>
      </c>
      <c r="U49" s="163">
        <v>0.3</v>
      </c>
      <c r="V49" s="428" t="s">
        <v>306</v>
      </c>
      <c r="W49" s="429"/>
      <c r="X49" s="429"/>
      <c r="Y49" s="429"/>
      <c r="Z49" s="429"/>
      <c r="AA49" s="429"/>
      <c r="AB49" s="467"/>
      <c r="AE49" s="463" t="s">
        <v>304</v>
      </c>
      <c r="AF49" s="466" t="s">
        <v>273</v>
      </c>
      <c r="AG49" s="466"/>
      <c r="AH49" s="466"/>
      <c r="AI49" s="163">
        <v>0.25</v>
      </c>
      <c r="AJ49" s="163">
        <v>0.4</v>
      </c>
      <c r="AK49" s="428" t="s">
        <v>306</v>
      </c>
      <c r="AL49" s="429"/>
      <c r="AM49" s="429"/>
      <c r="AN49" s="429"/>
      <c r="AO49" s="429"/>
      <c r="AP49" s="429"/>
      <c r="AQ49" s="467"/>
    </row>
    <row r="50" spans="1:43" ht="49.5" customHeight="1">
      <c r="A50" s="421"/>
      <c r="B50" s="466" t="s">
        <v>269</v>
      </c>
      <c r="C50" s="466"/>
      <c r="D50" s="466"/>
      <c r="E50" s="163">
        <v>0.25</v>
      </c>
      <c r="F50" s="163">
        <v>0.3</v>
      </c>
      <c r="G50" s="428" t="s">
        <v>307</v>
      </c>
      <c r="H50" s="429"/>
      <c r="I50" s="429"/>
      <c r="J50" s="429"/>
      <c r="K50" s="429"/>
      <c r="L50" s="429"/>
      <c r="M50" s="430"/>
      <c r="P50" s="464"/>
      <c r="Q50" s="466" t="s">
        <v>269</v>
      </c>
      <c r="R50" s="466"/>
      <c r="S50" s="466"/>
      <c r="T50" s="163">
        <v>0.25</v>
      </c>
      <c r="U50" s="163">
        <v>0.4</v>
      </c>
      <c r="V50" s="428"/>
      <c r="W50" s="429"/>
      <c r="X50" s="429"/>
      <c r="Y50" s="429"/>
      <c r="Z50" s="429"/>
      <c r="AA50" s="429"/>
      <c r="AB50" s="467"/>
      <c r="AE50" s="464"/>
      <c r="AF50" s="466" t="s">
        <v>269</v>
      </c>
      <c r="AG50" s="466"/>
      <c r="AH50" s="466"/>
      <c r="AI50" s="163">
        <v>0.25</v>
      </c>
      <c r="AJ50" s="163">
        <v>0.5</v>
      </c>
      <c r="AK50" s="428"/>
      <c r="AL50" s="429"/>
      <c r="AM50" s="429"/>
      <c r="AN50" s="429"/>
      <c r="AO50" s="429"/>
      <c r="AP50" s="429"/>
      <c r="AQ50" s="467"/>
    </row>
    <row r="51" spans="1:43">
      <c r="A51" s="421"/>
      <c r="B51" s="466" t="s">
        <v>270</v>
      </c>
      <c r="C51" s="466"/>
      <c r="D51" s="466"/>
      <c r="E51" s="163">
        <v>0.25</v>
      </c>
      <c r="F51" s="286">
        <v>0.4</v>
      </c>
      <c r="G51" s="431" t="s">
        <v>308</v>
      </c>
      <c r="H51" s="431"/>
      <c r="I51" s="431"/>
      <c r="J51" s="431"/>
      <c r="K51" s="431"/>
      <c r="L51" s="431"/>
      <c r="M51" s="432"/>
      <c r="P51" s="464"/>
      <c r="Q51" s="466" t="s">
        <v>270</v>
      </c>
      <c r="R51" s="466"/>
      <c r="S51" s="466"/>
      <c r="T51" s="163">
        <v>0.5</v>
      </c>
      <c r="U51" s="286">
        <v>0.5</v>
      </c>
      <c r="V51" s="431"/>
      <c r="W51" s="431"/>
      <c r="X51" s="431"/>
      <c r="Y51" s="431"/>
      <c r="Z51" s="431"/>
      <c r="AA51" s="431"/>
      <c r="AB51" s="431"/>
      <c r="AE51" s="464"/>
      <c r="AF51" s="466" t="s">
        <v>270</v>
      </c>
      <c r="AG51" s="466"/>
      <c r="AH51" s="466"/>
      <c r="AI51" s="163">
        <v>0.5</v>
      </c>
      <c r="AJ51" s="286">
        <v>0.6</v>
      </c>
      <c r="AK51" s="431"/>
      <c r="AL51" s="431"/>
      <c r="AM51" s="431"/>
      <c r="AN51" s="431"/>
      <c r="AO51" s="431"/>
      <c r="AP51" s="431"/>
      <c r="AQ51" s="431"/>
    </row>
    <row r="52" spans="1:43" ht="15.75" thickBot="1">
      <c r="A52" s="422"/>
      <c r="B52" s="468" t="s">
        <v>17</v>
      </c>
      <c r="C52" s="468"/>
      <c r="D52" s="468"/>
      <c r="E52" s="384">
        <f>SUM(E49:E51)</f>
        <v>1</v>
      </c>
      <c r="F52" s="287" cm="1">
        <f t="array" ref="F52">MMULT(TRANSPOSE(E49:E51),F49:F51)</f>
        <v>0.27500000000000002</v>
      </c>
      <c r="G52" s="469" t="s">
        <v>309</v>
      </c>
      <c r="H52" s="470"/>
      <c r="I52" s="470"/>
      <c r="J52" s="470"/>
      <c r="K52" s="470"/>
      <c r="L52" s="470"/>
      <c r="M52" s="471"/>
      <c r="P52" s="465"/>
      <c r="Q52" s="472" t="s">
        <v>17</v>
      </c>
      <c r="R52" s="472"/>
      <c r="S52" s="472"/>
      <c r="T52" s="173">
        <f>SUM(T49:T51)</f>
        <v>1</v>
      </c>
      <c r="U52" s="287" cm="1">
        <f t="array" ref="U52">MMULT(TRANSPOSE(T49:T51),U49:U51)</f>
        <v>0.42499999999999999</v>
      </c>
      <c r="V52" s="473" t="s">
        <v>310</v>
      </c>
      <c r="W52" s="474"/>
      <c r="X52" s="474"/>
      <c r="Y52" s="474"/>
      <c r="Z52" s="474"/>
      <c r="AA52" s="474"/>
      <c r="AB52" s="475"/>
      <c r="AE52" s="465"/>
      <c r="AF52" s="472" t="s">
        <v>17</v>
      </c>
      <c r="AG52" s="472"/>
      <c r="AH52" s="472"/>
      <c r="AI52" s="173">
        <f>SUM(AI49:AI51)</f>
        <v>1</v>
      </c>
      <c r="AJ52" s="287" cm="1">
        <f t="array" ref="AJ52">MMULT(TRANSPOSE(AI49:AI51),AJ49:AJ51)</f>
        <v>0.52500000000000002</v>
      </c>
      <c r="AK52" s="473" t="s">
        <v>311</v>
      </c>
      <c r="AL52" s="474"/>
      <c r="AM52" s="474"/>
      <c r="AN52" s="474"/>
      <c r="AO52" s="474"/>
      <c r="AP52" s="474"/>
      <c r="AQ52" s="475"/>
    </row>
    <row r="53" spans="1:43" ht="49.5" customHeight="1">
      <c r="A53" s="420" t="s">
        <v>312</v>
      </c>
      <c r="B53" s="462" t="s">
        <v>273</v>
      </c>
      <c r="C53" s="462"/>
      <c r="D53" s="462"/>
      <c r="E53" s="383">
        <v>0.25</v>
      </c>
      <c r="F53" s="383">
        <v>0.2</v>
      </c>
      <c r="G53" s="424" t="s">
        <v>305</v>
      </c>
      <c r="H53" s="425"/>
      <c r="I53" s="425"/>
      <c r="J53" s="425"/>
      <c r="K53" s="425"/>
      <c r="L53" s="425"/>
      <c r="M53" s="426"/>
      <c r="P53" s="463" t="s">
        <v>312</v>
      </c>
      <c r="Q53" s="466" t="s">
        <v>273</v>
      </c>
      <c r="R53" s="466"/>
      <c r="S53" s="466"/>
      <c r="T53" s="163">
        <v>0.25</v>
      </c>
      <c r="U53" s="163">
        <v>0.3</v>
      </c>
      <c r="V53" s="428" t="s">
        <v>306</v>
      </c>
      <c r="W53" s="429"/>
      <c r="X53" s="429"/>
      <c r="Y53" s="429"/>
      <c r="Z53" s="429"/>
      <c r="AA53" s="429"/>
      <c r="AB53" s="467"/>
      <c r="AE53" s="463" t="s">
        <v>312</v>
      </c>
      <c r="AF53" s="466" t="s">
        <v>273</v>
      </c>
      <c r="AG53" s="466"/>
      <c r="AH53" s="466"/>
      <c r="AI53" s="163">
        <v>0.25</v>
      </c>
      <c r="AJ53" s="163">
        <v>0.4</v>
      </c>
      <c r="AK53" s="428" t="s">
        <v>306</v>
      </c>
      <c r="AL53" s="429"/>
      <c r="AM53" s="429"/>
      <c r="AN53" s="429"/>
      <c r="AO53" s="429"/>
      <c r="AP53" s="429"/>
      <c r="AQ53" s="467"/>
    </row>
    <row r="54" spans="1:43" ht="51.75" customHeight="1">
      <c r="A54" s="421"/>
      <c r="B54" s="466" t="s">
        <v>269</v>
      </c>
      <c r="C54" s="466"/>
      <c r="D54" s="466"/>
      <c r="E54" s="163">
        <v>0.25</v>
      </c>
      <c r="F54" s="163">
        <v>0.3</v>
      </c>
      <c r="G54" s="428" t="s">
        <v>307</v>
      </c>
      <c r="H54" s="429"/>
      <c r="I54" s="429"/>
      <c r="J54" s="429"/>
      <c r="K54" s="429"/>
      <c r="L54" s="429"/>
      <c r="M54" s="430"/>
      <c r="O54" s="156"/>
      <c r="P54" s="464"/>
      <c r="Q54" s="466" t="s">
        <v>269</v>
      </c>
      <c r="R54" s="466"/>
      <c r="S54" s="466"/>
      <c r="T54" s="163">
        <v>0.25</v>
      </c>
      <c r="U54" s="163">
        <v>0.4</v>
      </c>
      <c r="V54" s="428"/>
      <c r="W54" s="429"/>
      <c r="X54" s="429"/>
      <c r="Y54" s="429"/>
      <c r="Z54" s="429"/>
      <c r="AA54" s="429"/>
      <c r="AB54" s="467"/>
      <c r="AE54" s="464"/>
      <c r="AF54" s="466" t="s">
        <v>269</v>
      </c>
      <c r="AG54" s="466"/>
      <c r="AH54" s="466"/>
      <c r="AI54" s="163">
        <v>0.25</v>
      </c>
      <c r="AJ54" s="163">
        <v>0.5</v>
      </c>
      <c r="AK54" s="428"/>
      <c r="AL54" s="429"/>
      <c r="AM54" s="429"/>
      <c r="AN54" s="429"/>
      <c r="AO54" s="429"/>
      <c r="AP54" s="429"/>
      <c r="AQ54" s="467"/>
    </row>
    <row r="55" spans="1:43" ht="15.75" thickBot="1">
      <c r="A55" s="421"/>
      <c r="B55" s="466" t="s">
        <v>270</v>
      </c>
      <c r="C55" s="466"/>
      <c r="D55" s="466"/>
      <c r="E55" s="163">
        <v>0.5</v>
      </c>
      <c r="F55" s="286">
        <v>0.4</v>
      </c>
      <c r="G55" s="431" t="s">
        <v>308</v>
      </c>
      <c r="H55" s="431"/>
      <c r="I55" s="431"/>
      <c r="J55" s="431"/>
      <c r="K55" s="431"/>
      <c r="L55" s="431"/>
      <c r="M55" s="432"/>
      <c r="N55" s="156"/>
      <c r="O55" s="156"/>
      <c r="P55" s="464"/>
      <c r="Q55" s="466" t="s">
        <v>270</v>
      </c>
      <c r="R55" s="466"/>
      <c r="S55" s="466"/>
      <c r="T55" s="163">
        <v>0.5</v>
      </c>
      <c r="U55" s="286">
        <v>0.5</v>
      </c>
      <c r="V55" s="431"/>
      <c r="W55" s="431"/>
      <c r="X55" s="431"/>
      <c r="Y55" s="431"/>
      <c r="Z55" s="431"/>
      <c r="AA55" s="431"/>
      <c r="AB55" s="431"/>
      <c r="AE55" s="464"/>
      <c r="AF55" s="466" t="s">
        <v>270</v>
      </c>
      <c r="AG55" s="466"/>
      <c r="AH55" s="466"/>
      <c r="AI55" s="163">
        <v>0.5</v>
      </c>
      <c r="AJ55" s="286">
        <v>0.6</v>
      </c>
      <c r="AK55" s="431"/>
      <c r="AL55" s="431"/>
      <c r="AM55" s="431"/>
      <c r="AN55" s="431"/>
      <c r="AO55" s="431"/>
      <c r="AP55" s="431"/>
      <c r="AQ55" s="431"/>
    </row>
    <row r="56" spans="1:43" ht="15.75" customHeight="1" thickBot="1">
      <c r="A56" s="422"/>
      <c r="B56" s="468" t="s">
        <v>17</v>
      </c>
      <c r="C56" s="468"/>
      <c r="D56" s="468"/>
      <c r="E56" s="384">
        <f>SUM(E53:E55)</f>
        <v>1</v>
      </c>
      <c r="F56" s="287" cm="1">
        <f t="array" ref="F56">MMULT(TRANSPOSE(E53:E55),F53:F55)</f>
        <v>0.32500000000000001</v>
      </c>
      <c r="G56" s="469" t="s">
        <v>313</v>
      </c>
      <c r="H56" s="470"/>
      <c r="I56" s="470"/>
      <c r="J56" s="470"/>
      <c r="K56" s="470"/>
      <c r="L56" s="470"/>
      <c r="M56" s="471"/>
      <c r="P56" s="465"/>
      <c r="Q56" s="472" t="s">
        <v>17</v>
      </c>
      <c r="R56" s="472"/>
      <c r="S56" s="472"/>
      <c r="T56" s="173">
        <f>SUM(T53:T55)</f>
        <v>1</v>
      </c>
      <c r="U56" s="287" cm="1">
        <f t="array" ref="U56">MMULT(TRANSPOSE(T53:T55),U53:U55)</f>
        <v>0.42499999999999999</v>
      </c>
      <c r="V56" s="473" t="s">
        <v>314</v>
      </c>
      <c r="W56" s="474"/>
      <c r="X56" s="474"/>
      <c r="Y56" s="474"/>
      <c r="Z56" s="474"/>
      <c r="AA56" s="474"/>
      <c r="AB56" s="475"/>
      <c r="AE56" s="465"/>
      <c r="AF56" s="472" t="s">
        <v>17</v>
      </c>
      <c r="AG56" s="472"/>
      <c r="AH56" s="472"/>
      <c r="AI56" s="173">
        <f>SUM(AI53:AI55)</f>
        <v>1</v>
      </c>
      <c r="AJ56" s="287" cm="1">
        <f t="array" ref="AJ56">MMULT(TRANSPOSE(AI53:AI55),AJ53:AJ55)</f>
        <v>0.52500000000000002</v>
      </c>
      <c r="AK56" s="473" t="s">
        <v>315</v>
      </c>
      <c r="AL56" s="474"/>
      <c r="AM56" s="474"/>
      <c r="AN56" s="474"/>
      <c r="AO56" s="474"/>
      <c r="AP56" s="474"/>
      <c r="AQ56" s="475"/>
    </row>
    <row r="57" spans="1:43">
      <c r="M57" s="321"/>
    </row>
    <row r="58" spans="1:43" ht="34.5" customHeight="1">
      <c r="B58" s="476" t="s">
        <v>275</v>
      </c>
      <c r="C58" s="476"/>
      <c r="D58" s="476"/>
      <c r="E58" s="476"/>
      <c r="F58" s="476"/>
      <c r="G58" s="476"/>
      <c r="H58" s="476"/>
      <c r="I58" s="476"/>
      <c r="J58" s="476"/>
      <c r="K58" s="476"/>
      <c r="L58" s="476"/>
      <c r="M58" s="476"/>
      <c r="P58" s="476" t="s">
        <v>316</v>
      </c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76"/>
    </row>
  </sheetData>
  <mergeCells count="101">
    <mergeCell ref="B58:M58"/>
    <mergeCell ref="P58:AA58"/>
    <mergeCell ref="AE53:AE56"/>
    <mergeCell ref="AF53:AH53"/>
    <mergeCell ref="AK53:AQ53"/>
    <mergeCell ref="B54:D54"/>
    <mergeCell ref="G54:M54"/>
    <mergeCell ref="Q54:S54"/>
    <mergeCell ref="V54:AB54"/>
    <mergeCell ref="AF54:AH54"/>
    <mergeCell ref="AK54:AQ54"/>
    <mergeCell ref="B55:D55"/>
    <mergeCell ref="G55:M55"/>
    <mergeCell ref="Q55:S55"/>
    <mergeCell ref="V55:AB55"/>
    <mergeCell ref="AF55:AH55"/>
    <mergeCell ref="AK55:AQ55"/>
    <mergeCell ref="V56:AB56"/>
    <mergeCell ref="AF56:AH56"/>
    <mergeCell ref="AK56:AQ56"/>
    <mergeCell ref="A53:A56"/>
    <mergeCell ref="B53:D53"/>
    <mergeCell ref="G53:M53"/>
    <mergeCell ref="P53:P56"/>
    <mergeCell ref="Q53:S53"/>
    <mergeCell ref="B56:D56"/>
    <mergeCell ref="G56:M56"/>
    <mergeCell ref="Q56:S56"/>
    <mergeCell ref="V53:AB53"/>
    <mergeCell ref="B52:D52"/>
    <mergeCell ref="G52:M52"/>
    <mergeCell ref="Q52:S52"/>
    <mergeCell ref="V52:AB52"/>
    <mergeCell ref="AF52:AH52"/>
    <mergeCell ref="AK52:AQ52"/>
    <mergeCell ref="B51:D51"/>
    <mergeCell ref="G51:M51"/>
    <mergeCell ref="Q51:S51"/>
    <mergeCell ref="V51:AB51"/>
    <mergeCell ref="AF51:AH51"/>
    <mergeCell ref="B44:M44"/>
    <mergeCell ref="B45:M45"/>
    <mergeCell ref="B48:D48"/>
    <mergeCell ref="G48:M48"/>
    <mergeCell ref="Q48:S48"/>
    <mergeCell ref="V48:AB48"/>
    <mergeCell ref="AF48:AH48"/>
    <mergeCell ref="AK48:AQ48"/>
    <mergeCell ref="A49:A52"/>
    <mergeCell ref="B49:D49"/>
    <mergeCell ref="G49:M49"/>
    <mergeCell ref="P49:P52"/>
    <mergeCell ref="Q49:S49"/>
    <mergeCell ref="V49:AB49"/>
    <mergeCell ref="AE49:AE52"/>
    <mergeCell ref="AF49:AH49"/>
    <mergeCell ref="AK49:AQ49"/>
    <mergeCell ref="B50:D50"/>
    <mergeCell ref="G50:M50"/>
    <mergeCell ref="Q50:S50"/>
    <mergeCell ref="V50:AB50"/>
    <mergeCell ref="AF50:AH50"/>
    <mergeCell ref="AK50:AQ50"/>
    <mergeCell ref="AK51:AQ51"/>
    <mergeCell ref="C6:D6"/>
    <mergeCell ref="C8:D8"/>
    <mergeCell ref="C9:D9"/>
    <mergeCell ref="C10:D10"/>
    <mergeCell ref="C12:D12"/>
    <mergeCell ref="O8:O10"/>
    <mergeCell ref="O15:O17"/>
    <mergeCell ref="B2:M2"/>
    <mergeCell ref="B31:M31"/>
    <mergeCell ref="B15:B17"/>
    <mergeCell ref="C15:C17"/>
    <mergeCell ref="C19:C21"/>
    <mergeCell ref="B19:B21"/>
    <mergeCell ref="A34:A37"/>
    <mergeCell ref="B35:D35"/>
    <mergeCell ref="G35:M35"/>
    <mergeCell ref="B36:D36"/>
    <mergeCell ref="G36:M36"/>
    <mergeCell ref="B37:D37"/>
    <mergeCell ref="G37:M37"/>
    <mergeCell ref="Q10:T11"/>
    <mergeCell ref="C27:C28"/>
    <mergeCell ref="C24:C25"/>
    <mergeCell ref="C13:D13"/>
    <mergeCell ref="B33:D33"/>
    <mergeCell ref="B34:D34"/>
    <mergeCell ref="G33:M33"/>
    <mergeCell ref="G34:M34"/>
    <mergeCell ref="A38:A41"/>
    <mergeCell ref="B38:D38"/>
    <mergeCell ref="G38:M38"/>
    <mergeCell ref="B39:D39"/>
    <mergeCell ref="G39:M39"/>
    <mergeCell ref="B40:D40"/>
    <mergeCell ref="G40:M40"/>
    <mergeCell ref="B41:D41"/>
    <mergeCell ref="G41:M4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B84B"/>
  </sheetPr>
  <dimension ref="A1:AL175"/>
  <sheetViews>
    <sheetView topLeftCell="L39" zoomScale="115" zoomScaleNormal="115" workbookViewId="0">
      <selection activeCell="L63" sqref="A63:XFD63"/>
    </sheetView>
  </sheetViews>
  <sheetFormatPr baseColWidth="10" defaultRowHeight="15"/>
  <cols>
    <col min="1" max="1" width="19.140625" customWidth="1"/>
    <col min="2" max="2" width="12.42578125" bestFit="1" customWidth="1"/>
    <col min="24" max="24" width="14.140625" customWidth="1"/>
  </cols>
  <sheetData>
    <row r="1" spans="1:29">
      <c r="A1" s="477" t="s">
        <v>108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181"/>
      <c r="P1" s="477" t="s">
        <v>109</v>
      </c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</row>
    <row r="2" spans="1:29">
      <c r="A2" s="477"/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181"/>
      <c r="P2" s="477"/>
      <c r="Q2" s="477"/>
      <c r="R2" s="477"/>
      <c r="S2" s="477"/>
      <c r="T2" s="477"/>
      <c r="U2" s="477"/>
      <c r="V2" s="477"/>
      <c r="W2" s="477"/>
      <c r="X2" s="477"/>
      <c r="Y2" s="477"/>
      <c r="Z2" s="477"/>
      <c r="AA2" s="477"/>
      <c r="AB2" s="477"/>
      <c r="AC2" s="477"/>
    </row>
    <row r="3" spans="1:29" ht="14.45" customHeight="1">
      <c r="A3" s="483" t="s">
        <v>198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181"/>
      <c r="P3" s="483" t="s">
        <v>198</v>
      </c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</row>
    <row r="4" spans="1:29" ht="14.45" customHeight="1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181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</row>
    <row r="5" spans="1:29">
      <c r="O5" s="181"/>
    </row>
    <row r="6" spans="1:29">
      <c r="O6" s="181"/>
    </row>
    <row r="7" spans="1:29">
      <c r="A7" s="58"/>
      <c r="B7" s="478" t="s">
        <v>59</v>
      </c>
      <c r="C7" s="479"/>
      <c r="D7" s="479"/>
      <c r="E7" s="479"/>
      <c r="F7" s="480"/>
      <c r="O7" s="181"/>
      <c r="X7" s="58"/>
      <c r="Y7" s="478" t="s">
        <v>213</v>
      </c>
      <c r="Z7" s="479"/>
      <c r="AA7" s="479"/>
      <c r="AB7" s="479"/>
      <c r="AC7" s="480"/>
    </row>
    <row r="8" spans="1:29">
      <c r="A8" s="8" t="s">
        <v>27</v>
      </c>
      <c r="B8" s="9"/>
      <c r="C8" s="9">
        <v>2020</v>
      </c>
      <c r="D8" s="9">
        <v>2030</v>
      </c>
      <c r="E8" s="9">
        <v>2040</v>
      </c>
      <c r="F8" s="9">
        <v>2050</v>
      </c>
      <c r="O8" s="181"/>
      <c r="X8" s="8" t="s">
        <v>27</v>
      </c>
      <c r="Y8" s="9"/>
      <c r="Z8" s="9">
        <v>2020</v>
      </c>
      <c r="AA8" s="9">
        <v>2030</v>
      </c>
      <c r="AB8" s="9">
        <v>2040</v>
      </c>
      <c r="AC8" s="9">
        <v>2050</v>
      </c>
    </row>
    <row r="9" spans="1:29">
      <c r="A9" t="s">
        <v>0</v>
      </c>
      <c r="B9" s="83" t="s">
        <v>103</v>
      </c>
      <c r="C9" s="178">
        <f>'Bureaux - AME'!H8</f>
        <v>0</v>
      </c>
      <c r="D9" s="178">
        <f>'Bureaux - AME'!I8</f>
        <v>6206.4099090819327</v>
      </c>
      <c r="E9" s="178">
        <f>'Bureaux - AME'!J8</f>
        <v>6411.8444638873989</v>
      </c>
      <c r="F9" s="178">
        <f>'Bureaux - AME'!K8</f>
        <v>5961.6497428461562</v>
      </c>
      <c r="O9" s="181"/>
      <c r="X9" t="s">
        <v>0</v>
      </c>
      <c r="Y9" s="83" t="s">
        <v>103</v>
      </c>
      <c r="Z9" s="178">
        <f>'Bureaux - AMS'!H8</f>
        <v>0</v>
      </c>
      <c r="AA9" s="178">
        <f>'Bureaux - AMS'!I8</f>
        <v>6206.4099090819327</v>
      </c>
      <c r="AB9" s="178">
        <f>'Bureaux - AMS'!J8</f>
        <v>5920.8738890125724</v>
      </c>
      <c r="AC9" s="178">
        <f>'Bureaux - AMS'!K8</f>
        <v>5623.8458501736704</v>
      </c>
    </row>
    <row r="10" spans="1:29">
      <c r="B10" s="83" t="s">
        <v>102</v>
      </c>
      <c r="C10" s="178">
        <f>'Bureaux - AME'!H9</f>
        <v>287333.79208712652</v>
      </c>
      <c r="D10" s="178">
        <f>'Bureaux - AME'!I9</f>
        <v>269335.75939351093</v>
      </c>
      <c r="E10" s="178">
        <f>'Bureaux - AME'!J9</f>
        <v>269590.45844565687</v>
      </c>
      <c r="F10" s="178">
        <f>'Bureaux - AME'!K9</f>
        <v>263785.0239682839</v>
      </c>
      <c r="O10" s="181"/>
      <c r="Y10" s="83" t="s">
        <v>102</v>
      </c>
      <c r="Z10" s="178">
        <f>'Bureaux - AMS'!H9</f>
        <v>287333.79208712652</v>
      </c>
      <c r="AA10" s="178">
        <f>'Bureaux - AMS'!I9</f>
        <v>267908.12198964827</v>
      </c>
      <c r="AB10" s="178">
        <f>'Bureaux - AMS'!J9</f>
        <v>254442.35991532399</v>
      </c>
      <c r="AC10" s="178">
        <f>'Bureaux - AMS'!K9</f>
        <v>233249.46371632058</v>
      </c>
    </row>
    <row r="11" spans="1:29">
      <c r="A11" t="s">
        <v>48</v>
      </c>
      <c r="B11" s="83" t="s">
        <v>103</v>
      </c>
      <c r="C11" s="178">
        <f>'CaHoREs - AME'!H8</f>
        <v>0</v>
      </c>
      <c r="D11" s="178">
        <f>'CaHoREs - AME'!I8</f>
        <v>4554.2951187047984</v>
      </c>
      <c r="E11" s="178">
        <f>'CaHoREs - AME'!J8</f>
        <v>3048.0726788650627</v>
      </c>
      <c r="F11" s="178">
        <f>'CaHoREs - AME'!K8</f>
        <v>2041.8509200297726</v>
      </c>
      <c r="O11" s="181"/>
      <c r="X11" t="s">
        <v>48</v>
      </c>
      <c r="Y11" s="83" t="s">
        <v>103</v>
      </c>
      <c r="Z11" s="178">
        <f>'CaHoREs - AMS'!H8</f>
        <v>0</v>
      </c>
      <c r="AA11" s="178">
        <f>'CaHoREs - AMS'!I8</f>
        <v>4192.3289288814958</v>
      </c>
      <c r="AB11" s="178">
        <f>'CaHoREs - AMS'!J8</f>
        <v>2902.374208220388</v>
      </c>
      <c r="AC11" s="178">
        <f>'CaHoREs - AMS'!K8</f>
        <v>2027.5304070447819</v>
      </c>
    </row>
    <row r="12" spans="1:29">
      <c r="B12" s="83" t="s">
        <v>102</v>
      </c>
      <c r="C12" s="178">
        <f>'CaHoREs - AME'!H9</f>
        <v>67243.869415029592</v>
      </c>
      <c r="D12" s="178">
        <f>'CaHoREs - AME'!I9</f>
        <v>65307.245975876736</v>
      </c>
      <c r="E12" s="178">
        <f>'CaHoREs - AME'!J9</f>
        <v>67849.528711057588</v>
      </c>
      <c r="F12" s="178">
        <f>'CaHoREs - AME'!K9</f>
        <v>68171.331097608199</v>
      </c>
      <c r="O12" s="181"/>
      <c r="Y12" s="83" t="s">
        <v>102</v>
      </c>
      <c r="Z12" s="178">
        <f>'CaHoREs - AMS'!H9</f>
        <v>67243.869415029592</v>
      </c>
      <c r="AA12" s="178">
        <f>'CaHoREs - AMS'!I9</f>
        <v>65307.245975876736</v>
      </c>
      <c r="AB12" s="178">
        <f>'CaHoREs - AMS'!J9</f>
        <v>67497.987147501204</v>
      </c>
      <c r="AC12" s="178">
        <f>'CaHoREs - AMS'!K9</f>
        <v>66866.719096003129</v>
      </c>
    </row>
    <row r="13" spans="1:29">
      <c r="A13" t="s">
        <v>3</v>
      </c>
      <c r="B13" s="83" t="s">
        <v>103</v>
      </c>
      <c r="C13" s="178">
        <f>'Commerce - AME'!H8</f>
        <v>0</v>
      </c>
      <c r="D13" s="178">
        <f>'Commerce - AME'!I8</f>
        <v>13164.331097787628</v>
      </c>
      <c r="E13" s="178">
        <f>'Commerce - AME'!J8</f>
        <v>8969.5375212372728</v>
      </c>
      <c r="F13" s="178">
        <f>'Commerce - AME'!K8</f>
        <v>8772.0507016362499</v>
      </c>
      <c r="O13" s="181"/>
      <c r="X13" t="s">
        <v>3</v>
      </c>
      <c r="Y13" s="83" t="s">
        <v>103</v>
      </c>
      <c r="Z13" s="178">
        <f>'Commerce - AMS'!H8</f>
        <v>0</v>
      </c>
      <c r="AA13" s="178">
        <f>'Commerce - AMS'!I8</f>
        <v>12185.884803305064</v>
      </c>
      <c r="AB13" s="178">
        <f>'Commerce - AMS'!J8</f>
        <v>8717.0415355715377</v>
      </c>
      <c r="AC13" s="178">
        <f>'Commerce - AMS'!K8</f>
        <v>8710.5279603109702</v>
      </c>
    </row>
    <row r="14" spans="1:29">
      <c r="B14" s="83" t="s">
        <v>102</v>
      </c>
      <c r="C14" s="178">
        <f>'Commerce - AME'!H9</f>
        <v>184229.64520786435</v>
      </c>
      <c r="D14" s="178">
        <f>'Commerce - AME'!I9</f>
        <v>175681.38967021945</v>
      </c>
      <c r="E14" s="178">
        <f>'Commerce - AME'!J9</f>
        <v>180083.27932437154</v>
      </c>
      <c r="F14" s="178">
        <f>'Commerce - AME'!K9</f>
        <v>175887.23385249983</v>
      </c>
      <c r="O14" s="181"/>
      <c r="Y14" s="83" t="s">
        <v>102</v>
      </c>
      <c r="Z14" s="178">
        <f>'Commerce - AMS'!H9</f>
        <v>184229.64520786435</v>
      </c>
      <c r="AA14" s="178">
        <f>'Commerce - AMS'!I9</f>
        <v>175681.38967021945</v>
      </c>
      <c r="AB14" s="178">
        <f>'Commerce - AMS'!J9</f>
        <v>179009.85416078556</v>
      </c>
      <c r="AC14" s="178">
        <f>'Commerce - AMS'!K9</f>
        <v>172479.99008131743</v>
      </c>
    </row>
    <row r="15" spans="1:29">
      <c r="A15" t="s">
        <v>43</v>
      </c>
      <c r="B15" s="83" t="s">
        <v>103</v>
      </c>
      <c r="C15" s="178">
        <f>'Enseignement - AME'!H8</f>
        <v>0</v>
      </c>
      <c r="D15" s="178">
        <f>'Enseignement - AME'!I8</f>
        <v>5840.7077315636325</v>
      </c>
      <c r="E15" s="178">
        <f>'Enseignement - AME'!J8</f>
        <v>3412.3997149425531</v>
      </c>
      <c r="F15" s="178">
        <f>'Enseignement - AME'!K8</f>
        <v>3380.7737398508161</v>
      </c>
      <c r="O15" s="181"/>
      <c r="X15" t="s">
        <v>43</v>
      </c>
      <c r="Y15" s="83" t="s">
        <v>103</v>
      </c>
      <c r="Z15" s="178">
        <f>'Enseignement - AMS'!H8</f>
        <v>0</v>
      </c>
      <c r="AA15" s="178">
        <f>'Enseignement - AMS'!I8</f>
        <v>4962.05556380077</v>
      </c>
      <c r="AB15" s="178">
        <f>'Enseignement - AMS'!J8</f>
        <v>3394.7194103913025</v>
      </c>
      <c r="AC15" s="178">
        <f>'Enseignement - AMS'!K8</f>
        <v>3357.062697205185</v>
      </c>
    </row>
    <row r="16" spans="1:29">
      <c r="B16" s="83" t="s">
        <v>102</v>
      </c>
      <c r="C16" s="178">
        <f>'Enseignement - AME'!H9</f>
        <v>167106.71056882737</v>
      </c>
      <c r="D16" s="178">
        <f>'Enseignement - AME'!I9</f>
        <v>163744.17685661104</v>
      </c>
      <c r="E16" s="178">
        <f>'Enseignement - AME'!J9</f>
        <v>164600.77939206138</v>
      </c>
      <c r="F16" s="178">
        <f>'Enseignement - AME'!K9</f>
        <v>158963.23681763752</v>
      </c>
      <c r="O16" s="181"/>
      <c r="Y16" s="83" t="s">
        <v>102</v>
      </c>
      <c r="Z16" s="178">
        <f>'Enseignement - AMS'!H9</f>
        <v>167106.71056882737</v>
      </c>
      <c r="AA16" s="178">
        <f>'Enseignement - AMS'!I9</f>
        <v>163744.17685661104</v>
      </c>
      <c r="AB16" s="178">
        <f>'Enseignement - AMS'!J9</f>
        <v>163440.099959646</v>
      </c>
      <c r="AC16" s="178">
        <f>'Enseignement - AMS'!K9</f>
        <v>155937.36674288791</v>
      </c>
    </row>
    <row r="17" spans="1:29">
      <c r="A17" t="s">
        <v>45</v>
      </c>
      <c r="B17" s="83" t="s">
        <v>103</v>
      </c>
      <c r="C17" s="178">
        <f>'Santé social - AME'!H8</f>
        <v>0</v>
      </c>
      <c r="D17" s="178">
        <f>'Santé social - AME'!I8</f>
        <v>22460.450940435054</v>
      </c>
      <c r="E17" s="178">
        <f>'Santé social - AME'!J8</f>
        <v>19028.37793854532</v>
      </c>
      <c r="F17" s="178">
        <f>'Santé social - AME'!K8</f>
        <v>14323.902651057895</v>
      </c>
      <c r="O17" s="181"/>
      <c r="X17" t="s">
        <v>45</v>
      </c>
      <c r="Y17" s="83" t="s">
        <v>103</v>
      </c>
      <c r="Z17" s="178">
        <f>'Santé social - AMS'!H8</f>
        <v>0</v>
      </c>
      <c r="AA17" s="178">
        <f>'Santé social - AMS'!I8</f>
        <v>21439.617925882485</v>
      </c>
      <c r="AB17" s="178">
        <f>'Santé social - AMS'!J8</f>
        <v>18543.245511428384</v>
      </c>
      <c r="AC17" s="178">
        <f>'Santé social - AMS'!K8</f>
        <v>11635.794006183507</v>
      </c>
    </row>
    <row r="18" spans="1:29">
      <c r="B18" s="83" t="s">
        <v>102</v>
      </c>
      <c r="C18" s="178">
        <f>'Santé social - AME'!H9</f>
        <v>179200</v>
      </c>
      <c r="D18" s="178">
        <f>'Santé social - AME'!I9</f>
        <v>174566.14878613554</v>
      </c>
      <c r="E18" s="178">
        <f>'Santé social - AME'!J9</f>
        <v>191931.77858646706</v>
      </c>
      <c r="F18" s="178">
        <f>'Santé social - AME'!K9</f>
        <v>205505.0338833245</v>
      </c>
      <c r="O18" s="181"/>
      <c r="Y18" s="83" t="s">
        <v>102</v>
      </c>
      <c r="Z18" s="178">
        <f>'Santé social - AMS'!H9</f>
        <v>179200</v>
      </c>
      <c r="AA18" s="178">
        <f>'Santé social - AMS'!I9</f>
        <v>174566.14878613554</v>
      </c>
      <c r="AB18" s="178">
        <f>'Santé social - AMS'!J9</f>
        <v>190937.34282807316</v>
      </c>
      <c r="AC18" s="178">
        <f>'Santé social - AMS'!K9</f>
        <v>204063.72517790535</v>
      </c>
    </row>
    <row r="19" spans="1:29">
      <c r="A19" t="s">
        <v>44</v>
      </c>
      <c r="B19" s="83" t="s">
        <v>103</v>
      </c>
      <c r="C19" s="178">
        <f>'Sport Loisir Culture - AME'!H8</f>
        <v>0</v>
      </c>
      <c r="D19" s="178">
        <f>'Sport Loisir Culture - AME'!I8</f>
        <v>3336.8292087326572</v>
      </c>
      <c r="E19" s="178">
        <f>'Sport Loisir Culture - AME'!J8</f>
        <v>2051.9847254707638</v>
      </c>
      <c r="F19" s="178">
        <f>'Sport Loisir Culture - AME'!K8</f>
        <v>1198.8500763051807</v>
      </c>
      <c r="O19" s="181"/>
      <c r="X19" t="s">
        <v>44</v>
      </c>
      <c r="Y19" s="83" t="s">
        <v>103</v>
      </c>
      <c r="Z19" s="178">
        <f>'Sport Loisir Culture - AMS'!H8</f>
        <v>0</v>
      </c>
      <c r="AA19" s="178">
        <f>'Sport Loisir Culture - AMS'!I8</f>
        <v>3032.6506608058498</v>
      </c>
      <c r="AB19" s="178">
        <f>'Sport Loisir Culture - AMS'!J8</f>
        <v>1932.1865496032522</v>
      </c>
      <c r="AC19" s="178">
        <f>'Sport Loisir Culture - AMS'!K8</f>
        <v>1190.4419462520159</v>
      </c>
    </row>
    <row r="20" spans="1:29">
      <c r="B20" s="83" t="s">
        <v>102</v>
      </c>
      <c r="C20" s="178">
        <f>'Sport Loisir Culture - AME'!H9</f>
        <v>56508.434021496723</v>
      </c>
      <c r="D20" s="178">
        <f>'Sport Loisir Culture - AME'!I9</f>
        <v>55371.36709117992</v>
      </c>
      <c r="E20" s="178">
        <f>'Sport Loisir Culture - AME'!J9</f>
        <v>57526.865588716733</v>
      </c>
      <c r="F20" s="178">
        <f>'Sport Loisir Culture - AME'!K9</f>
        <v>57804.847926181203</v>
      </c>
      <c r="O20" s="181"/>
      <c r="Y20" s="83" t="s">
        <v>102</v>
      </c>
      <c r="Z20" s="178">
        <f>'Sport Loisir Culture - AMS'!H9</f>
        <v>56508.434021496723</v>
      </c>
      <c r="AA20" s="178">
        <f>'Sport Loisir Culture - AMS'!I9</f>
        <v>55371.36709117992</v>
      </c>
      <c r="AB20" s="178">
        <f>'Sport Loisir Culture - AMS'!J9</f>
        <v>57228.807744252132</v>
      </c>
      <c r="AC20" s="178">
        <f>'Sport Loisir Culture - AMS'!K9</f>
        <v>56704.890169085382</v>
      </c>
    </row>
    <row r="21" spans="1:29">
      <c r="A21" t="s">
        <v>4</v>
      </c>
      <c r="B21" s="83" t="s">
        <v>103</v>
      </c>
      <c r="C21" s="178">
        <f>'Transport - AME'!H8</f>
        <v>0</v>
      </c>
      <c r="D21" s="178">
        <f>'Transport - AME'!I8</f>
        <v>2714.940071976017</v>
      </c>
      <c r="E21" s="178">
        <f>'Transport - AME'!J8</f>
        <v>1773.7602281094607</v>
      </c>
      <c r="F21" s="178">
        <f>'Transport - AME'!K8</f>
        <v>1146.2522064996804</v>
      </c>
      <c r="O21" s="181"/>
      <c r="X21" t="s">
        <v>4</v>
      </c>
      <c r="Y21" s="83" t="s">
        <v>103</v>
      </c>
      <c r="Z21" s="178">
        <f>'Transport - AMS'!H8</f>
        <v>0</v>
      </c>
      <c r="AA21" s="178">
        <f>'Transport - AMS'!I8</f>
        <v>2489.8567580842946</v>
      </c>
      <c r="AB21" s="178">
        <f>'Transport - AMS'!J8</f>
        <v>1683.7900254259353</v>
      </c>
      <c r="AC21" s="178">
        <f>'Transport - AMS'!K8</f>
        <v>1138.2129713889146</v>
      </c>
    </row>
    <row r="22" spans="1:29">
      <c r="B22" s="83" t="s">
        <v>102</v>
      </c>
      <c r="C22" s="178">
        <f>'Transport - AME'!H9</f>
        <v>41814.604215450461</v>
      </c>
      <c r="D22" s="178">
        <f>'Transport - AME'!I9</f>
        <v>40727.42450584875</v>
      </c>
      <c r="E22" s="178">
        <f>'Transport - AME'!J9</f>
        <v>42312.863098801325</v>
      </c>
      <c r="F22" s="178">
        <f>'Transport - AME'!K9</f>
        <v>42514.775071010132</v>
      </c>
      <c r="O22" s="181"/>
      <c r="Y22" s="83" t="s">
        <v>102</v>
      </c>
      <c r="Z22" s="178">
        <f>'Transport - AMS'!H9</f>
        <v>41814.604215450461</v>
      </c>
      <c r="AA22" s="178">
        <f>'Transport - AMS'!I9</f>
        <v>40727.42450584875</v>
      </c>
      <c r="AB22" s="178">
        <f>'Transport - AMS'!J9</f>
        <v>42093.631951070784</v>
      </c>
      <c r="AC22" s="178">
        <f>'Transport - AMS'!K9</f>
        <v>41702.655657247182</v>
      </c>
    </row>
    <row r="23" spans="1:29">
      <c r="A23" t="s">
        <v>17</v>
      </c>
      <c r="B23" s="83" t="s">
        <v>103</v>
      </c>
      <c r="C23" s="178">
        <f>C9+C11+C13+C15+C17+C19+C21</f>
        <v>0</v>
      </c>
      <c r="D23" s="178">
        <f t="shared" ref="D23:F23" si="0">D9+D11+D13+D15+D17+D19+D21</f>
        <v>58277.964078281715</v>
      </c>
      <c r="E23" s="178">
        <f t="shared" si="0"/>
        <v>44695.977271057833</v>
      </c>
      <c r="F23" s="178">
        <f t="shared" si="0"/>
        <v>36825.330038225744</v>
      </c>
      <c r="O23" s="181"/>
      <c r="X23" t="s">
        <v>17</v>
      </c>
      <c r="Y23" s="83" t="s">
        <v>103</v>
      </c>
      <c r="Z23" s="178">
        <f t="shared" ref="Z23:AC24" si="1">Z9+Z11+Z13+Z15+Z17+Z19+Z21</f>
        <v>0</v>
      </c>
      <c r="AA23" s="178">
        <f t="shared" si="1"/>
        <v>54508.804549841887</v>
      </c>
      <c r="AB23" s="178">
        <f t="shared" si="1"/>
        <v>43094.231129653381</v>
      </c>
      <c r="AC23" s="178">
        <f t="shared" si="1"/>
        <v>33683.415838559042</v>
      </c>
    </row>
    <row r="24" spans="1:29">
      <c r="B24" s="83" t="s">
        <v>102</v>
      </c>
      <c r="C24" s="178">
        <f>C10+C12+C14+C16+C18+C20+C22</f>
        <v>983437.0555157949</v>
      </c>
      <c r="D24" s="178">
        <f t="shared" ref="D24:F24" si="2">D10+D12+D14+D16+D18+D20+D22</f>
        <v>944733.51227938244</v>
      </c>
      <c r="E24" s="178">
        <f t="shared" si="2"/>
        <v>973895.55314713239</v>
      </c>
      <c r="F24" s="178">
        <f t="shared" si="2"/>
        <v>972631.48261654528</v>
      </c>
      <c r="O24" s="181"/>
      <c r="Y24" s="83" t="s">
        <v>102</v>
      </c>
      <c r="Z24" s="178">
        <f t="shared" si="1"/>
        <v>983437.0555157949</v>
      </c>
      <c r="AA24" s="178">
        <f t="shared" si="1"/>
        <v>943305.87487551966</v>
      </c>
      <c r="AB24" s="178">
        <f t="shared" si="1"/>
        <v>954650.08370665286</v>
      </c>
      <c r="AC24" s="178">
        <f t="shared" si="1"/>
        <v>931004.81064076687</v>
      </c>
    </row>
    <row r="25" spans="1:29">
      <c r="B25" s="178"/>
      <c r="C25" s="178"/>
      <c r="D25" s="178"/>
      <c r="E25" s="178"/>
      <c r="F25" s="178"/>
      <c r="O25" s="181"/>
      <c r="Y25" s="178"/>
      <c r="Z25" s="178"/>
      <c r="AA25" s="178">
        <f>AA24*0.4/7</f>
        <v>53903.192850029693</v>
      </c>
      <c r="AB25" s="178"/>
      <c r="AC25" s="178">
        <f>AC24*0.3/10</f>
        <v>27930.144319223007</v>
      </c>
    </row>
    <row r="26" spans="1:29">
      <c r="B26" s="178"/>
      <c r="C26" s="178"/>
      <c r="D26" s="178"/>
      <c r="E26" s="178"/>
      <c r="F26" s="178"/>
      <c r="O26" s="181"/>
      <c r="Y26" s="178"/>
      <c r="Z26" s="178"/>
      <c r="AA26" s="178"/>
      <c r="AB26" s="178"/>
      <c r="AC26" s="178"/>
    </row>
    <row r="27" spans="1:29">
      <c r="A27" s="481" t="s">
        <v>105</v>
      </c>
      <c r="B27" s="482"/>
      <c r="C27" s="482"/>
      <c r="D27" s="482"/>
      <c r="E27" s="482"/>
      <c r="F27" s="178"/>
      <c r="O27" s="181"/>
      <c r="X27" s="481" t="s">
        <v>214</v>
      </c>
      <c r="Y27" s="482"/>
      <c r="Z27" s="482"/>
      <c r="AA27" s="482"/>
      <c r="AB27" s="482"/>
      <c r="AC27" s="178"/>
    </row>
    <row r="28" spans="1:29">
      <c r="A28" s="8" t="s">
        <v>203</v>
      </c>
      <c r="B28" s="9">
        <v>2020</v>
      </c>
      <c r="C28" s="9">
        <v>2030</v>
      </c>
      <c r="D28" s="9">
        <v>2040</v>
      </c>
      <c r="E28" s="9">
        <v>2050</v>
      </c>
      <c r="F28" s="178"/>
      <c r="O28" s="181"/>
      <c r="X28" s="8" t="s">
        <v>203</v>
      </c>
      <c r="Y28" s="9">
        <v>2020</v>
      </c>
      <c r="Z28" s="9">
        <v>2030</v>
      </c>
      <c r="AA28" s="9">
        <v>2040</v>
      </c>
      <c r="AB28" s="9">
        <v>2050</v>
      </c>
      <c r="AC28" s="178"/>
    </row>
    <row r="29" spans="1:29">
      <c r="A29" s="124" t="s">
        <v>197</v>
      </c>
      <c r="B29" s="86">
        <f>B64</f>
        <v>100997.66743394214</v>
      </c>
      <c r="C29" s="86">
        <f t="shared" ref="C29:E29" si="3">C64</f>
        <v>82779.17705973344</v>
      </c>
      <c r="D29" s="86">
        <f t="shared" si="3"/>
        <v>75656.355117339903</v>
      </c>
      <c r="E29" s="86">
        <f t="shared" si="3"/>
        <v>66876.447749426385</v>
      </c>
      <c r="F29" s="178"/>
      <c r="O29" s="181"/>
      <c r="X29" s="124" t="s">
        <v>197</v>
      </c>
      <c r="Y29" s="86">
        <f>Y64</f>
        <v>100997.66743394214</v>
      </c>
      <c r="Z29" s="86">
        <f t="shared" ref="Z29:AB29" si="4">Z64</f>
        <v>81212.66551707538</v>
      </c>
      <c r="AA29" s="86">
        <f t="shared" si="4"/>
        <v>62773.85819321555</v>
      </c>
      <c r="AB29" s="86">
        <f t="shared" si="4"/>
        <v>49069.08526701892</v>
      </c>
      <c r="AC29" s="178"/>
    </row>
    <row r="30" spans="1:29">
      <c r="A30" s="124" t="s">
        <v>204</v>
      </c>
      <c r="B30" s="86">
        <f>B120</f>
        <v>158828.24117655741</v>
      </c>
      <c r="C30" s="86">
        <f t="shared" ref="C30:E30" si="5">C120</f>
        <v>163798.85340304166</v>
      </c>
      <c r="D30" s="86">
        <f t="shared" si="5"/>
        <v>185016.60117107874</v>
      </c>
      <c r="E30" s="86">
        <f t="shared" si="5"/>
        <v>213980.16858048382</v>
      </c>
      <c r="F30" s="178"/>
      <c r="O30" s="181"/>
      <c r="X30" s="124" t="s">
        <v>204</v>
      </c>
      <c r="Y30" s="86">
        <f>Y120</f>
        <v>151855.23907705076</v>
      </c>
      <c r="Z30" s="86">
        <f t="shared" ref="Z30:AB30" si="6">Z120</f>
        <v>130305.86626704002</v>
      </c>
      <c r="AA30" s="86">
        <f t="shared" si="6"/>
        <v>123681.66990754718</v>
      </c>
      <c r="AB30" s="86">
        <f t="shared" si="6"/>
        <v>120626.19991206576</v>
      </c>
      <c r="AC30" s="178"/>
    </row>
    <row r="31" spans="1:29">
      <c r="A31" s="12" t="s">
        <v>17</v>
      </c>
      <c r="B31" s="265">
        <f>SUM(B29:B30)</f>
        <v>259825.90861049955</v>
      </c>
      <c r="C31" s="265">
        <f t="shared" ref="C31" si="7">SUM(C29:C30)</f>
        <v>246578.03046277509</v>
      </c>
      <c r="D31" s="265">
        <f t="shared" ref="D31" si="8">SUM(D29:D30)</f>
        <v>260672.95628841865</v>
      </c>
      <c r="E31" s="265">
        <f t="shared" ref="E31" si="9">SUM(E29:E30)</f>
        <v>280856.61632991023</v>
      </c>
      <c r="F31" s="178"/>
      <c r="O31" s="181"/>
      <c r="X31" s="12" t="s">
        <v>17</v>
      </c>
      <c r="Y31" s="265">
        <f>SUM(Y29:Y30)</f>
        <v>252852.90651099291</v>
      </c>
      <c r="Z31" s="265">
        <f t="shared" ref="Z31:AB31" si="10">SUM(Z29:Z30)</f>
        <v>211518.53178411542</v>
      </c>
      <c r="AA31" s="265">
        <f t="shared" si="10"/>
        <v>186455.52810076275</v>
      </c>
      <c r="AB31" s="265">
        <f t="shared" si="10"/>
        <v>169695.28517908469</v>
      </c>
      <c r="AC31" s="178"/>
    </row>
    <row r="32" spans="1:29">
      <c r="B32" s="178"/>
      <c r="C32" s="178"/>
      <c r="D32" s="178"/>
      <c r="E32" s="178"/>
      <c r="F32" s="178"/>
      <c r="O32" s="181"/>
      <c r="Y32" s="178"/>
      <c r="Z32" s="178"/>
      <c r="AA32" s="178"/>
      <c r="AB32" s="178"/>
      <c r="AC32" s="178"/>
    </row>
    <row r="33" spans="1:37">
      <c r="A33" s="481" t="s">
        <v>105</v>
      </c>
      <c r="B33" s="482"/>
      <c r="C33" s="482"/>
      <c r="D33" s="482"/>
      <c r="E33" s="482"/>
      <c r="F33" s="178"/>
      <c r="O33" s="181"/>
      <c r="X33" s="481" t="s">
        <v>214</v>
      </c>
      <c r="Y33" s="482"/>
      <c r="Z33" s="482"/>
      <c r="AA33" s="482"/>
      <c r="AB33" s="482"/>
      <c r="AC33" s="178"/>
    </row>
    <row r="34" spans="1:37">
      <c r="A34" s="8" t="s">
        <v>20</v>
      </c>
      <c r="B34" s="9">
        <v>2020</v>
      </c>
      <c r="C34" s="9">
        <v>2030</v>
      </c>
      <c r="D34" s="9">
        <v>2040</v>
      </c>
      <c r="E34" s="9">
        <v>2050</v>
      </c>
      <c r="F34" s="178"/>
      <c r="O34" s="181"/>
      <c r="X34" s="8" t="s">
        <v>20</v>
      </c>
      <c r="Y34" s="9">
        <v>2020</v>
      </c>
      <c r="Z34" s="9">
        <v>2030</v>
      </c>
      <c r="AA34" s="9">
        <v>2040</v>
      </c>
      <c r="AB34" s="9">
        <v>2050</v>
      </c>
      <c r="AC34" s="178"/>
    </row>
    <row r="35" spans="1:37">
      <c r="A35" s="124" t="s">
        <v>15</v>
      </c>
      <c r="B35" s="86">
        <f>B57+B116</f>
        <v>22595.21120051519</v>
      </c>
      <c r="C35" s="86">
        <f t="shared" ref="C35:E35" si="11">C57+C116</f>
        <v>16467.226494066581</v>
      </c>
      <c r="D35" s="86">
        <f t="shared" si="11"/>
        <v>13527.856442167027</v>
      </c>
      <c r="E35" s="86">
        <f t="shared" si="11"/>
        <v>10756.58989531611</v>
      </c>
      <c r="F35" s="178"/>
      <c r="O35" s="181"/>
      <c r="X35" s="124" t="s">
        <v>15</v>
      </c>
      <c r="Y35" s="86">
        <f>Y57+Y116</f>
        <v>22595.21120051519</v>
      </c>
      <c r="Z35" s="86">
        <f>Z57+Z116</f>
        <v>1655.6173484742862</v>
      </c>
      <c r="AA35" s="86">
        <f>AA57+AA116</f>
        <v>0</v>
      </c>
      <c r="AB35" s="86">
        <f>AB57+AB116</f>
        <v>0</v>
      </c>
      <c r="AC35" s="156">
        <f>Z35/Y35-1</f>
        <v>-0.92672706912177316</v>
      </c>
      <c r="AD35" t="s">
        <v>406</v>
      </c>
    </row>
    <row r="36" spans="1:37">
      <c r="A36" s="124" t="s">
        <v>16</v>
      </c>
      <c r="B36" s="86">
        <f>B58+B115</f>
        <v>72724.001974812665</v>
      </c>
      <c r="C36" s="86">
        <f t="shared" ref="C36:E36" si="12">C58+C115</f>
        <v>59107.143599473755</v>
      </c>
      <c r="D36" s="86">
        <f t="shared" si="12"/>
        <v>54381.501280066455</v>
      </c>
      <c r="E36" s="86">
        <f t="shared" si="12"/>
        <v>48964.706450822312</v>
      </c>
      <c r="F36" s="178"/>
      <c r="O36" s="181"/>
      <c r="X36" s="124" t="s">
        <v>16</v>
      </c>
      <c r="Y36" s="86">
        <f>Y58+Y115</f>
        <v>72856.92088779372</v>
      </c>
      <c r="Z36" s="86">
        <f>Z58+Z115</f>
        <v>51071.615911705252</v>
      </c>
      <c r="AA36" s="86">
        <f t="shared" ref="AA36" si="13">AA58+AA115</f>
        <v>25963.739370198418</v>
      </c>
      <c r="AB36" s="86">
        <f>AB58+AB115</f>
        <v>7104.0709646472214</v>
      </c>
      <c r="AC36" s="156">
        <f>Z36/Y36-1</f>
        <v>-0.29901490085807791</v>
      </c>
      <c r="AD36" t="s">
        <v>405</v>
      </c>
    </row>
    <row r="37" spans="1:37">
      <c r="A37" s="124" t="s">
        <v>21</v>
      </c>
      <c r="B37" s="86">
        <f>B59+B118</f>
        <v>8956.0754726763971</v>
      </c>
      <c r="C37" s="86">
        <f t="shared" ref="C37:D37" si="14">C59+C118</f>
        <v>8753.9663150461474</v>
      </c>
      <c r="D37" s="86">
        <f t="shared" si="14"/>
        <v>8305.5385010957034</v>
      </c>
      <c r="E37" s="86">
        <f>E59+E118</f>
        <v>7473.4207509827047</v>
      </c>
      <c r="F37" s="178"/>
      <c r="O37" s="181"/>
      <c r="X37" s="124" t="s">
        <v>21</v>
      </c>
      <c r="Y37" s="86">
        <f>Y59+Y118</f>
        <v>8956.0754726763953</v>
      </c>
      <c r="Z37" s="86">
        <f>Z59+Z118</f>
        <v>18485.672864157474</v>
      </c>
      <c r="AA37" s="86">
        <f>AA59+AA118</f>
        <v>19824.186140330257</v>
      </c>
      <c r="AB37" s="86">
        <f>AB59+AB118</f>
        <v>18758.833083694441</v>
      </c>
      <c r="AC37" s="156">
        <f t="shared" ref="AC37:AC40" si="15">Z37/Y37-1</f>
        <v>1.0640371913517712</v>
      </c>
      <c r="AD37" s="486" t="s">
        <v>397</v>
      </c>
      <c r="AE37" s="487"/>
      <c r="AF37" s="487"/>
      <c r="AG37" s="487"/>
      <c r="AH37" s="487"/>
      <c r="AI37" s="487"/>
      <c r="AJ37" s="487"/>
      <c r="AK37" s="487"/>
    </row>
    <row r="38" spans="1:37">
      <c r="A38" s="124" t="s">
        <v>22</v>
      </c>
      <c r="B38" s="86">
        <f>B60</f>
        <v>1272.5786804340246</v>
      </c>
      <c r="C38" s="86">
        <f t="shared" ref="C38:E38" si="16">C60</f>
        <v>1096.1877318231943</v>
      </c>
      <c r="D38" s="86">
        <f t="shared" si="16"/>
        <v>1044.2803407172721</v>
      </c>
      <c r="E38" s="86">
        <f t="shared" si="16"/>
        <v>969.07550599965407</v>
      </c>
      <c r="F38" s="178"/>
      <c r="O38" s="181"/>
      <c r="X38" s="124" t="s">
        <v>22</v>
      </c>
      <c r="Y38" s="86">
        <f>Y60</f>
        <v>1272.578680434025</v>
      </c>
      <c r="Z38" s="86">
        <f>Z60</f>
        <v>763.58375558271553</v>
      </c>
      <c r="AA38" s="86">
        <f>AA60</f>
        <v>418.76061780507041</v>
      </c>
      <c r="AB38" s="86">
        <f>AB60</f>
        <v>42.847815085769014</v>
      </c>
      <c r="AC38" s="156">
        <f t="shared" si="15"/>
        <v>-0.39997128089377698</v>
      </c>
    </row>
    <row r="39" spans="1:37">
      <c r="A39" s="124" t="s">
        <v>42</v>
      </c>
      <c r="B39" s="86">
        <f>B61+B117+B119</f>
        <v>1509.2890182714991</v>
      </c>
      <c r="C39" s="86">
        <f t="shared" ref="C39:E39" si="17">C61+C117+C119</f>
        <v>1539.1784578563154</v>
      </c>
      <c r="D39" s="86">
        <f t="shared" si="17"/>
        <v>1625.3271270041228</v>
      </c>
      <c r="E39" s="86">
        <f t="shared" si="17"/>
        <v>1663.1942136168313</v>
      </c>
      <c r="F39" s="178"/>
      <c r="O39" s="181"/>
      <c r="X39" s="124" t="s">
        <v>42</v>
      </c>
      <c r="Y39" s="86">
        <f>Y61+Y117+Y119</f>
        <v>1509.2890182714993</v>
      </c>
      <c r="Z39" s="86">
        <f>Z61+Z117+Z119</f>
        <v>2462.1507699560098</v>
      </c>
      <c r="AA39" s="86">
        <f>AA61+AA117+AA119</f>
        <v>2831.1894581985521</v>
      </c>
      <c r="AB39" s="86">
        <f t="shared" ref="AB39" si="18">AB61+AB117+AB119</f>
        <v>3511.0257949634315</v>
      </c>
      <c r="AC39" s="156">
        <f t="shared" si="15"/>
        <v>0.63133153435103329</v>
      </c>
    </row>
    <row r="40" spans="1:37">
      <c r="A40" s="124" t="s">
        <v>200</v>
      </c>
      <c r="B40" s="86">
        <f>B62+B63+B114</f>
        <v>152768.75226378979</v>
      </c>
      <c r="C40" s="86">
        <f t="shared" ref="C40:E40" si="19">C62+C63+C114</f>
        <v>159614.32786450916</v>
      </c>
      <c r="D40" s="86">
        <f t="shared" si="19"/>
        <v>181788.45259736807</v>
      </c>
      <c r="E40" s="86">
        <f t="shared" si="19"/>
        <v>211029.62951317258</v>
      </c>
      <c r="F40" s="178"/>
      <c r="O40" s="181"/>
      <c r="X40" s="124" t="s">
        <v>200</v>
      </c>
      <c r="Y40" s="86">
        <f>Y62+Y63+Y114</f>
        <v>145662.83125130209</v>
      </c>
      <c r="Z40" s="86">
        <f>Z62+Z63+Z114</f>
        <v>136977.6224843802</v>
      </c>
      <c r="AA40" s="86">
        <f>AA62+AA63+AA114</f>
        <v>137236.71449904685</v>
      </c>
      <c r="AB40" s="86">
        <f>AB62+AB63+AB114</f>
        <v>140049.27998551042</v>
      </c>
      <c r="AC40" s="156">
        <f t="shared" si="15"/>
        <v>-5.962542875428456E-2</v>
      </c>
    </row>
    <row r="41" spans="1:37">
      <c r="A41" s="12" t="s">
        <v>17</v>
      </c>
      <c r="B41" s="13">
        <f>SUM(B35:B40)</f>
        <v>259825.90861049958</v>
      </c>
      <c r="C41" s="13">
        <f t="shared" ref="C41:E41" si="20">SUM(C35:C40)</f>
        <v>246578.03046277515</v>
      </c>
      <c r="D41" s="13">
        <f t="shared" si="20"/>
        <v>260672.95628841867</v>
      </c>
      <c r="E41" s="13">
        <f t="shared" si="20"/>
        <v>280856.61632991023</v>
      </c>
      <c r="F41" s="178"/>
      <c r="O41" s="181"/>
      <c r="X41" s="12" t="s">
        <v>17</v>
      </c>
      <c r="Y41" s="13">
        <f>Y64+Y120</f>
        <v>252852.90651099291</v>
      </c>
      <c r="Z41" s="13">
        <f>Z64+Z120</f>
        <v>211518.53178411542</v>
      </c>
      <c r="AA41" s="13">
        <f>AA64+AA120</f>
        <v>186455.52810076275</v>
      </c>
      <c r="AB41" s="13">
        <f>AB64+AB120</f>
        <v>169695.28517908469</v>
      </c>
      <c r="AC41" s="178"/>
    </row>
    <row r="42" spans="1:37" ht="18.75">
      <c r="A42" s="179" t="s">
        <v>104</v>
      </c>
      <c r="B42" s="180">
        <f>B41/$B41-1</f>
        <v>0</v>
      </c>
      <c r="C42" s="180">
        <f>C41/$B41-1</f>
        <v>-5.0987517829040319E-2</v>
      </c>
      <c r="D42" s="180">
        <f>D41/$B41-1</f>
        <v>3.2600585617075239E-3</v>
      </c>
      <c r="E42" s="376">
        <f>E41/$B41-1</f>
        <v>8.0941534398470738E-2</v>
      </c>
      <c r="F42" s="178"/>
      <c r="O42" s="181"/>
      <c r="X42" s="179" t="s">
        <v>104</v>
      </c>
      <c r="Y42" s="180">
        <f>Y41/$Y41-1</f>
        <v>0</v>
      </c>
      <c r="Z42" s="180">
        <f>Z41/$Y41-1</f>
        <v>-0.16347201737655503</v>
      </c>
      <c r="AA42" s="180">
        <f>AA41/$Y41-1</f>
        <v>-0.26259290164554028</v>
      </c>
      <c r="AB42" s="185">
        <f>AB41/$Y41-1</f>
        <v>-0.32887745875404006</v>
      </c>
      <c r="AC42" s="178"/>
    </row>
    <row r="43" spans="1:37">
      <c r="B43" s="178"/>
      <c r="C43" s="178"/>
      <c r="D43" s="178"/>
      <c r="E43" s="178"/>
      <c r="F43" s="178"/>
      <c r="O43" s="181"/>
      <c r="Y43" s="178"/>
      <c r="Z43" s="178"/>
      <c r="AA43" s="178"/>
      <c r="AB43" s="178"/>
      <c r="AC43" s="178"/>
    </row>
    <row r="44" spans="1:37">
      <c r="B44" s="178">
        <f>SUM(B35:B40)</f>
        <v>259825.90861049958</v>
      </c>
      <c r="C44" s="178">
        <f t="shared" ref="C44:D44" si="21">SUM(C35:C40)</f>
        <v>246578.03046277515</v>
      </c>
      <c r="D44" s="178">
        <f t="shared" si="21"/>
        <v>260672.95628841867</v>
      </c>
      <c r="E44" s="178">
        <f>SUM(E35:E40)</f>
        <v>280856.61632991023</v>
      </c>
      <c r="F44" s="178"/>
      <c r="O44" s="181"/>
      <c r="Y44" s="178"/>
      <c r="Z44" s="178"/>
      <c r="AA44" s="178"/>
      <c r="AB44" s="178"/>
      <c r="AC44" s="178"/>
    </row>
    <row r="45" spans="1:37">
      <c r="B45" s="178"/>
      <c r="C45" s="178"/>
      <c r="D45" s="178"/>
      <c r="E45" s="178"/>
      <c r="F45" s="178"/>
      <c r="O45" s="181"/>
      <c r="Y45" s="178"/>
      <c r="Z45" s="178"/>
      <c r="AA45" s="178"/>
      <c r="AB45" s="178"/>
      <c r="AC45" s="178"/>
    </row>
    <row r="46" spans="1:37">
      <c r="B46" s="178"/>
      <c r="C46" s="178"/>
      <c r="D46" s="178"/>
      <c r="E46" s="178"/>
      <c r="F46" s="178"/>
      <c r="O46" s="181"/>
      <c r="Y46" s="178"/>
      <c r="Z46" s="178"/>
      <c r="AA46" s="178"/>
      <c r="AB46" s="178"/>
      <c r="AC46" s="178"/>
    </row>
    <row r="47" spans="1:37">
      <c r="B47" s="178"/>
      <c r="C47" s="178"/>
      <c r="D47" s="178"/>
      <c r="E47" s="178"/>
      <c r="F47" s="178"/>
      <c r="O47" s="181"/>
      <c r="Y47" s="259"/>
      <c r="Z47" s="178"/>
      <c r="AA47" s="178"/>
      <c r="AB47" s="178"/>
      <c r="AC47" s="178"/>
    </row>
    <row r="48" spans="1:37">
      <c r="B48" s="178"/>
      <c r="O48" s="181"/>
      <c r="Y48" s="178"/>
      <c r="AA48" s="259"/>
    </row>
    <row r="49" spans="1:31" ht="14.45" customHeight="1">
      <c r="A49" s="483" t="s">
        <v>197</v>
      </c>
      <c r="B49" s="483"/>
      <c r="C49" s="483"/>
      <c r="D49" s="483"/>
      <c r="E49" s="483"/>
      <c r="F49" s="483"/>
      <c r="G49" s="483"/>
      <c r="H49" s="483"/>
      <c r="I49" s="483"/>
      <c r="J49" s="483"/>
      <c r="K49" s="483"/>
      <c r="L49" s="483"/>
      <c r="M49" s="483"/>
      <c r="N49" s="483"/>
      <c r="O49" s="181"/>
      <c r="P49" s="483" t="s">
        <v>197</v>
      </c>
      <c r="Q49" s="483"/>
      <c r="R49" s="483"/>
      <c r="S49" s="483"/>
      <c r="T49" s="483"/>
      <c r="U49" s="483"/>
      <c r="V49" s="483"/>
      <c r="W49" s="483"/>
      <c r="X49" s="483"/>
      <c r="Y49" s="483"/>
      <c r="Z49" s="483"/>
      <c r="AA49" s="483"/>
      <c r="AB49" s="483"/>
      <c r="AC49" s="483"/>
      <c r="AD49" s="230"/>
    </row>
    <row r="50" spans="1:31" ht="14.45" customHeight="1">
      <c r="A50" s="483"/>
      <c r="B50" s="483"/>
      <c r="C50" s="483"/>
      <c r="D50" s="483"/>
      <c r="E50" s="483"/>
      <c r="F50" s="483"/>
      <c r="G50" s="483"/>
      <c r="H50" s="483"/>
      <c r="I50" s="483"/>
      <c r="J50" s="483"/>
      <c r="K50" s="483"/>
      <c r="L50" s="483"/>
      <c r="M50" s="483"/>
      <c r="N50" s="483"/>
      <c r="O50" s="181"/>
      <c r="P50" s="483"/>
      <c r="Q50" s="483"/>
      <c r="R50" s="483"/>
      <c r="S50" s="483"/>
      <c r="T50" s="483"/>
      <c r="U50" s="483"/>
      <c r="V50" s="483"/>
      <c r="W50" s="483"/>
      <c r="X50" s="483"/>
      <c r="Y50" s="483"/>
      <c r="Z50" s="483"/>
      <c r="AA50" s="483"/>
      <c r="AB50" s="483"/>
      <c r="AC50" s="483"/>
      <c r="AD50" s="230"/>
    </row>
    <row r="51" spans="1:31">
      <c r="B51" s="178"/>
      <c r="C51" s="178"/>
      <c r="D51" s="178"/>
      <c r="E51" s="178"/>
      <c r="F51" s="178"/>
      <c r="O51" s="181"/>
      <c r="Y51" s="178"/>
      <c r="Z51" s="178"/>
      <c r="AA51" s="178"/>
      <c r="AB51" s="178"/>
      <c r="AC51" s="178"/>
    </row>
    <row r="52" spans="1:31">
      <c r="B52" s="178"/>
      <c r="C52" s="178"/>
      <c r="D52" s="178"/>
      <c r="E52" s="178"/>
      <c r="F52" s="178"/>
      <c r="O52" s="181"/>
      <c r="Y52" s="178"/>
      <c r="Z52" s="178"/>
      <c r="AA52" s="178"/>
      <c r="AB52" s="178"/>
      <c r="AC52" s="178"/>
    </row>
    <row r="53" spans="1:31">
      <c r="B53" s="178"/>
      <c r="O53" s="181"/>
      <c r="Y53" s="178"/>
    </row>
    <row r="54" spans="1:31">
      <c r="B54" s="178"/>
      <c r="O54" s="181"/>
      <c r="Y54" s="178"/>
    </row>
    <row r="55" spans="1:31">
      <c r="A55" s="481" t="s">
        <v>254</v>
      </c>
      <c r="B55" s="482"/>
      <c r="C55" s="482"/>
      <c r="D55" s="482"/>
      <c r="E55" s="482"/>
      <c r="O55" s="181"/>
      <c r="X55" s="481" t="s">
        <v>253</v>
      </c>
      <c r="Y55" s="482"/>
      <c r="Z55" s="482"/>
      <c r="AA55" s="482"/>
      <c r="AB55" s="482"/>
    </row>
    <row r="56" spans="1:31">
      <c r="A56" s="8" t="s">
        <v>20</v>
      </c>
      <c r="B56" s="9">
        <v>2020</v>
      </c>
      <c r="C56" s="9">
        <v>2030</v>
      </c>
      <c r="D56" s="9">
        <v>2040</v>
      </c>
      <c r="E56" s="9">
        <v>2050</v>
      </c>
      <c r="O56" s="181"/>
      <c r="X56" s="8" t="s">
        <v>20</v>
      </c>
      <c r="Y56" s="9">
        <v>2020</v>
      </c>
      <c r="Z56" s="9">
        <v>2030</v>
      </c>
      <c r="AA56" s="9">
        <v>2040</v>
      </c>
      <c r="AB56" s="9">
        <v>2050</v>
      </c>
    </row>
    <row r="57" spans="1:31">
      <c r="A57" s="124" t="s">
        <v>15</v>
      </c>
      <c r="B57" s="86">
        <f>'Bureaux - AME'!H13+'CaHoREs - AME'!H13+'Commerce - AME'!H13+'Enseignement - AME'!H13+'Santé social - AME'!H13+'Sport Loisir Culture - AME'!H13+'Transport - AME'!H13</f>
        <v>17636.41517514189</v>
      </c>
      <c r="C57" s="86">
        <f>'Bureaux - AME'!I13+'CaHoREs - AME'!I13+'Commerce - AME'!I13+'Enseignement - AME'!I13+'Santé social - AME'!I13+'Sport Loisir Culture - AME'!I13+'Transport - AME'!I13</f>
        <v>12584.182610662096</v>
      </c>
      <c r="D57" s="86">
        <f>'Bureaux - AME'!J13+'CaHoREs - AME'!J13+'Commerce - AME'!J13+'Enseignement - AME'!J13+'Santé social - AME'!J13+'Sport Loisir Culture - AME'!J13+'Transport - AME'!J13</f>
        <v>10229.37334549831</v>
      </c>
      <c r="E57" s="86">
        <f>'Bureaux - AME'!K13+'CaHoREs - AME'!K13+'Commerce - AME'!K13+'Enseignement - AME'!K13+'Santé social - AME'!K13+'Sport Loisir Culture - AME'!K13+'Transport - AME'!K13</f>
        <v>7821.9678438685432</v>
      </c>
      <c r="F57" s="156"/>
      <c r="G57" s="156"/>
      <c r="O57" s="181"/>
      <c r="X57" s="124" t="s">
        <v>15</v>
      </c>
      <c r="Y57" s="86">
        <f>'Bureaux - AMS'!H13+'CaHoREs - AMS'!H13+'Commerce - AMS'!H13+'Enseignement - AMS'!H13+'Santé social - AMS'!H13+'Sport Loisir Culture - AMS'!H13+'Transport - AMS'!H13</f>
        <v>17636.41517514189</v>
      </c>
      <c r="Z57" s="86">
        <f>'Bureaux - AMS'!I13+'CaHoREs - AMS'!I13+'Commerce - AMS'!I13+'Enseignement - AMS'!I13+'Santé social - AMS'!I13+'Sport Loisir Culture - AMS'!I13+'Transport - AMS'!I13</f>
        <v>1411.0973255369272</v>
      </c>
      <c r="AA57" s="86">
        <f>'Bureaux - AMS'!J13+'CaHoREs - AMS'!J13+'Commerce - AMS'!J13+'Enseignement - AMS'!J13+'Santé social - AMS'!J13+'Sport Loisir Culture - AMS'!J13+'Transport - AMS'!J13</f>
        <v>0</v>
      </c>
      <c r="AB57" s="86">
        <f>'Bureaux - AMS'!K13+'CaHoREs - AMS'!K13+'Commerce - AMS'!K13+'Enseignement - AMS'!K13+'Santé social - AMS'!K13+'Sport Loisir Culture - AMS'!K13+'Transport - AMS'!K13</f>
        <v>0</v>
      </c>
    </row>
    <row r="58" spans="1:31">
      <c r="A58" s="124" t="s">
        <v>16</v>
      </c>
      <c r="B58" s="86">
        <f>'Bureaux - AME'!H14+'CaHoREs - AME'!H14+'Commerce - AME'!H14+'Enseignement - AME'!H14+'Santé social - AME'!H14+'Sport Loisir Culture - AME'!H14+'Transport - AME'!H14</f>
        <v>55805.569818181473</v>
      </c>
      <c r="C58" s="86">
        <f>'Bureaux - AME'!I14+'CaHoREs - AME'!I14+'Commerce - AME'!I14+'Enseignement - AME'!I14+'Santé social - AME'!I14+'Sport Loisir Culture - AME'!I14+'Transport - AME'!I14</f>
        <v>44705.077226923924</v>
      </c>
      <c r="D58" s="86">
        <f>'Bureaux - AME'!J14+'CaHoREs - AME'!J14+'Commerce - AME'!J14+'Enseignement - AME'!J14+'Santé social - AME'!J14+'Sport Loisir Culture - AME'!J14+'Transport - AME'!J14</f>
        <v>40854.269011504766</v>
      </c>
      <c r="E58" s="86">
        <f>'Bureaux - AME'!K14+'CaHoREs - AME'!K14+'Commerce - AME'!K14+'Enseignement - AME'!K14+'Santé social - AME'!K14+'Sport Loisir Culture - AME'!K14+'Transport - AME'!K14</f>
        <v>36337.094926563266</v>
      </c>
      <c r="F58" s="156"/>
      <c r="G58" s="156"/>
      <c r="H58" s="156"/>
      <c r="I58" s="156"/>
      <c r="O58" s="181"/>
      <c r="X58" s="124" t="s">
        <v>16</v>
      </c>
      <c r="Y58" s="86">
        <f>'Bureaux - AMS'!H14+'CaHoREs - AMS'!H14+'Commerce - AMS'!H14+'Enseignement - AMS'!H14+'Santé social - AMS'!H14+'Sport Loisir Culture - AMS'!H14+'Transport - AMS'!H14</f>
        <v>55805.569818181481</v>
      </c>
      <c r="Z58" s="86">
        <f>'Bureaux - AMS'!I14+'CaHoREs - AMS'!I14+'Commerce - AMS'!I14+'Enseignement - AMS'!I14+'Santé social - AMS'!I14+'Sport Loisir Culture - AMS'!I14+'Transport - AMS'!I14</f>
        <v>41301.667769533931</v>
      </c>
      <c r="AA58" s="86">
        <f>'Bureaux - AMS'!J14+'CaHoREs - AMS'!J14+'Commerce - AMS'!J14+'Enseignement - AMS'!J14+'Santé social - AMS'!J14+'Sport Loisir Culture - AMS'!J14+'Transport - AMS'!J14</f>
        <v>21174.698028326031</v>
      </c>
      <c r="AB58" s="86">
        <f>'Bureaux - AMS'!K14+'CaHoREs - AMS'!K14+'Commerce - AMS'!K14+'Enseignement - AMS'!K14+'Santé social - AMS'!K14+'Sport Loisir Culture - AMS'!K14+'Transport - AMS'!K14</f>
        <v>5708.0512736598066</v>
      </c>
    </row>
    <row r="59" spans="1:31">
      <c r="A59" s="124" t="s">
        <v>21</v>
      </c>
      <c r="B59" s="86">
        <f>'Bureaux - AME'!H15+'CaHoREs - AME'!H15+'Commerce - AME'!H15+'Enseignement - AME'!H15+'Santé social - AME'!H15+'Sport Loisir Culture - AME'!H15+'Transport - AME'!H15</f>
        <v>7405.5823362088131</v>
      </c>
      <c r="C59" s="86">
        <f>'Bureaux - AME'!I15+'CaHoREs - AME'!I15+'Commerce - AME'!I15+'Enseignement - AME'!I15+'Santé social - AME'!I15+'Sport Loisir Culture - AME'!I15+'Transport - AME'!I15</f>
        <v>7048.9529855965102</v>
      </c>
      <c r="D59" s="86">
        <f>'Bureaux - AME'!J15+'CaHoREs - AME'!J15+'Commerce - AME'!J15+'Enseignement - AME'!J15+'Santé social - AME'!J15+'Sport Loisir Culture - AME'!J15+'Transport - AME'!J15</f>
        <v>6658.4541853988148</v>
      </c>
      <c r="E59" s="86">
        <f>'Bureaux - AME'!K15+'CaHoREs - AME'!K15+'Commerce - AME'!K15+'Enseignement - AME'!K15+'Santé social - AME'!K15+'Sport Loisir Culture - AME'!K15+'Transport - AME'!K15</f>
        <v>5916.0549484635621</v>
      </c>
      <c r="F59" s="156"/>
      <c r="G59" s="156"/>
      <c r="H59" s="156"/>
      <c r="I59" s="156"/>
      <c r="O59" s="181"/>
      <c r="X59" s="124" t="s">
        <v>21</v>
      </c>
      <c r="Y59" s="86">
        <f>'Bureaux - AMS'!H15+'CaHoREs - AMS'!H15+'Commerce - AMS'!H15+'Enseignement - AMS'!H15+'Santé social - AMS'!H15+'Sport Loisir Culture - AMS'!H15+'Transport - AMS'!H15</f>
        <v>7405.5823362088113</v>
      </c>
      <c r="Z59" s="86">
        <f>'Bureaux - AMS'!I15+'CaHoREs - AMS'!I15+'Commerce - AMS'!I15+'Enseignement - AMS'!I15+'Santé social - AMS'!I15+'Sport Loisir Culture - AMS'!I15+'Transport - AMS'!I15</f>
        <v>14974.44582558326</v>
      </c>
      <c r="AA59" s="86">
        <f>'Bureaux - AMS'!J15+'CaHoREs - AMS'!J15+'Commerce - AMS'!J15+'Enseignement - AMS'!J15+'Santé social - AMS'!J15+'Sport Loisir Culture - AMS'!J15+'Transport - AMS'!J15</f>
        <v>16388.069440834635</v>
      </c>
      <c r="AB59" s="86">
        <f>'Bureaux - AMS'!K15+'CaHoREs - AMS'!K15+'Commerce - AMS'!K15+'Enseignement - AMS'!K15+'Santé social - AMS'!K15+'Sport Loisir Culture - AMS'!K15+'Transport - AMS'!K15</f>
        <v>15701.441098252917</v>
      </c>
      <c r="AE59" s="178"/>
    </row>
    <row r="60" spans="1:31">
      <c r="A60" s="124" t="s">
        <v>22</v>
      </c>
      <c r="B60" s="86">
        <f>'Bureaux - AME'!H16+'CaHoREs - AME'!H16+'Commerce - AME'!H16+'Enseignement - AME'!H16+'Santé social - AME'!H16+'Sport Loisir Culture - AME'!H16+'Transport - AME'!H16</f>
        <v>1272.5786804340246</v>
      </c>
      <c r="C60" s="86">
        <f>'Bureaux - AME'!I16+'CaHoREs - AME'!I16+'Commerce - AME'!I16+'Enseignement - AME'!I16+'Santé social - AME'!I16+'Sport Loisir Culture - AME'!I16+'Transport - AME'!I16</f>
        <v>1096.1877318231943</v>
      </c>
      <c r="D60" s="86">
        <f>'Bureaux - AME'!J16+'CaHoREs - AME'!J16+'Commerce - AME'!J16+'Enseignement - AME'!J16+'Santé social - AME'!J16+'Sport Loisir Culture - AME'!J16+'Transport - AME'!J16</f>
        <v>1044.2803407172721</v>
      </c>
      <c r="E60" s="86">
        <f>'Bureaux - AME'!K16+'CaHoREs - AME'!K16+'Commerce - AME'!K16+'Enseignement - AME'!K16+'Santé social - AME'!K16+'Sport Loisir Culture - AME'!K16+'Transport - AME'!K16</f>
        <v>969.07550599965407</v>
      </c>
      <c r="F60" s="156"/>
      <c r="G60" s="156"/>
      <c r="H60" s="156"/>
      <c r="I60" s="156"/>
      <c r="O60" s="181"/>
      <c r="X60" s="124" t="s">
        <v>22</v>
      </c>
      <c r="Y60" s="86">
        <f>'Bureaux - AMS'!H16+'CaHoREs - AMS'!H16+'Commerce - AMS'!H16+'Enseignement - AMS'!H16+'Santé social - AMS'!H16+'Sport Loisir Culture - AMS'!H16+'Transport - AMS'!H16</f>
        <v>1272.578680434025</v>
      </c>
      <c r="Z60" s="86">
        <f>'Bureaux - AMS'!I16+'CaHoREs - AMS'!I16+'Commerce - AMS'!I16+'Enseignement - AMS'!I16+'Santé social - AMS'!I16+'Sport Loisir Culture - AMS'!I16+'Transport - AMS'!I16</f>
        <v>763.58375558271553</v>
      </c>
      <c r="AA60" s="86">
        <f>'Bureaux - AMS'!J16+'CaHoREs - AMS'!J16+'Commerce - AMS'!J16+'Enseignement - AMS'!J16+'Santé social - AMS'!J16+'Sport Loisir Culture - AMS'!J16+'Transport - AMS'!J16</f>
        <v>418.76061780507041</v>
      </c>
      <c r="AB60" s="86">
        <f>'Bureaux - AMS'!K16+'CaHoREs - AMS'!K16+'Commerce - AMS'!K16+'Enseignement - AMS'!K16+'Santé social - AMS'!K16+'Sport Loisir Culture - AMS'!K16+'Transport - AMS'!K16</f>
        <v>42.847815085769014</v>
      </c>
    </row>
    <row r="61" spans="1:31">
      <c r="A61" s="124" t="s">
        <v>42</v>
      </c>
      <c r="B61" s="86">
        <f>'Bureaux - AME'!H17+'CaHoREs - AME'!H17+'Commerce - AME'!H17+'Enseignement - AME'!H17+'Santé social - AME'!H17+'Sport Loisir Culture - AME'!H17+'Transport - AME'!H17</f>
        <v>1294.6736683610475</v>
      </c>
      <c r="C61" s="86">
        <f>'Bureaux - AME'!I17+'CaHoREs - AME'!I17+'Commerce - AME'!I17+'Enseignement - AME'!I17+'Santé social - AME'!I17+'Sport Loisir Culture - AME'!I17+'Transport - AME'!I17</f>
        <v>1301.9332915284222</v>
      </c>
      <c r="D61" s="86">
        <f>'Bureaux - AME'!J17+'CaHoREs - AME'!J17+'Commerce - AME'!J17+'Enseignement - AME'!J17+'Santé social - AME'!J17+'Sport Loisir Culture - AME'!J17+'Transport - AME'!J17</f>
        <v>1378.0056117330932</v>
      </c>
      <c r="E61" s="86">
        <f>'Bureaux - AME'!K17+'CaHoREs - AME'!K17+'Commerce - AME'!K17+'Enseignement - AME'!K17+'Santé social - AME'!K17+'Sport Loisir Culture - AME'!K17+'Transport - AME'!K17</f>
        <v>1409.2486004040202</v>
      </c>
      <c r="F61" s="156"/>
      <c r="G61" s="156"/>
      <c r="H61" s="156"/>
      <c r="I61" s="156"/>
      <c r="J61" s="156"/>
      <c r="O61" s="181"/>
      <c r="X61" s="124" t="s">
        <v>42</v>
      </c>
      <c r="Y61" s="86">
        <f>'Bureaux - AMS'!H17+'CaHoREs - AMS'!H17+'Commerce - AMS'!H17+'Enseignement - AMS'!H17+'Santé social - AMS'!H17+'Sport Loisir Culture - AMS'!H17+'Transport - AMS'!H17</f>
        <v>1294.6736683610477</v>
      </c>
      <c r="Z61" s="86">
        <f>'Bureaux - AMS'!I17+'CaHoREs - AMS'!I17+'Commerce - AMS'!I17+'Enseignement - AMS'!I17+'Santé social - AMS'!I17+'Sport Loisir Culture - AMS'!I17+'Transport - AMS'!I17</f>
        <v>1799.0293510602953</v>
      </c>
      <c r="AA61" s="86">
        <f>'Bureaux - AMS'!J17+'CaHoREs - AMS'!J17+'Commerce - AMS'!J17+'Enseignement - AMS'!J17+'Santé social - AMS'!J17+'Sport Loisir Culture - AMS'!J17+'Transport - AMS'!J17</f>
        <v>2297.5208873624133</v>
      </c>
      <c r="AB61" s="86">
        <f>'Bureaux - AMS'!K17+'CaHoREs - AMS'!K17+'Commerce - AMS'!K17+'Enseignement - AMS'!K17+'Santé social - AMS'!K17+'Sport Loisir Culture - AMS'!K17+'Transport - AMS'!K17</f>
        <v>3074.7129915548476</v>
      </c>
    </row>
    <row r="62" spans="1:31">
      <c r="A62" s="124" t="s">
        <v>46</v>
      </c>
      <c r="B62" s="86">
        <f>'Bureaux - AME'!H18+'CaHoREs - AME'!H18+'Commerce - AME'!H18+'Enseignement - AME'!H18+'Santé social - AME'!H18+'Sport Loisir Culture - AME'!H18+'Transport - AME'!H18</f>
        <v>14607.452993119286</v>
      </c>
      <c r="C62" s="86">
        <f>'Bureaux - AME'!I18+'CaHoREs - AME'!I18+'Commerce - AME'!I18+'Enseignement - AME'!I18+'Santé social - AME'!I18+'Sport Loisir Culture - AME'!I18+'Transport - AME'!I18</f>
        <v>10422.470509805571</v>
      </c>
      <c r="D62" s="86">
        <f>'Bureaux - AME'!J18+'CaHoREs - AME'!J18+'Commerce - AME'!J18+'Enseignement - AME'!J18+'Santé social - AME'!J18+'Sport Loisir Culture - AME'!J18+'Transport - AME'!J18</f>
        <v>8187.5358792873649</v>
      </c>
      <c r="E62" s="86">
        <f>'Bureaux - AME'!K18+'CaHoREs - AME'!K18+'Commerce - AME'!K18+'Enseignement - AME'!K18+'Santé social - AME'!K18+'Sport Loisir Culture - AME'!K18+'Transport - AME'!K18</f>
        <v>5993.7366700902885</v>
      </c>
      <c r="F62" s="156"/>
      <c r="G62" s="156"/>
      <c r="H62" s="156"/>
      <c r="I62" s="156"/>
      <c r="O62" s="181"/>
      <c r="X62" s="124" t="s">
        <v>46</v>
      </c>
      <c r="Y62" s="86">
        <f>'Bureaux - AMS'!H18+'CaHoREs - AMS'!H18+'Commerce - AMS'!H18+'Enseignement - AMS'!H18+'Santé social - AMS'!H18+'Sport Loisir Culture - AMS'!H18+'Transport - AMS'!H18</f>
        <v>14607.452993119286</v>
      </c>
      <c r="Z62" s="86">
        <f>'Bureaux - AMS'!I18+'CaHoREs - AMS'!I18+'Commerce - AMS'!I18+'Enseignement - AMS'!I18+'Santé social - AMS'!I18+'Sport Loisir Culture - AMS'!I18+'Transport - AMS'!I18</f>
        <v>9539.9969199729494</v>
      </c>
      <c r="AA62" s="86">
        <f>'Bureaux - AMS'!J18+'CaHoREs - AMS'!J18+'Commerce - AMS'!J18+'Enseignement - AMS'!J18+'Santé social - AMS'!J18+'Sport Loisir Culture - AMS'!J18+'Transport - AMS'!J18</f>
        <v>5615.8800427847891</v>
      </c>
      <c r="AB62" s="86">
        <f>'Bureaux - AMS'!K18+'CaHoREs - AMS'!K18+'Commerce - AMS'!K18+'Enseignement - AMS'!K18+'Santé social - AMS'!K18+'Sport Loisir Culture - AMS'!K18+'Transport - AMS'!K18</f>
        <v>4770.5674859576711</v>
      </c>
    </row>
    <row r="63" spans="1:31">
      <c r="A63" s="124" t="s">
        <v>47</v>
      </c>
      <c r="B63" s="86">
        <f>'Bureaux - AME'!H19+'CaHoREs - AME'!H19+'Commerce - AME'!H19+'Enseignement - AME'!H19+'Santé social - AME'!H19+'Sport Loisir Culture - AME'!H19+'Transport - AME'!H19</f>
        <v>2975.3947624956108</v>
      </c>
      <c r="C63" s="86">
        <f>'Bureaux - AME'!I19+'CaHoREs - AME'!I19+'Commerce - AME'!I19+'Enseignement - AME'!I19+'Santé social - AME'!I19+'Sport Loisir Culture - AME'!I19+'Transport - AME'!I19</f>
        <v>5620.3727033937375</v>
      </c>
      <c r="D63" s="86">
        <f>'Bureaux - AME'!J19+'CaHoREs - AME'!J19+'Commerce - AME'!J19+'Enseignement - AME'!J19+'Santé social - AME'!J19+'Sport Loisir Culture - AME'!J19+'Transport - AME'!J19</f>
        <v>7304.4367432002919</v>
      </c>
      <c r="E63" s="86">
        <f>'Bureaux - AME'!K19+'CaHoREs - AME'!K19+'Commerce - AME'!K19+'Enseignement - AME'!K19+'Santé social - AME'!K19+'Sport Loisir Culture - AME'!K19+'Transport - AME'!K19</f>
        <v>8429.2692540370481</v>
      </c>
      <c r="F63" s="156"/>
      <c r="G63" s="156"/>
      <c r="H63" s="156"/>
      <c r="I63" s="156"/>
      <c r="O63" s="181"/>
      <c r="X63" s="124" t="s">
        <v>47</v>
      </c>
      <c r="Y63" s="86">
        <f>'Bureaux - AMS'!H19+'CaHoREs - AMS'!H19+'Commerce - AMS'!H19+'Enseignement - AMS'!H19+'Santé social - AMS'!H19+'Sport Loisir Culture - AMS'!H19+'Transport - AMS'!H19</f>
        <v>2975.3947624956104</v>
      </c>
      <c r="Z63" s="86">
        <f>'Bureaux - AMS'!I19+'CaHoREs - AMS'!I19+'Commerce - AMS'!I19+'Enseignement - AMS'!I19+'Santé social - AMS'!I19+'Sport Loisir Culture - AMS'!I19+'Transport - AMS'!I19</f>
        <v>11422.844569805307</v>
      </c>
      <c r="AA63" s="86">
        <f>'Bureaux - AMS'!J19+'CaHoREs - AMS'!J19+'Commerce - AMS'!J19+'Enseignement - AMS'!J19+'Santé social - AMS'!J19+'Sport Loisir Culture - AMS'!J19+'Transport - AMS'!J19</f>
        <v>16878.929176102607</v>
      </c>
      <c r="AB63" s="86">
        <f>'Bureaux - AMS'!K19+'CaHoREs - AMS'!K19+'Commerce - AMS'!K19+'Enseignement - AMS'!K19+'Santé social - AMS'!K19+'Sport Loisir Culture - AMS'!K19+'Transport - AMS'!K19</f>
        <v>19771.464602507902</v>
      </c>
    </row>
    <row r="64" spans="1:31">
      <c r="A64" s="12" t="s">
        <v>17</v>
      </c>
      <c r="B64" s="13">
        <f>SUM(B57:B63)</f>
        <v>100997.66743394214</v>
      </c>
      <c r="C64" s="13">
        <f t="shared" ref="C64:E64" si="22">SUM(C57:C63)</f>
        <v>82779.17705973344</v>
      </c>
      <c r="D64" s="13">
        <f t="shared" si="22"/>
        <v>75656.355117339903</v>
      </c>
      <c r="E64" s="13">
        <f t="shared" si="22"/>
        <v>66876.447749426385</v>
      </c>
      <c r="O64" s="181"/>
      <c r="X64" s="12" t="s">
        <v>17</v>
      </c>
      <c r="Y64" s="13">
        <f>SUM(Y57:Y63)</f>
        <v>100997.66743394214</v>
      </c>
      <c r="Z64" s="13">
        <f t="shared" ref="Z64:AB64" si="23">SUM(Z57:Z63)</f>
        <v>81212.66551707538</v>
      </c>
      <c r="AA64" s="13">
        <f t="shared" si="23"/>
        <v>62773.85819321555</v>
      </c>
      <c r="AB64" s="13">
        <f t="shared" si="23"/>
        <v>49069.08526701892</v>
      </c>
    </row>
    <row r="65" spans="1:28" ht="31.5" customHeight="1">
      <c r="A65" s="179" t="s">
        <v>104</v>
      </c>
      <c r="B65" s="180">
        <f>B64/$B64-1</f>
        <v>0</v>
      </c>
      <c r="C65" s="180">
        <f>C64/$B64-1</f>
        <v>-0.18038525875980815</v>
      </c>
      <c r="D65" s="180">
        <f>D64/$B64-1</f>
        <v>-0.25090987703430689</v>
      </c>
      <c r="E65" s="185">
        <f>E64/$B64-1</f>
        <v>-0.33784166061887377</v>
      </c>
      <c r="O65" s="181"/>
      <c r="X65" s="309" t="s">
        <v>289</v>
      </c>
      <c r="Y65" s="180">
        <f>Y64/$Y64-1</f>
        <v>0</v>
      </c>
      <c r="Z65" s="180">
        <f>Z64/$Y64-1</f>
        <v>-0.19589563224128126</v>
      </c>
      <c r="AA65" s="180">
        <f t="shared" ref="AA65:AB65" si="24">AA64/$Y64-1</f>
        <v>-0.37846229731718306</v>
      </c>
      <c r="AB65" s="185">
        <f t="shared" si="24"/>
        <v>-0.51415625218163852</v>
      </c>
    </row>
    <row r="66" spans="1:28">
      <c r="O66" s="181"/>
      <c r="Y66" s="178"/>
    </row>
    <row r="67" spans="1:28">
      <c r="A67" s="484"/>
      <c r="B67" s="485"/>
      <c r="C67" s="485"/>
      <c r="D67" s="485"/>
      <c r="E67" s="485"/>
      <c r="F67" s="235"/>
      <c r="G67" s="235"/>
      <c r="H67" s="235"/>
      <c r="I67" s="235"/>
      <c r="J67" s="235"/>
      <c r="K67" s="235"/>
      <c r="L67" s="235"/>
      <c r="M67" s="235"/>
      <c r="N67" s="235"/>
      <c r="O67" s="236"/>
      <c r="P67" s="235"/>
      <c r="Q67" s="235"/>
      <c r="R67" s="235"/>
      <c r="S67" s="235"/>
      <c r="T67" s="235"/>
      <c r="U67" s="235"/>
      <c r="V67" s="235"/>
      <c r="W67" s="235"/>
      <c r="X67" s="484" t="s">
        <v>202</v>
      </c>
      <c r="Y67" s="485"/>
      <c r="Z67" s="485"/>
      <c r="AA67" s="485"/>
      <c r="AB67" s="485"/>
    </row>
    <row r="68" spans="1:28">
      <c r="A68" s="237"/>
      <c r="B68" s="238"/>
      <c r="C68" s="238"/>
      <c r="D68" s="238"/>
      <c r="E68" s="238"/>
      <c r="F68" s="235"/>
      <c r="G68" s="235"/>
      <c r="H68" s="235"/>
      <c r="I68" s="235"/>
      <c r="J68" s="235"/>
      <c r="K68" s="235"/>
      <c r="L68" s="235"/>
      <c r="M68" s="235"/>
      <c r="N68" s="235"/>
      <c r="O68" s="236"/>
      <c r="P68" s="235"/>
      <c r="Q68" s="235"/>
      <c r="R68" s="235"/>
      <c r="S68" s="235"/>
      <c r="T68" s="235"/>
      <c r="U68" s="235"/>
      <c r="V68" s="235"/>
      <c r="W68" s="235"/>
      <c r="X68" s="237" t="s">
        <v>20</v>
      </c>
      <c r="Y68" s="238">
        <v>2020</v>
      </c>
      <c r="Z68" s="238">
        <v>2030</v>
      </c>
      <c r="AA68" s="238">
        <v>2040</v>
      </c>
      <c r="AB68" s="238">
        <v>2050</v>
      </c>
    </row>
    <row r="69" spans="1:28">
      <c r="A69" s="239"/>
      <c r="B69" s="240"/>
      <c r="C69" s="240"/>
      <c r="D69" s="240"/>
      <c r="E69" s="240"/>
      <c r="F69" s="235"/>
      <c r="G69" s="235"/>
      <c r="H69" s="235"/>
      <c r="I69" s="235"/>
      <c r="J69" s="235"/>
      <c r="K69" s="235"/>
      <c r="L69" s="235"/>
      <c r="M69" s="235"/>
      <c r="N69" s="235"/>
      <c r="O69" s="236"/>
      <c r="P69" s="235"/>
      <c r="Q69" s="235"/>
      <c r="R69" s="235"/>
      <c r="S69" s="235"/>
      <c r="T69" s="235"/>
      <c r="U69" s="235"/>
      <c r="V69" s="235"/>
      <c r="W69" s="235"/>
      <c r="X69" s="239" t="s">
        <v>15</v>
      </c>
      <c r="Y69" s="240">
        <f>Y57*$B$76/$B$64</f>
        <v>0</v>
      </c>
      <c r="Z69" s="240">
        <f t="shared" ref="Z69:AB69" si="25">Z57*$B$76/$B$64</f>
        <v>0</v>
      </c>
      <c r="AA69" s="240">
        <f t="shared" si="25"/>
        <v>0</v>
      </c>
      <c r="AB69" s="240">
        <f t="shared" si="25"/>
        <v>0</v>
      </c>
    </row>
    <row r="70" spans="1:28">
      <c r="A70" s="239"/>
      <c r="B70" s="240"/>
      <c r="C70" s="240"/>
      <c r="D70" s="240"/>
      <c r="E70" s="240"/>
      <c r="F70" s="235"/>
      <c r="G70" s="235"/>
      <c r="H70" s="235"/>
      <c r="I70" s="235"/>
      <c r="J70" s="235"/>
      <c r="K70" s="235"/>
      <c r="L70" s="235"/>
      <c r="M70" s="235"/>
      <c r="N70" s="235"/>
      <c r="O70" s="236"/>
      <c r="P70" s="235"/>
      <c r="Q70" s="235"/>
      <c r="R70" s="235"/>
      <c r="S70" s="235"/>
      <c r="T70" s="235"/>
      <c r="U70" s="235"/>
      <c r="V70" s="235"/>
      <c r="W70" s="235"/>
      <c r="X70" s="239" t="s">
        <v>16</v>
      </c>
      <c r="Y70" s="240">
        <f t="shared" ref="Y70:AB70" si="26">Y58*$B$76/$B$64</f>
        <v>0</v>
      </c>
      <c r="Z70" s="240">
        <f t="shared" si="26"/>
        <v>0</v>
      </c>
      <c r="AA70" s="240">
        <f t="shared" si="26"/>
        <v>0</v>
      </c>
      <c r="AB70" s="240">
        <f t="shared" si="26"/>
        <v>0</v>
      </c>
    </row>
    <row r="71" spans="1:28">
      <c r="A71" s="239"/>
      <c r="B71" s="240"/>
      <c r="C71" s="240"/>
      <c r="D71" s="240"/>
      <c r="E71" s="240"/>
      <c r="F71" s="235"/>
      <c r="G71" s="235"/>
      <c r="H71" s="235"/>
      <c r="I71" s="235"/>
      <c r="J71" s="235"/>
      <c r="K71" s="235"/>
      <c r="L71" s="235"/>
      <c r="M71" s="235"/>
      <c r="N71" s="235"/>
      <c r="O71" s="236"/>
      <c r="P71" s="235"/>
      <c r="Q71" s="235"/>
      <c r="R71" s="235"/>
      <c r="S71" s="235"/>
      <c r="T71" s="235"/>
      <c r="U71" s="235"/>
      <c r="V71" s="235"/>
      <c r="W71" s="235"/>
      <c r="X71" s="239" t="s">
        <v>21</v>
      </c>
      <c r="Y71" s="240">
        <f t="shared" ref="Y71:AA71" si="27">Y59*$B$76/$B$64</f>
        <v>0</v>
      </c>
      <c r="Z71" s="240">
        <f t="shared" si="27"/>
        <v>0</v>
      </c>
      <c r="AA71" s="240">
        <f t="shared" si="27"/>
        <v>0</v>
      </c>
      <c r="AB71" s="240">
        <f>AB59*$B$76/$B$64</f>
        <v>0</v>
      </c>
    </row>
    <row r="72" spans="1:28">
      <c r="A72" s="239"/>
      <c r="B72" s="240"/>
      <c r="C72" s="240"/>
      <c r="D72" s="240"/>
      <c r="E72" s="240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235"/>
      <c r="Q72" s="235"/>
      <c r="R72" s="235"/>
      <c r="S72" s="235"/>
      <c r="T72" s="235"/>
      <c r="U72" s="235"/>
      <c r="V72" s="235"/>
      <c r="W72" s="235"/>
      <c r="X72" s="239" t="s">
        <v>22</v>
      </c>
      <c r="Y72" s="240">
        <f t="shared" ref="Y72:AB72" si="28">Y60*$B$76/$B$64</f>
        <v>0</v>
      </c>
      <c r="Z72" s="240">
        <f t="shared" si="28"/>
        <v>0</v>
      </c>
      <c r="AA72" s="240">
        <f t="shared" si="28"/>
        <v>0</v>
      </c>
      <c r="AB72" s="240">
        <f t="shared" si="28"/>
        <v>0</v>
      </c>
    </row>
    <row r="73" spans="1:28">
      <c r="A73" s="239"/>
      <c r="B73" s="240"/>
      <c r="C73" s="240"/>
      <c r="D73" s="240"/>
      <c r="E73" s="240"/>
      <c r="F73" s="235"/>
      <c r="G73" s="235"/>
      <c r="H73" s="235"/>
      <c r="I73" s="235"/>
      <c r="J73" s="235"/>
      <c r="K73" s="235"/>
      <c r="L73" s="235"/>
      <c r="M73" s="235"/>
      <c r="N73" s="235"/>
      <c r="O73" s="236"/>
      <c r="P73" s="235"/>
      <c r="Q73" s="235"/>
      <c r="R73" s="235"/>
      <c r="S73" s="235"/>
      <c r="T73" s="235"/>
      <c r="U73" s="235"/>
      <c r="V73" s="235"/>
      <c r="W73" s="235"/>
      <c r="X73" s="239" t="s">
        <v>42</v>
      </c>
      <c r="Y73" s="240">
        <f t="shared" ref="Y73:AB73" si="29">Y61*$B$76/$B$64</f>
        <v>0</v>
      </c>
      <c r="Z73" s="240">
        <f t="shared" si="29"/>
        <v>0</v>
      </c>
      <c r="AA73" s="240">
        <f t="shared" si="29"/>
        <v>0</v>
      </c>
      <c r="AB73" s="240">
        <f t="shared" si="29"/>
        <v>0</v>
      </c>
    </row>
    <row r="74" spans="1:28">
      <c r="A74" s="239"/>
      <c r="B74" s="240"/>
      <c r="C74" s="240"/>
      <c r="D74" s="240"/>
      <c r="E74" s="240"/>
      <c r="F74" s="235"/>
      <c r="G74" s="235"/>
      <c r="H74" s="235"/>
      <c r="I74" s="235"/>
      <c r="J74" s="235"/>
      <c r="K74" s="235"/>
      <c r="L74" s="235"/>
      <c r="M74" s="235"/>
      <c r="N74" s="235"/>
      <c r="O74" s="236"/>
      <c r="P74" s="235"/>
      <c r="Q74" s="235"/>
      <c r="R74" s="235"/>
      <c r="S74" s="235"/>
      <c r="T74" s="235"/>
      <c r="U74" s="235"/>
      <c r="V74" s="235"/>
      <c r="W74" s="235"/>
      <c r="X74" s="239" t="s">
        <v>46</v>
      </c>
      <c r="Y74" s="240">
        <f>Y62*$B$76/$B$64</f>
        <v>0</v>
      </c>
      <c r="Z74" s="240">
        <f t="shared" ref="Z74:AB74" si="30">Z62*$B$76/$B$64</f>
        <v>0</v>
      </c>
      <c r="AA74" s="240">
        <f t="shared" si="30"/>
        <v>0</v>
      </c>
      <c r="AB74" s="240">
        <f t="shared" si="30"/>
        <v>0</v>
      </c>
    </row>
    <row r="75" spans="1:28">
      <c r="A75" s="239"/>
      <c r="B75" s="240"/>
      <c r="C75" s="240"/>
      <c r="D75" s="240"/>
      <c r="E75" s="240"/>
      <c r="F75" s="235"/>
      <c r="G75" s="235"/>
      <c r="H75" s="235"/>
      <c r="I75" s="235"/>
      <c r="J75" s="235"/>
      <c r="K75" s="235"/>
      <c r="L75" s="235"/>
      <c r="M75" s="235"/>
      <c r="N75" s="235"/>
      <c r="O75" s="236"/>
      <c r="P75" s="235"/>
      <c r="Q75" s="235"/>
      <c r="R75" s="235"/>
      <c r="S75" s="235"/>
      <c r="T75" s="235"/>
      <c r="U75" s="235"/>
      <c r="V75" s="235"/>
      <c r="W75" s="235"/>
      <c r="X75" s="239" t="s">
        <v>47</v>
      </c>
      <c r="Y75" s="240">
        <f t="shared" ref="Y75:AB75" si="31">Y63*$B$76/$B$64</f>
        <v>0</v>
      </c>
      <c r="Z75" s="240">
        <f t="shared" si="31"/>
        <v>0</v>
      </c>
      <c r="AA75" s="240">
        <f t="shared" si="31"/>
        <v>0</v>
      </c>
      <c r="AB75" s="240">
        <f t="shared" si="31"/>
        <v>0</v>
      </c>
    </row>
    <row r="76" spans="1:28">
      <c r="A76" s="241"/>
      <c r="B76" s="242"/>
      <c r="C76" s="240"/>
      <c r="D76" s="240"/>
      <c r="E76" s="240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235"/>
      <c r="Q76" s="235"/>
      <c r="R76" s="235"/>
      <c r="S76" s="235"/>
      <c r="T76" s="235"/>
      <c r="U76" s="235"/>
      <c r="V76" s="235"/>
      <c r="W76" s="235"/>
      <c r="X76" s="241" t="s">
        <v>17</v>
      </c>
      <c r="Y76" s="242">
        <v>112000</v>
      </c>
      <c r="Z76" s="240">
        <f t="shared" ref="Z76:AB76" si="32">Z64*$B$76/$B$64</f>
        <v>0</v>
      </c>
      <c r="AA76" s="240">
        <f t="shared" si="32"/>
        <v>0</v>
      </c>
      <c r="AB76" s="240">
        <f t="shared" si="32"/>
        <v>0</v>
      </c>
    </row>
    <row r="77" spans="1:28" ht="18.75">
      <c r="A77" s="243"/>
      <c r="B77" s="244"/>
      <c r="C77" s="244"/>
      <c r="D77" s="244"/>
      <c r="E77" s="245"/>
      <c r="F77" s="235"/>
      <c r="G77" s="235"/>
      <c r="H77" s="235"/>
      <c r="I77" s="235"/>
      <c r="J77" s="235"/>
      <c r="K77" s="235"/>
      <c r="L77" s="235"/>
      <c r="M77" s="235"/>
      <c r="N77" s="235"/>
      <c r="O77" s="236"/>
      <c r="P77" s="235"/>
      <c r="Q77" s="235"/>
      <c r="R77" s="235"/>
      <c r="S77" s="235"/>
      <c r="T77" s="235"/>
      <c r="U77" s="235"/>
      <c r="V77" s="235"/>
      <c r="W77" s="235"/>
      <c r="X77" s="243" t="s">
        <v>104</v>
      </c>
      <c r="Y77" s="244">
        <f>Y76/$Y76-1</f>
        <v>0</v>
      </c>
      <c r="Z77" s="244">
        <f t="shared" ref="Z77:AB77" si="33">Z76/$Y76-1</f>
        <v>-1</v>
      </c>
      <c r="AA77" s="244">
        <f t="shared" si="33"/>
        <v>-1</v>
      </c>
      <c r="AB77" s="245">
        <f t="shared" si="33"/>
        <v>-1</v>
      </c>
    </row>
    <row r="78" spans="1:28">
      <c r="O78" s="181"/>
    </row>
    <row r="79" spans="1:28">
      <c r="A79" s="481" t="s">
        <v>106</v>
      </c>
      <c r="B79" s="482"/>
      <c r="C79" s="482"/>
      <c r="D79" s="482"/>
      <c r="E79" s="482"/>
      <c r="O79" s="181"/>
      <c r="X79" s="481" t="s">
        <v>110</v>
      </c>
      <c r="Y79" s="482"/>
      <c r="Z79" s="482"/>
      <c r="AA79" s="482"/>
      <c r="AB79" s="482"/>
    </row>
    <row r="80" spans="1:28">
      <c r="A80" s="8" t="s">
        <v>20</v>
      </c>
      <c r="B80" s="9">
        <v>2020</v>
      </c>
      <c r="C80" s="9">
        <v>2030</v>
      </c>
      <c r="D80" s="9">
        <v>2040</v>
      </c>
      <c r="E80" s="9">
        <v>2050</v>
      </c>
      <c r="O80" s="181"/>
      <c r="X80" s="8" t="s">
        <v>20</v>
      </c>
      <c r="Y80" s="9">
        <v>2020</v>
      </c>
      <c r="Z80" s="9">
        <v>2030</v>
      </c>
      <c r="AA80" s="9">
        <v>2040</v>
      </c>
      <c r="AB80" s="9">
        <v>2050</v>
      </c>
    </row>
    <row r="81" spans="1:28">
      <c r="A81" s="124" t="s">
        <v>15</v>
      </c>
      <c r="B81" s="86">
        <f>'Bureaux - AME'!H111+'CaHoREs - AME'!H111+'Commerce - AME'!H111+'Enseignement - AME'!H111+'Santé social - AME'!H111+'Sport Loisir Culture - AME'!H111+'Transport - AME'!H111</f>
        <v>6972.2797501238183</v>
      </c>
      <c r="C81" s="86">
        <f>'Bureaux - AME'!I111+'CaHoREs - AME'!I111+'Commerce - AME'!I111+'Enseignement - AME'!I111+'Santé social - AME'!I111+'Sport Loisir Culture - AME'!I111+'Transport - AME'!I111</f>
        <v>4111.1754441729572</v>
      </c>
      <c r="D81" s="86">
        <f>'Bureaux - AME'!J111+'CaHoREs - AME'!J111+'Commerce - AME'!J111+'Enseignement - AME'!J111+'Santé social - AME'!J111+'Sport Loisir Culture - AME'!J111+'Transport - AME'!J111</f>
        <v>3116.8321546808706</v>
      </c>
      <c r="E81" s="86">
        <f>'Bureaux - AME'!K111+'CaHoREs - AME'!K111+'Commerce - AME'!K111+'Enseignement - AME'!K111+'Santé social - AME'!K111+'Sport Loisir Culture - AME'!K111+'Transport - AME'!K111</f>
        <v>2159.2824101097335</v>
      </c>
      <c r="O81" s="181"/>
      <c r="X81" s="124" t="s">
        <v>15</v>
      </c>
      <c r="Y81" s="86">
        <f>'Bureaux - AMS'!H111+'CaHoREs - AMS'!H111+'Commerce - AMS'!H111+'Enseignement - AMS'!H111+'Santé social - AMS'!H111+'Sport Loisir Culture - AMS'!H111+'Transport - AMS'!H111</f>
        <v>15677.951348786632</v>
      </c>
      <c r="Z81" s="86">
        <f>'Bureaux - AMS'!I111+'CaHoREs - AMS'!I111+'Commerce - AMS'!I111+'Enseignement - AMS'!I111+'Santé social - AMS'!I111+'Sport Loisir Culture - AMS'!I111+'Transport - AMS'!I111</f>
        <v>1262.4677419521072</v>
      </c>
      <c r="AA81" s="86">
        <f>'Bureaux - AMS'!J111+'CaHoREs - AMS'!J111+'Commerce - AMS'!J111+'Enseignement - AMS'!J111+'Santé social - AMS'!J111+'Sport Loisir Culture - AMS'!J111+'Transport - AMS'!J111</f>
        <v>0</v>
      </c>
      <c r="AB81" s="86">
        <f>'Bureaux - AMS'!K111+'CaHoREs - AMS'!K111+'Commerce - AMS'!K111+'Enseignement - AMS'!K111+'Santé social - AMS'!K111+'Sport Loisir Culture - AMS'!K111+'Transport - AMS'!K111</f>
        <v>0</v>
      </c>
    </row>
    <row r="82" spans="1:28">
      <c r="A82" s="124" t="s">
        <v>16</v>
      </c>
      <c r="B82" s="86">
        <f>'Bureaux - AME'!H112+'CaHoREs - AME'!H112+'Commerce - AME'!H112+'Enseignement - AME'!H112+'Santé social - AME'!H112+'Sport Loisir Culture - AME'!H112+'Transport - AME'!H112</f>
        <v>21704.940201780224</v>
      </c>
      <c r="C82" s="86">
        <f>'Bureaux - AME'!I112+'CaHoREs - AME'!I112+'Commerce - AME'!I112+'Enseignement - AME'!I112+'Santé social - AME'!I112+'Sport Loisir Culture - AME'!I112+'Transport - AME'!I112</f>
        <v>14287.534621015844</v>
      </c>
      <c r="D82" s="86">
        <f>'Bureaux - AME'!J112+'CaHoREs - AME'!J112+'Commerce - AME'!J112+'Enseignement - AME'!J112+'Santé social - AME'!J112+'Sport Loisir Culture - AME'!J112+'Transport - AME'!J112</f>
        <v>12077.573828638489</v>
      </c>
      <c r="E82" s="86">
        <f>'Bureaux - AME'!K112+'CaHoREs - AME'!K112+'Commerce - AME'!K112+'Enseignement - AME'!K112+'Santé social - AME'!K112+'Sport Loisir Culture - AME'!K112+'Transport - AME'!K112</f>
        <v>9839.8144785180684</v>
      </c>
      <c r="O82" s="181"/>
      <c r="X82" s="124" t="s">
        <v>16</v>
      </c>
      <c r="Y82" s="86">
        <f>'Bureaux - AMS'!H112+'CaHoREs - AMS'!H112+'Commerce - AMS'!H112+'Enseignement - AMS'!H112+'Santé social - AMS'!H112+'Sport Loisir Culture - AMS'!H112+'Transport - AMS'!H112</f>
        <v>49305.068395925598</v>
      </c>
      <c r="Z82" s="86">
        <f>'Bureaux - AMS'!I112+'CaHoREs - AMS'!I112+'Commerce - AMS'!I112+'Enseignement - AMS'!I112+'Santé social - AMS'!I112+'Sport Loisir Culture - AMS'!I112+'Transport - AMS'!I112</f>
        <v>36264.477532485173</v>
      </c>
      <c r="AA82" s="86">
        <f>'Bureaux - AMS'!J112+'CaHoREs - AMS'!J112+'Commerce - AMS'!J112+'Enseignement - AMS'!J112+'Santé social - AMS'!J112+'Sport Loisir Culture - AMS'!J112+'Transport - AMS'!J112</f>
        <v>18424.760352637288</v>
      </c>
      <c r="AB82" s="86">
        <f>'Bureaux - AMS'!K112+'CaHoREs - AMS'!K112+'Commerce - AMS'!K112+'Enseignement - AMS'!K112+'Santé social - AMS'!K112+'Sport Loisir Culture - AMS'!K112+'Transport - AMS'!K112</f>
        <v>4958.0539034633202</v>
      </c>
    </row>
    <row r="83" spans="1:28">
      <c r="A83" s="124" t="s">
        <v>21</v>
      </c>
      <c r="B83" s="86">
        <f>'Bureaux - AME'!H113+'CaHoREs - AME'!H113+'Commerce - AME'!H113+'Enseignement - AME'!H113+'Santé social - AME'!H113+'Sport Loisir Culture - AME'!H113+'Transport - AME'!H113</f>
        <v>2920.2151325253244</v>
      </c>
      <c r="C83" s="86">
        <f>'Bureaux - AME'!I113+'CaHoREs - AME'!I113+'Commerce - AME'!I113+'Enseignement - AME'!I113+'Santé social - AME'!I113+'Sport Loisir Culture - AME'!I113+'Transport - AME'!I113</f>
        <v>2518.4435815088054</v>
      </c>
      <c r="D83" s="86">
        <f>'Bureaux - AME'!J113+'CaHoREs - AME'!J113+'Commerce - AME'!J113+'Enseignement - AME'!J113+'Santé social - AME'!J113+'Sport Loisir Culture - AME'!J113+'Transport - AME'!J113</f>
        <v>2207.783880149022</v>
      </c>
      <c r="E83" s="86">
        <f>'Bureaux - AME'!K113+'CaHoREs - AME'!K113+'Commerce - AME'!K113+'Enseignement - AME'!K113+'Santé social - AME'!K113+'Sport Loisir Culture - AME'!K113+'Transport - AME'!K113</f>
        <v>1779.3642797679097</v>
      </c>
      <c r="O83" s="181"/>
      <c r="X83" s="124" t="s">
        <v>21</v>
      </c>
      <c r="Y83" s="86">
        <f>'Bureaux - AMS'!H113+'CaHoREs - AMS'!H113+'Commerce - AMS'!H113+'Enseignement - AMS'!H113+'Santé social - AMS'!H113+'Sport Loisir Culture - AMS'!H113+'Transport - AMS'!H113</f>
        <v>6576.8119096490082</v>
      </c>
      <c r="Z83" s="86">
        <f>'Bureaux - AMS'!I113+'CaHoREs - AMS'!I113+'Commerce - AMS'!I113+'Enseignement - AMS'!I113+'Santé social - AMS'!I113+'Sport Loisir Culture - AMS'!I113+'Transport - AMS'!I113</f>
        <v>12216.240996504652</v>
      </c>
      <c r="AA83" s="86">
        <f>'Bureaux - AMS'!J113+'CaHoREs - AMS'!J113+'Commerce - AMS'!J113+'Enseignement - AMS'!J113+'Santé social - AMS'!J113+'Sport Loisir Culture - AMS'!J113+'Transport - AMS'!J113</f>
        <v>13378.21347567297</v>
      </c>
      <c r="AB83" s="86">
        <f>'Bureaux - AMS'!K113+'CaHoREs - AMS'!K113+'Commerce - AMS'!K113+'Enseignement - AMS'!K113+'Santé social - AMS'!K113+'Sport Loisir Culture - AMS'!K113+'Transport - AMS'!K113</f>
        <v>12841.102692948385</v>
      </c>
    </row>
    <row r="84" spans="1:28">
      <c r="A84" s="124" t="s">
        <v>22</v>
      </c>
      <c r="B84" s="86">
        <f>'Bureaux - AME'!H114+'CaHoREs - AME'!H114+'Commerce - AME'!H114+'Enseignement - AME'!H114+'Santé social - AME'!H114+'Sport Loisir Culture - AME'!H114+'Transport - AME'!H114</f>
        <v>495.96140968305934</v>
      </c>
      <c r="C84" s="86">
        <f>'Bureaux - AME'!I114+'CaHoREs - AME'!I114+'Commerce - AME'!I114+'Enseignement - AME'!I114+'Santé social - AME'!I114+'Sport Loisir Culture - AME'!I114+'Transport - AME'!I114</f>
        <v>341.84976693568865</v>
      </c>
      <c r="D84" s="86">
        <f>'Bureaux - AME'!J114+'CaHoREs - AME'!J114+'Commerce - AME'!J114+'Enseignement - AME'!J114+'Santé social - AME'!J114+'Sport Loisir Culture - AME'!J114+'Transport - AME'!J114</f>
        <v>307.33843778195393</v>
      </c>
      <c r="E84" s="86">
        <f>'Bureaux - AME'!K114+'CaHoREs - AME'!K114+'Commerce - AME'!K114+'Enseignement - AME'!K114+'Santé social - AME'!K114+'Sport Loisir Culture - AME'!K114+'Transport - AME'!K114</f>
        <v>269.30055743257861</v>
      </c>
      <c r="O84" s="181"/>
      <c r="X84" s="124" t="s">
        <v>22</v>
      </c>
      <c r="Y84" s="86">
        <f>'Bureaux - AMS'!H114+'CaHoREs - AMS'!H114+'Commerce - AMS'!H114+'Enseignement - AMS'!H114+'Santé social - AMS'!H114+'Sport Loisir Culture - AMS'!H114+'Transport - AMS'!H114</f>
        <v>1122.0413510600783</v>
      </c>
      <c r="Z84" s="86">
        <f>'Bureaux - AMS'!I114+'CaHoREs - AMS'!I114+'Commerce - AMS'!I114+'Enseignement - AMS'!I114+'Santé social - AMS'!I114+'Sport Loisir Culture - AMS'!I114+'Transport - AMS'!I114</f>
        <v>596.06031780197088</v>
      </c>
      <c r="AA84" s="86">
        <f>'Bureaux - AMS'!J114+'CaHoREs - AMS'!J114+'Commerce - AMS'!J114+'Enseignement - AMS'!J114+'Santé social - AMS'!J114+'Sport Loisir Culture - AMS'!J114+'Transport - AMS'!J114</f>
        <v>309.68513993057707</v>
      </c>
      <c r="AB84" s="86">
        <f>'Bureaux - AMS'!K114+'CaHoREs - AMS'!K114+'Commerce - AMS'!K114+'Enseignement - AMS'!K114+'Santé social - AMS'!K114+'Sport Loisir Culture - AMS'!K114+'Transport - AMS'!K114</f>
        <v>0</v>
      </c>
    </row>
    <row r="85" spans="1:28">
      <c r="A85" s="124" t="s">
        <v>42</v>
      </c>
      <c r="B85" s="86">
        <f>'Bureaux - AME'!H115+'CaHoREs - AME'!H115+'Commerce - AME'!H115+'Enseignement - AME'!H115+'Santé social - AME'!H115+'Sport Loisir Culture - AME'!H115+'Transport - AME'!H115</f>
        <v>490.36175602403921</v>
      </c>
      <c r="C85" s="86">
        <f>'Bureaux - AME'!I115+'CaHoREs - AME'!I115+'Commerce - AME'!I115+'Enseignement - AME'!I115+'Santé social - AME'!I115+'Sport Loisir Culture - AME'!I115+'Transport - AME'!I115</f>
        <v>355.28732675483184</v>
      </c>
      <c r="D85" s="86">
        <f>'Bureaux - AME'!J115+'CaHoREs - AME'!J115+'Commerce - AME'!J115+'Enseignement - AME'!J115+'Santé social - AME'!J115+'Sport Loisir Culture - AME'!J115+'Transport - AME'!J115</f>
        <v>328.35295993095224</v>
      </c>
      <c r="E85" s="86">
        <f>'Bureaux - AME'!K115+'CaHoREs - AME'!K115+'Commerce - AME'!K115+'Enseignement - AME'!K115+'Santé social - AME'!K115+'Sport Loisir Culture - AME'!K115+'Transport - AME'!K115</f>
        <v>294.00984290647494</v>
      </c>
      <c r="O85" s="181"/>
      <c r="X85" s="124" t="s">
        <v>42</v>
      </c>
      <c r="Y85" s="86">
        <f>'Bureaux - AMS'!H115+'CaHoREs - AMS'!H115+'Commerce - AMS'!H115+'Enseignement - AMS'!H115+'Santé social - AMS'!H115+'Sport Loisir Culture - AMS'!H115+'Transport - AMS'!H115</f>
        <v>1122.8654222832949</v>
      </c>
      <c r="Z85" s="86">
        <f>'Bureaux - AMS'!I115+'CaHoREs - AMS'!I115+'Commerce - AMS'!I115+'Enseignement - AMS'!I115+'Santé social - AMS'!I115+'Sport Loisir Culture - AMS'!I115+'Transport - AMS'!I115</f>
        <v>1454.5619876705118</v>
      </c>
      <c r="AA85" s="86">
        <f>'Bureaux - AMS'!J115+'CaHoREs - AMS'!J115+'Commerce - AMS'!J115+'Enseignement - AMS'!J115+'Santé social - AMS'!J115+'Sport Loisir Culture - AMS'!J115+'Transport - AMS'!J115</f>
        <v>1864.2030149103543</v>
      </c>
      <c r="AB85" s="86">
        <f>'Bureaux - AMS'!K115+'CaHoREs - AMS'!K115+'Commerce - AMS'!K115+'Enseignement - AMS'!K115+'Santé social - AMS'!K115+'Sport Loisir Culture - AMS'!K115+'Transport - AMS'!K115</f>
        <v>2473.9266403655552</v>
      </c>
    </row>
    <row r="86" spans="1:28">
      <c r="A86" s="124" t="s">
        <v>46</v>
      </c>
      <c r="B86" s="86">
        <f>'Bureaux - AME'!H116+'CaHoREs - AME'!H116+'Commerce - AME'!H116+'Enseignement - AME'!H116+'Santé social - AME'!H116+'Sport Loisir Culture - AME'!H116+'Transport - AME'!H116</f>
        <v>5412.3541772314884</v>
      </c>
      <c r="C86" s="86">
        <f>'Bureaux - AME'!I116+'CaHoREs - AME'!I116+'Commerce - AME'!I116+'Enseignement - AME'!I116+'Santé social - AME'!I116+'Sport Loisir Culture - AME'!I116+'Transport - AME'!I116</f>
        <v>3196.4902213444984</v>
      </c>
      <c r="D86" s="86">
        <f>'Bureaux - AME'!J116+'CaHoREs - AME'!J116+'Commerce - AME'!J116+'Enseignement - AME'!J116+'Santé social - AME'!J116+'Sport Loisir Culture - AME'!J116+'Transport - AME'!J116</f>
        <v>2492.2800875622565</v>
      </c>
      <c r="E86" s="86">
        <f>'Bureaux - AME'!K116+'CaHoREs - AME'!K116+'Commerce - AME'!K116+'Enseignement - AME'!K116+'Santé social - AME'!K116+'Sport Loisir Culture - AME'!K116+'Transport - AME'!K116</f>
        <v>1740.3836633885383</v>
      </c>
      <c r="O86" s="181"/>
      <c r="X86" s="124" t="s">
        <v>46</v>
      </c>
      <c r="Y86" s="86">
        <f>'Bureaux - AMS'!H116+'CaHoREs - AMS'!H116+'Commerce - AMS'!H116+'Enseignement - AMS'!H116+'Santé social - AMS'!H116+'Sport Loisir Culture - AMS'!H116+'Transport - AMS'!H116</f>
        <v>12624.855913302805</v>
      </c>
      <c r="Z86" s="86">
        <f>'Bureaux - AMS'!I116+'CaHoREs - AMS'!I116+'Commerce - AMS'!I116+'Enseignement - AMS'!I116+'Santé social - AMS'!I116+'Sport Loisir Culture - AMS'!I116+'Transport - AMS'!I116</f>
        <v>8081.2028466867559</v>
      </c>
      <c r="AA86" s="86">
        <f>'Bureaux - AMS'!J116+'CaHoREs - AMS'!J116+'Commerce - AMS'!J116+'Enseignement - AMS'!J116+'Santé social - AMS'!J116+'Sport Loisir Culture - AMS'!J116+'Transport - AMS'!J116</f>
        <v>4803.4712544117619</v>
      </c>
      <c r="AB86" s="86">
        <f>'Bureaux - AMS'!K116+'CaHoREs - AMS'!K116+'Commerce - AMS'!K116+'Enseignement - AMS'!K116+'Santé social - AMS'!K116+'Sport Loisir Culture - AMS'!K116+'Transport - AMS'!K116</f>
        <v>4157.5113571996026</v>
      </c>
    </row>
    <row r="87" spans="1:28">
      <c r="A87" s="124" t="s">
        <v>47</v>
      </c>
      <c r="B87" s="86">
        <f>'Bureaux - AME'!H117+'CaHoREs - AME'!H117+'Commerce - AME'!H117+'Enseignement - AME'!H117+'Santé social - AME'!H117+'Sport Loisir Culture - AME'!H117+'Transport - AME'!H117</f>
        <v>1068.6056721929394</v>
      </c>
      <c r="C87" s="86">
        <f>'Bureaux - AME'!I117+'CaHoREs - AME'!I117+'Commerce - AME'!I117+'Enseignement - AME'!I117+'Santé social - AME'!I117+'Sport Loisir Culture - AME'!I117+'Transport - AME'!I117</f>
        <v>1615.9998514832994</v>
      </c>
      <c r="D87" s="86">
        <f>'Bureaux - AME'!J117+'CaHoREs - AME'!J117+'Commerce - AME'!J117+'Enseignement - AME'!J117+'Santé social - AME'!J117+'Sport Loisir Culture - AME'!J117+'Transport - AME'!J117</f>
        <v>2249.9941176167463</v>
      </c>
      <c r="E87" s="86">
        <f>'Bureaux - AME'!K117+'CaHoREs - AME'!K117+'Commerce - AME'!K117+'Enseignement - AME'!K117+'Santé social - AME'!K117+'Sport Loisir Culture - AME'!K117+'Transport - AME'!K117</f>
        <v>2784.0591419598318</v>
      </c>
      <c r="O87" s="181"/>
      <c r="X87" s="124" t="s">
        <v>47</v>
      </c>
      <c r="Y87" s="86">
        <f>'Bureaux - AMS'!H117+'CaHoREs - AMS'!H117+'Commerce - AMS'!H117+'Enseignement - AMS'!H117+'Santé social - AMS'!H117+'Sport Loisir Culture - AMS'!H117+'Transport - AMS'!H117</f>
        <v>2527.148602483825</v>
      </c>
      <c r="Z87" s="86">
        <f>'Bureaux - AMS'!I117+'CaHoREs - AMS'!I117+'Commerce - AMS'!I117+'Enseignement - AMS'!I117+'Santé social - AMS'!I117+'Sport Loisir Culture - AMS'!I117+'Transport - AMS'!I117</f>
        <v>9078.5874596469712</v>
      </c>
      <c r="AA87" s="86">
        <f>'Bureaux - AMS'!J117+'CaHoREs - AMS'!J117+'Commerce - AMS'!J117+'Enseignement - AMS'!J117+'Santé social - AMS'!J117+'Sport Loisir Culture - AMS'!J117+'Transport - AMS'!J117</f>
        <v>14003.30841150595</v>
      </c>
      <c r="AB87" s="86">
        <f>'Bureaux - AMS'!K117+'CaHoREs - AMS'!K117+'Commerce - AMS'!K117+'Enseignement - AMS'!K117+'Santé social - AMS'!K117+'Sport Loisir Culture - AMS'!K117+'Transport - AMS'!K117</f>
        <v>16839.33133878608</v>
      </c>
    </row>
    <row r="88" spans="1:28">
      <c r="A88" s="12" t="s">
        <v>17</v>
      </c>
      <c r="B88" s="13">
        <f>SUM(B81:B87)</f>
        <v>39064.718099560894</v>
      </c>
      <c r="C88" s="13">
        <f t="shared" ref="C88:E88" si="34">SUM(C81:C87)</f>
        <v>26426.780813215926</v>
      </c>
      <c r="D88" s="13">
        <f t="shared" si="34"/>
        <v>22780.155466360287</v>
      </c>
      <c r="E88" s="13">
        <f t="shared" si="34"/>
        <v>18866.214374083134</v>
      </c>
      <c r="O88" s="181"/>
      <c r="X88" s="12" t="s">
        <v>17</v>
      </c>
      <c r="Y88" s="13">
        <f>SUM(Y81:Y87)</f>
        <v>88956.742943491248</v>
      </c>
      <c r="Z88" s="13">
        <f t="shared" ref="Z88:AB88" si="35">SUM(Z81:Z87)</f>
        <v>68953.598882748149</v>
      </c>
      <c r="AA88" s="13">
        <f t="shared" si="35"/>
        <v>52783.641649068901</v>
      </c>
      <c r="AB88" s="13">
        <f t="shared" si="35"/>
        <v>41269.925932762941</v>
      </c>
    </row>
    <row r="89" spans="1:28" ht="22.5">
      <c r="A89" s="179" t="s">
        <v>104</v>
      </c>
      <c r="B89" s="180">
        <f>B88/$B88-1</f>
        <v>0</v>
      </c>
      <c r="C89" s="180">
        <f>C88/$B88-1</f>
        <v>-0.32351282438889595</v>
      </c>
      <c r="D89" s="180">
        <f>D88/$B88-1</f>
        <v>-0.41686113263885682</v>
      </c>
      <c r="E89" s="180">
        <f>E88/$B88-1</f>
        <v>-0.51705233540914253</v>
      </c>
      <c r="O89" s="181"/>
      <c r="X89" s="309" t="s">
        <v>289</v>
      </c>
      <c r="Y89" s="180">
        <f>Y88/$Y88-1</f>
        <v>0</v>
      </c>
      <c r="Z89" s="180">
        <f t="shared" ref="Z89" si="36">Z88/$Y88-1</f>
        <v>-0.22486371913874892</v>
      </c>
      <c r="AA89" s="180">
        <f t="shared" ref="AA89" si="37">AA88/$Y88-1</f>
        <v>-0.40663697992406145</v>
      </c>
      <c r="AB89" s="180">
        <f t="shared" ref="AB89" si="38">AB88/$Y88-1</f>
        <v>-0.53606747991010428</v>
      </c>
    </row>
    <row r="90" spans="1:28">
      <c r="O90" s="181"/>
    </row>
    <row r="91" spans="1:28">
      <c r="A91" s="481" t="s">
        <v>107</v>
      </c>
      <c r="B91" s="482"/>
      <c r="C91" s="482"/>
      <c r="D91" s="482"/>
      <c r="E91" s="482"/>
      <c r="O91" s="181"/>
      <c r="X91" s="481" t="s">
        <v>111</v>
      </c>
      <c r="Y91" s="482"/>
      <c r="Z91" s="482"/>
      <c r="AA91" s="482"/>
      <c r="AB91" s="482"/>
    </row>
    <row r="92" spans="1:28">
      <c r="A92" s="8" t="s">
        <v>20</v>
      </c>
      <c r="B92" s="9">
        <v>2020</v>
      </c>
      <c r="C92" s="9">
        <v>2030</v>
      </c>
      <c r="D92" s="9">
        <v>2040</v>
      </c>
      <c r="E92" s="9">
        <v>2050</v>
      </c>
      <c r="O92" s="181"/>
      <c r="X92" s="8" t="s">
        <v>20</v>
      </c>
      <c r="Y92" s="9">
        <v>2020</v>
      </c>
      <c r="Z92" s="9">
        <v>2030</v>
      </c>
      <c r="AA92" s="9">
        <v>2040</v>
      </c>
      <c r="AB92" s="9">
        <v>2050</v>
      </c>
    </row>
    <row r="93" spans="1:28">
      <c r="A93" s="124" t="s">
        <v>15</v>
      </c>
      <c r="B93" s="86">
        <f>'Bureaux - AME'!H122+'CaHoREs - AME'!H122+'Commerce - AME'!H122+'Enseignement - AME'!H122+'Santé social - AME'!H122+'Sport Loisir Culture - AME'!H122+'Transport - AME'!H122</f>
        <v>10664.135425018072</v>
      </c>
      <c r="C93" s="86">
        <f>'Bureaux - AME'!I122+'CaHoREs - AME'!I122+'Commerce - AME'!I122+'Enseignement - AME'!I122+'Santé social - AME'!I122+'Sport Loisir Culture - AME'!I122+'Transport - AME'!I122</f>
        <v>8469.3394445919093</v>
      </c>
      <c r="D93" s="86">
        <f>'Bureaux - AME'!J122+'CaHoREs - AME'!J122+'Commerce - AME'!J122+'Enseignement - AME'!J122+'Santé social - AME'!J122+'Sport Loisir Culture - AME'!J122+'Transport - AME'!J122</f>
        <v>7111.1063475589381</v>
      </c>
      <c r="E93" s="86">
        <f>'Bureaux - AME'!K122+'CaHoREs - AME'!K122+'Commerce - AME'!K122+'Enseignement - AME'!K122+'Santé social - AME'!K122+'Sport Loisir Culture - AME'!K122+'Transport - AME'!K122</f>
        <v>5661.3849403460372</v>
      </c>
      <c r="O93" s="181"/>
      <c r="X93" s="124" t="s">
        <v>15</v>
      </c>
      <c r="Y93" s="86">
        <f>'Bureaux - AMS'!H122+'CaHoREs - AMS'!H122+'Commerce - AMS'!H122+'Enseignement - AMS'!H122+'Santé social - AMS'!H122+'Sport Loisir Culture - AMS'!H122+'Transport - AMS'!H122</f>
        <v>1958.4638263552558</v>
      </c>
      <c r="Z93" s="86">
        <f>'Bureaux - AMS'!I122+'CaHoREs - AMS'!I122+'Commerce - AMS'!I122+'Enseignement - AMS'!I122+'Santé social - AMS'!I122+'Sport Loisir Culture - AMS'!I122+'Transport - AMS'!I122</f>
        <v>148.62958358481993</v>
      </c>
      <c r="AA93" s="86">
        <f>'Bureaux - AMS'!J122+'CaHoREs - AMS'!J122+'Commerce - AMS'!J122+'Enseignement - AMS'!J122+'Santé social - AMS'!J122+'Sport Loisir Culture - AMS'!J122+'Transport - AMS'!J122</f>
        <v>0</v>
      </c>
      <c r="AB93" s="86">
        <f>'Bureaux - AMS'!K122+'CaHoREs - AMS'!K122+'Commerce - AMS'!K122+'Enseignement - AMS'!K122+'Santé social - AMS'!K122+'Sport Loisir Culture - AMS'!K122+'Transport - AMS'!K122</f>
        <v>0</v>
      </c>
    </row>
    <row r="94" spans="1:28">
      <c r="A94" s="124" t="s">
        <v>16</v>
      </c>
      <c r="B94" s="86">
        <f>'Bureaux - AME'!H123+'CaHoREs - AME'!H123+'Commerce - AME'!H123+'Enseignement - AME'!H123+'Santé social - AME'!H123+'Sport Loisir Culture - AME'!H123+'Transport - AME'!H123</f>
        <v>34100.629616401253</v>
      </c>
      <c r="C94" s="86">
        <f>'Bureaux - AME'!I123+'CaHoREs - AME'!I123+'Commerce - AME'!I123+'Enseignement - AME'!I123+'Santé social - AME'!I123+'Sport Loisir Culture - AME'!I123+'Transport - AME'!I123</f>
        <v>30417.542605908071</v>
      </c>
      <c r="D94" s="86">
        <f>'Bureaux - AME'!J123+'CaHoREs - AME'!J123+'Commerce - AME'!J123+'Enseignement - AME'!J123+'Santé social - AME'!J123+'Sport Loisir Culture - AME'!J123+'Transport - AME'!J123</f>
        <v>28776.695182866275</v>
      </c>
      <c r="E94" s="86">
        <f>'Bureaux - AME'!K123+'CaHoREs - AME'!K123+'Commerce - AME'!K123+'Enseignement - AME'!K123+'Santé social - AME'!K123+'Sport Loisir Culture - AME'!K123+'Transport - AME'!K123</f>
        <v>26497.280448045203</v>
      </c>
      <c r="O94" s="181"/>
      <c r="X94" s="124" t="s">
        <v>16</v>
      </c>
      <c r="Y94" s="86">
        <f>'Bureaux - AMS'!H123+'CaHoREs - AMS'!H123+'Commerce - AMS'!H123+'Enseignement - AMS'!H123+'Santé social - AMS'!H123+'Sport Loisir Culture - AMS'!H123+'Transport - AMS'!H123</f>
        <v>6500.5014222558739</v>
      </c>
      <c r="Z94" s="86">
        <f>'Bureaux - AMS'!I123+'CaHoREs - AMS'!I123+'Commerce - AMS'!I123+'Enseignement - AMS'!I123+'Santé social - AMS'!I123+'Sport Loisir Culture - AMS'!I123+'Transport - AMS'!I123</f>
        <v>5007.2545323600489</v>
      </c>
      <c r="AA94" s="86">
        <f>'Bureaux - AMS'!J123+'CaHoREs - AMS'!J123+'Commerce - AMS'!J123+'Enseignement - AMS'!J123+'Santé social - AMS'!J123+'Sport Loisir Culture - AMS'!J123+'Transport - AMS'!J123</f>
        <v>2731.5337542600478</v>
      </c>
      <c r="AB94" s="86">
        <f>'Bureaux - AMS'!K123+'CaHoREs - AMS'!K123+'Commerce - AMS'!K123+'Enseignement - AMS'!K123+'Santé social - AMS'!K123+'Sport Loisir Culture - AMS'!K123+'Transport - AMS'!K123</f>
        <v>738.80071051777111</v>
      </c>
    </row>
    <row r="95" spans="1:28">
      <c r="A95" s="124" t="s">
        <v>21</v>
      </c>
      <c r="B95" s="86">
        <f>'Bureaux - AME'!H124+'CaHoREs - AME'!H124+'Commerce - AME'!H124+'Enseignement - AME'!H124+'Santé social - AME'!H124+'Sport Loisir Culture - AME'!H124+'Transport - AME'!H124</f>
        <v>4485.3672036834887</v>
      </c>
      <c r="C95" s="86">
        <f>'Bureaux - AME'!I124+'CaHoREs - AME'!I124+'Commerce - AME'!I124+'Enseignement - AME'!I124+'Santé social - AME'!I124+'Sport Loisir Culture - AME'!I124+'Transport - AME'!I124</f>
        <v>4107.7016038147231</v>
      </c>
      <c r="D95" s="86">
        <f>'Bureaux - AME'!J124+'CaHoREs - AME'!J124+'Commerce - AME'!J124+'Enseignement - AME'!J124+'Santé social - AME'!J124+'Sport Loisir Culture - AME'!J124+'Transport - AME'!J124</f>
        <v>4101.0629682288627</v>
      </c>
      <c r="E95" s="86">
        <f>'Bureaux - AME'!K124+'CaHoREs - AME'!K124+'Commerce - AME'!K124+'Enseignement - AME'!K124+'Santé social - AME'!K124+'Sport Loisir Culture - AME'!K124+'Transport - AME'!K124</f>
        <v>3861.5949442739256</v>
      </c>
      <c r="O95" s="181"/>
      <c r="X95" s="124" t="s">
        <v>21</v>
      </c>
      <c r="Y95" s="86">
        <f>'Bureaux - AMS'!H124+'CaHoREs - AMS'!H124+'Commerce - AMS'!H124+'Enseignement - AMS'!H124+'Santé social - AMS'!H124+'Sport Loisir Culture - AMS'!H124+'Transport - AMS'!H124</f>
        <v>828.77042655980381</v>
      </c>
      <c r="Z95" s="86">
        <f>'Bureaux - AMS'!I124+'CaHoREs - AMS'!I124+'Commerce - AMS'!I124+'Enseignement - AMS'!I124+'Santé social - AMS'!I124+'Sport Loisir Culture - AMS'!I124+'Transport - AMS'!I124</f>
        <v>1729.5923783732455</v>
      </c>
      <c r="AA95" s="86">
        <f>'Bureaux - AMS'!J124+'CaHoREs - AMS'!J124+'Commerce - AMS'!J124+'Enseignement - AMS'!J124+'Santé social - AMS'!J124+'Sport Loisir Culture - AMS'!J124+'Transport - AMS'!J124</f>
        <v>2166.5327814169841</v>
      </c>
      <c r="AB95" s="86">
        <f>'Bureaux - AMS'!K124+'CaHoREs - AMS'!K124+'Commerce - AMS'!K124+'Enseignement - AMS'!K124+'Santé social - AMS'!K124+'Sport Loisir Culture - AMS'!K124+'Transport - AMS'!K124</f>
        <v>2268.5550789167792</v>
      </c>
    </row>
    <row r="96" spans="1:28">
      <c r="A96" s="124" t="s">
        <v>22</v>
      </c>
      <c r="B96" s="86">
        <f>'Bureaux - AME'!H125+'CaHoREs - AME'!H125+'Commerce - AME'!H125+'Enseignement - AME'!H125+'Santé social - AME'!H125+'Sport Loisir Culture - AME'!H125+'Transport - AME'!H125</f>
        <v>776.61727075096542</v>
      </c>
      <c r="C96" s="86">
        <f>'Bureaux - AME'!I125+'CaHoREs - AME'!I125+'Commerce - AME'!I125+'Enseignement - AME'!I125+'Santé social - AME'!I125+'Sport Loisir Culture - AME'!I125+'Transport - AME'!I125</f>
        <v>708.74035963160782</v>
      </c>
      <c r="D96" s="86">
        <f>'Bureaux - AME'!J125+'CaHoREs - AME'!J125+'Commerce - AME'!J125+'Enseignement - AME'!J125+'Santé social - AME'!J125+'Sport Loisir Culture - AME'!J125+'Transport - AME'!J125</f>
        <v>698.31184745678729</v>
      </c>
      <c r="E96" s="86">
        <f>'Bureaux - AME'!K125+'CaHoREs - AME'!K125+'Commerce - AME'!K125+'Enseignement - AME'!K125+'Santé social - AME'!K125+'Sport Loisir Culture - AME'!K125+'Transport - AME'!K125</f>
        <v>670.69558321777947</v>
      </c>
      <c r="O96" s="181"/>
      <c r="X96" s="124" t="s">
        <v>22</v>
      </c>
      <c r="Y96" s="86">
        <f>'Bureaux - AMS'!H125+'CaHoREs - AMS'!H125+'Commerce - AMS'!H125+'Enseignement - AMS'!H125+'Santé social - AMS'!H125+'Sport Loisir Culture - AMS'!H125+'Transport - AMS'!H125</f>
        <v>150.53732937394653</v>
      </c>
      <c r="Z96" s="86">
        <f>'Bureaux - AMS'!I125+'CaHoREs - AMS'!I125+'Commerce - AMS'!I125+'Enseignement - AMS'!I125+'Santé social - AMS'!I125+'Sport Loisir Culture - AMS'!I125+'Transport - AMS'!I125</f>
        <v>91.961003463984241</v>
      </c>
      <c r="AA96" s="86">
        <f>'Bureaux - AMS'!J125+'CaHoREs - AMS'!J125+'Commerce - AMS'!J125+'Enseignement - AMS'!J125+'Santé social - AMS'!J125+'Sport Loisir Culture - AMS'!J125+'Transport - AMS'!J125</f>
        <v>47.619275982460785</v>
      </c>
      <c r="AB96" s="86">
        <f>'Bureaux - AMS'!K125+'CaHoREs - AMS'!K125+'Commerce - AMS'!K125+'Enseignement - AMS'!K125+'Santé social - AMS'!K125+'Sport Loisir Culture - AMS'!K125+'Transport - AMS'!K125</f>
        <v>0</v>
      </c>
    </row>
    <row r="97" spans="1:30">
      <c r="A97" s="124" t="s">
        <v>42</v>
      </c>
      <c r="B97" s="86">
        <f>'Bureaux - AME'!H126+'CaHoREs - AME'!H126+'Commerce - AME'!H126+'Enseignement - AME'!H126+'Santé social - AME'!H126+'Sport Loisir Culture - AME'!H126+'Transport - AME'!H126</f>
        <v>804.31191233700827</v>
      </c>
      <c r="C97" s="86">
        <f>'Bureaux - AME'!I126+'CaHoREs - AME'!I126+'Commerce - AME'!I126+'Enseignement - AME'!I126+'Santé social - AME'!I126+'Sport Loisir Culture - AME'!I126+'Transport - AME'!I126</f>
        <v>869.15982965288754</v>
      </c>
      <c r="D97" s="86">
        <f>'Bureaux - AME'!J126+'CaHoREs - AME'!J126+'Commerce - AME'!J126+'Enseignement - AME'!J126+'Santé social - AME'!J126+'Sport Loisir Culture - AME'!J126+'Transport - AME'!J126</f>
        <v>986.02448796196029</v>
      </c>
      <c r="E97" s="86">
        <f>'Bureaux - AME'!K126+'CaHoREs - AME'!K126+'Commerce - AME'!K126+'Enseignement - AME'!K126+'Santé social - AME'!K126+'Sport Loisir Culture - AME'!K126+'Transport - AME'!K126</f>
        <v>1065.407126212112</v>
      </c>
      <c r="O97" s="181"/>
      <c r="X97" s="124" t="s">
        <v>42</v>
      </c>
      <c r="Y97" s="86">
        <f>'Bureaux - AMS'!H126+'CaHoREs - AMS'!H126+'Commerce - AMS'!H126+'Enseignement - AMS'!H126+'Santé social - AMS'!H126+'Sport Loisir Culture - AMS'!H126+'Transport - AMS'!H126</f>
        <v>171.80824607775244</v>
      </c>
      <c r="Z97" s="86">
        <f>'Bureaux - AMS'!I126+'CaHoREs - AMS'!I126+'Commerce - AMS'!I126+'Enseignement - AMS'!I126+'Santé social - AMS'!I126+'Sport Loisir Culture - AMS'!I126+'Transport - AMS'!I126</f>
        <v>222.7834502447312</v>
      </c>
      <c r="AA97" s="86">
        <f>'Bureaux - AMS'!J126+'CaHoREs - AMS'!J126+'Commerce - AMS'!J126+'Enseignement - AMS'!J126+'Santé social - AMS'!J126+'Sport Loisir Culture - AMS'!J126+'Transport - AMS'!J126</f>
        <v>291.11526134109982</v>
      </c>
      <c r="AB97" s="86">
        <f>'Bureaux - AMS'!K126+'CaHoREs - AMS'!K126+'Commerce - AMS'!K126+'Enseignement - AMS'!K126+'Santé social - AMS'!K126+'Sport Loisir Culture - AMS'!K126+'Transport - AMS'!K126</f>
        <v>430.90688771250166</v>
      </c>
    </row>
    <row r="98" spans="1:30">
      <c r="A98" s="124" t="s">
        <v>46</v>
      </c>
      <c r="B98" s="86">
        <f>'Bureaux - AME'!H127+'CaHoREs - AME'!H127+'Commerce - AME'!H127+'Enseignement - AME'!H127+'Santé social - AME'!H127+'Sport Loisir Culture - AME'!H127+'Transport - AME'!H127</f>
        <v>9195.0988158877972</v>
      </c>
      <c r="C98" s="86">
        <f>'Bureaux - AME'!I127+'CaHoREs - AME'!I127+'Commerce - AME'!I127+'Enseignement - AME'!I127+'Santé social - AME'!I127+'Sport Loisir Culture - AME'!I127+'Transport - AME'!I127</f>
        <v>6909.9241139897831</v>
      </c>
      <c r="D98" s="86">
        <f>'Bureaux - AME'!J127+'CaHoREs - AME'!J127+'Commerce - AME'!J127+'Enseignement - AME'!J127+'Santé social - AME'!J127+'Sport Loisir Culture - AME'!J127+'Transport - AME'!J127</f>
        <v>5455.2332800261493</v>
      </c>
      <c r="E98" s="86">
        <f>'Bureaux - AME'!K127+'CaHoREs - AME'!K127+'Commerce - AME'!K127+'Enseignement - AME'!K127+'Santé social - AME'!K127+'Sport Loisir Culture - AME'!K127+'Transport - AME'!K127</f>
        <v>4046.2273051491525</v>
      </c>
      <c r="O98" s="181"/>
      <c r="X98" s="124" t="s">
        <v>46</v>
      </c>
      <c r="Y98" s="86">
        <f>'Bureaux - AMS'!H127+'CaHoREs - AMS'!H127+'Commerce - AMS'!H127+'Enseignement - AMS'!H127+'Santé social - AMS'!H127+'Sport Loisir Culture - AMS'!H127+'Transport - AMS'!H127</f>
        <v>1982.5970798164833</v>
      </c>
      <c r="Z98" s="86">
        <f>'Bureaux - AMS'!I127+'CaHoREs - AMS'!I127+'Commerce - AMS'!I127+'Enseignement - AMS'!I127+'Santé social - AMS'!I127+'Sport Loisir Culture - AMS'!I127+'Transport - AMS'!I127</f>
        <v>1047.67366667031</v>
      </c>
      <c r="AA98" s="86">
        <f>'Bureaux - AMS'!J127+'CaHoREs - AMS'!J127+'Commerce - AMS'!J127+'Enseignement - AMS'!J127+'Santé social - AMS'!J127+'Sport Loisir Culture - AMS'!J127+'Transport - AMS'!J127</f>
        <v>711.80498188046329</v>
      </c>
      <c r="AB98" s="86">
        <f>'Bureaux - AMS'!K127+'CaHoREs - AMS'!K127+'Commerce - AMS'!K127+'Enseignement - AMS'!K127+'Santé social - AMS'!K127+'Sport Loisir Culture - AMS'!K127+'Transport - AMS'!K127</f>
        <v>585.00394614614208</v>
      </c>
    </row>
    <row r="99" spans="1:30">
      <c r="A99" s="124" t="s">
        <v>47</v>
      </c>
      <c r="B99" s="86">
        <f>'Bureaux - AME'!H128+'CaHoREs - AME'!H128+'Commerce - AME'!H128+'Enseignement - AME'!H128+'Santé social - AME'!H128+'Sport Loisir Culture - AME'!H128+'Transport - AME'!H128</f>
        <v>1906.7890903026712</v>
      </c>
      <c r="C99" s="86">
        <f>'Bureaux - AME'!I128+'CaHoREs - AME'!I128+'Commerce - AME'!I128+'Enseignement - AME'!I128+'Santé social - AME'!I128+'Sport Loisir Culture - AME'!I128+'Transport - AME'!I128</f>
        <v>2967.0521594826173</v>
      </c>
      <c r="D99" s="86">
        <f>'Bureaux - AME'!J128+'CaHoREs - AME'!J128+'Commerce - AME'!J128+'Enseignement - AME'!J128+'Santé social - AME'!J128+'Sport Loisir Culture - AME'!J128+'Transport - AME'!J128</f>
        <v>4262.1098486524752</v>
      </c>
      <c r="E99" s="86">
        <f>'Bureaux - AME'!K128+'CaHoREs - AME'!K128+'Commerce - AME'!K128+'Enseignement - AME'!K128+'Santé social - AME'!K128+'Sport Loisir Culture - AME'!K128+'Transport - AME'!K128</f>
        <v>4989.1781380424372</v>
      </c>
      <c r="O99" s="181"/>
      <c r="X99" s="124" t="s">
        <v>47</v>
      </c>
      <c r="Y99" s="86">
        <f>'Bureaux - AMS'!H128+'CaHoREs - AMS'!H128+'Commerce - AMS'!H128+'Enseignement - AMS'!H128+'Santé social - AMS'!H128+'Sport Loisir Culture - AMS'!H128+'Transport - AMS'!H128</f>
        <v>448.24616001178532</v>
      </c>
      <c r="Z99" s="86">
        <f>'Bureaux - AMS'!I128+'CaHoREs - AMS'!I128+'Commerce - AMS'!I128+'Enseignement - AMS'!I128+'Santé social - AMS'!I128+'Sport Loisir Culture - AMS'!I128+'Transport - AMS'!I128</f>
        <v>1291.395074758743</v>
      </c>
      <c r="AA99" s="86">
        <f>'Bureaux - AMS'!J128+'CaHoREs - AMS'!J128+'Commerce - AMS'!J128+'Enseignement - AMS'!J128+'Santé social - AMS'!J128+'Sport Loisir Culture - AMS'!J128+'Transport - AMS'!J128</f>
        <v>1895.5744970827191</v>
      </c>
      <c r="AB99" s="86">
        <f>'Bureaux - AMS'!K128+'CaHoREs - AMS'!K128+'Commerce - AMS'!K128+'Enseignement - AMS'!K128+'Santé social - AMS'!K128+'Sport Loisir Culture - AMS'!K128+'Transport - AMS'!K128</f>
        <v>2138.2187809710877</v>
      </c>
    </row>
    <row r="100" spans="1:30">
      <c r="A100" s="12" t="s">
        <v>17</v>
      </c>
      <c r="B100" s="13">
        <f>SUM(B93:B99)</f>
        <v>61932.949334381257</v>
      </c>
      <c r="C100" s="13">
        <f t="shared" ref="C100:E100" si="39">SUM(C93:C99)</f>
        <v>54449.460117071605</v>
      </c>
      <c r="D100" s="13">
        <f t="shared" si="39"/>
        <v>51390.543962751442</v>
      </c>
      <c r="E100" s="13">
        <f t="shared" si="39"/>
        <v>46791.768485286644</v>
      </c>
      <c r="O100" s="181"/>
      <c r="X100" s="12" t="s">
        <v>17</v>
      </c>
      <c r="Y100" s="13">
        <f>SUM(Y93:Y99)</f>
        <v>12040.924490450903</v>
      </c>
      <c r="Z100" s="13">
        <f t="shared" ref="Z100:AB100" si="40">SUM(Z93:Z99)</f>
        <v>9539.2896894558817</v>
      </c>
      <c r="AA100" s="13">
        <f t="shared" si="40"/>
        <v>7844.1805519637737</v>
      </c>
      <c r="AB100" s="13">
        <f t="shared" si="40"/>
        <v>6161.4854042642819</v>
      </c>
    </row>
    <row r="101" spans="1:30" ht="22.5">
      <c r="A101" s="179" t="s">
        <v>104</v>
      </c>
      <c r="B101" s="180">
        <f>B100/$B100-1</f>
        <v>0</v>
      </c>
      <c r="C101" s="180">
        <f>C100/$B100-1</f>
        <v>-0.12083211437107022</v>
      </c>
      <c r="D101" s="180">
        <f>D100/$B100-1</f>
        <v>-0.17022288595865942</v>
      </c>
      <c r="E101" s="180">
        <f>E100/$B100-1</f>
        <v>-0.24447698699679377</v>
      </c>
      <c r="O101" s="181"/>
      <c r="X101" s="309" t="s">
        <v>289</v>
      </c>
      <c r="Y101" s="180">
        <f>Y100/$Y100-1</f>
        <v>0</v>
      </c>
      <c r="Z101" s="180">
        <f t="shared" ref="Z101" si="41">Z100/$Y100-1</f>
        <v>-0.20776102391298534</v>
      </c>
      <c r="AA101" s="180">
        <f t="shared" ref="AA101" si="42">AA100/$Y100-1</f>
        <v>-0.34854000968242693</v>
      </c>
      <c r="AB101" s="180">
        <f t="shared" ref="AB101" si="43">AB100/$Y100-1</f>
        <v>-0.48828801234069119</v>
      </c>
    </row>
    <row r="102" spans="1:30">
      <c r="O102" s="181"/>
    </row>
    <row r="103" spans="1:30">
      <c r="O103" s="181"/>
      <c r="Y103" s="178"/>
      <c r="Z103" s="178"/>
      <c r="AA103" s="178"/>
      <c r="AB103" s="178"/>
    </row>
    <row r="104" spans="1:30">
      <c r="O104" s="181"/>
    </row>
    <row r="105" spans="1:30">
      <c r="O105" s="181"/>
    </row>
    <row r="106" spans="1:30" ht="14.45" customHeight="1">
      <c r="A106" s="483" t="s">
        <v>199</v>
      </c>
      <c r="B106" s="483"/>
      <c r="C106" s="483"/>
      <c r="D106" s="483"/>
      <c r="E106" s="483"/>
      <c r="F106" s="483"/>
      <c r="G106" s="483"/>
      <c r="H106" s="483"/>
      <c r="I106" s="483"/>
      <c r="J106" s="483"/>
      <c r="K106" s="483"/>
      <c r="L106" s="483"/>
      <c r="M106" s="483"/>
      <c r="N106" s="483"/>
      <c r="O106" s="181"/>
      <c r="P106" s="483" t="s">
        <v>199</v>
      </c>
      <c r="Q106" s="483"/>
      <c r="R106" s="483"/>
      <c r="S106" s="483"/>
      <c r="T106" s="483"/>
      <c r="U106" s="483"/>
      <c r="V106" s="483"/>
      <c r="W106" s="483"/>
      <c r="X106" s="483"/>
      <c r="Y106" s="483"/>
      <c r="Z106" s="483"/>
      <c r="AA106" s="483"/>
      <c r="AB106" s="483"/>
      <c r="AC106" s="483"/>
      <c r="AD106" s="230"/>
    </row>
    <row r="107" spans="1:30" ht="14.45" customHeight="1">
      <c r="A107" s="483"/>
      <c r="B107" s="483"/>
      <c r="C107" s="483"/>
      <c r="D107" s="483"/>
      <c r="E107" s="483"/>
      <c r="F107" s="483"/>
      <c r="G107" s="483"/>
      <c r="H107" s="483"/>
      <c r="I107" s="483"/>
      <c r="J107" s="483"/>
      <c r="K107" s="483"/>
      <c r="L107" s="483"/>
      <c r="M107" s="483"/>
      <c r="N107" s="483"/>
      <c r="O107" s="181"/>
      <c r="P107" s="483"/>
      <c r="Q107" s="483"/>
      <c r="R107" s="483"/>
      <c r="S107" s="483"/>
      <c r="T107" s="483"/>
      <c r="U107" s="483"/>
      <c r="V107" s="483"/>
      <c r="W107" s="483"/>
      <c r="X107" s="483"/>
      <c r="Y107" s="483"/>
      <c r="Z107" s="483"/>
      <c r="AA107" s="483"/>
      <c r="AB107" s="483"/>
      <c r="AC107" s="483"/>
      <c r="AD107" s="230"/>
    </row>
    <row r="108" spans="1:30">
      <c r="O108" s="181"/>
    </row>
    <row r="109" spans="1:30">
      <c r="O109" s="181"/>
    </row>
    <row r="110" spans="1:30">
      <c r="O110" s="181"/>
    </row>
    <row r="111" spans="1:30">
      <c r="O111" s="181"/>
    </row>
    <row r="112" spans="1:30">
      <c r="A112" s="478" t="s">
        <v>60</v>
      </c>
      <c r="B112" s="479"/>
      <c r="C112" s="479"/>
      <c r="D112" s="479"/>
      <c r="E112" s="479"/>
      <c r="O112" s="181"/>
      <c r="X112" s="478" t="s">
        <v>215</v>
      </c>
      <c r="Y112" s="479"/>
      <c r="Z112" s="479"/>
      <c r="AA112" s="479"/>
      <c r="AB112" s="479"/>
    </row>
    <row r="113" spans="1:38">
      <c r="A113" s="8" t="s">
        <v>20</v>
      </c>
      <c r="B113" s="9">
        <v>2020</v>
      </c>
      <c r="C113" s="9">
        <v>2030</v>
      </c>
      <c r="D113" s="9">
        <v>2040</v>
      </c>
      <c r="E113" s="9">
        <v>2050</v>
      </c>
      <c r="O113" s="181"/>
      <c r="X113" s="8" t="s">
        <v>20</v>
      </c>
      <c r="Y113" s="9">
        <v>2020</v>
      </c>
      <c r="Z113" s="9">
        <v>2021</v>
      </c>
      <c r="AA113" s="9">
        <v>2022</v>
      </c>
      <c r="AB113" s="9">
        <v>2023</v>
      </c>
    </row>
    <row r="114" spans="1:38">
      <c r="A114" s="124" t="s">
        <v>176</v>
      </c>
      <c r="B114" s="225">
        <f>'Hors chauffage - AME'!E6*1000</f>
        <v>135185.90450817489</v>
      </c>
      <c r="C114" s="225">
        <f>'Hors chauffage - AME'!F6*1000</f>
        <v>143571.48465130985</v>
      </c>
      <c r="D114" s="225">
        <f>'Hors chauffage - AME'!G6*1000</f>
        <v>166296.47997488041</v>
      </c>
      <c r="E114" s="225">
        <f>'Hors chauffage - AME'!H6*1000</f>
        <v>196606.62358904525</v>
      </c>
      <c r="O114" s="181"/>
      <c r="X114" s="124" t="s">
        <v>176</v>
      </c>
      <c r="Y114" s="225">
        <f>'Hors chauffage - AMS'!E6*1000</f>
        <v>128079.98349568721</v>
      </c>
      <c r="Z114" s="225">
        <f>'Hors chauffage - AMS'!F6*1000</f>
        <v>116014.78099460196</v>
      </c>
      <c r="AA114" s="225">
        <f>'Hors chauffage - AMS'!G6*1000</f>
        <v>114741.90528015945</v>
      </c>
      <c r="AB114" s="225">
        <f>'Hors chauffage - AMS'!H6*1000</f>
        <v>115507.24789704484</v>
      </c>
    </row>
    <row r="115" spans="1:38">
      <c r="A115" s="124" t="s">
        <v>76</v>
      </c>
      <c r="B115" s="225">
        <f>'Hors chauffage - AME'!E7*1000</f>
        <v>16918.432156631196</v>
      </c>
      <c r="C115" s="225">
        <f>'Hors chauffage - AME'!F7*1000</f>
        <v>14402.066372549833</v>
      </c>
      <c r="D115" s="225">
        <f>'Hors chauffage - AME'!G7*1000</f>
        <v>13527.232268561685</v>
      </c>
      <c r="E115" s="225">
        <f>'Hors chauffage - AME'!H7*1000</f>
        <v>12627.611524259042</v>
      </c>
      <c r="O115" s="181"/>
      <c r="X115" s="124" t="s">
        <v>76</v>
      </c>
      <c r="Y115" s="225">
        <f>'Hors chauffage - AMS'!E7*1000</f>
        <v>17051.351069612236</v>
      </c>
      <c r="Z115" s="225">
        <f>'Hors chauffage - AMS'!F7*1000</f>
        <v>9769.9481421713226</v>
      </c>
      <c r="AA115" s="225">
        <f>'Hors chauffage - AMS'!G7*1000</f>
        <v>4789.0413418723874</v>
      </c>
      <c r="AB115" s="225">
        <f>'Hors chauffage - AMS'!H7*1000</f>
        <v>1396.0196909874151</v>
      </c>
    </row>
    <row r="116" spans="1:38">
      <c r="A116" s="124" t="s">
        <v>177</v>
      </c>
      <c r="B116" s="225">
        <f>'Hors chauffage - AME'!E8*1000</f>
        <v>4958.7960253733008</v>
      </c>
      <c r="C116" s="225">
        <f>'Hors chauffage - AME'!F8*1000</f>
        <v>3883.0438834044844</v>
      </c>
      <c r="D116" s="225">
        <f>'Hors chauffage - AME'!G8*1000</f>
        <v>3298.4830966687159</v>
      </c>
      <c r="E116" s="225">
        <f>'Hors chauffage - AME'!H8*1000</f>
        <v>2934.6220514475667</v>
      </c>
      <c r="O116" s="181"/>
      <c r="X116" s="124" t="s">
        <v>177</v>
      </c>
      <c r="Y116" s="225">
        <f>'Hors chauffage - AMS'!E8*1000</f>
        <v>4958.7960253733008</v>
      </c>
      <c r="Z116" s="225">
        <f>'Hors chauffage - AMS'!F8*1000</f>
        <v>244.5200229373591</v>
      </c>
      <c r="AA116" s="225">
        <f>'Hors chauffage - AMS'!G8*1000</f>
        <v>0</v>
      </c>
      <c r="AB116" s="225">
        <f>'Hors chauffage - AMS'!H8*1000</f>
        <v>0</v>
      </c>
    </row>
    <row r="117" spans="1:38">
      <c r="A117" s="124" t="s">
        <v>133</v>
      </c>
      <c r="B117" s="225">
        <f>'Hors chauffage - AME'!E9*1000</f>
        <v>214.6153499104517</v>
      </c>
      <c r="C117" s="225">
        <f>'Hors chauffage - AME'!F9*1000</f>
        <v>237.24516632789317</v>
      </c>
      <c r="D117" s="225">
        <f>'Hors chauffage - AME'!G9*1000</f>
        <v>247.32151527102963</v>
      </c>
      <c r="E117" s="225">
        <f>'Hors chauffage - AME'!H9*1000</f>
        <v>253.94561321281111</v>
      </c>
      <c r="O117" s="181"/>
      <c r="X117" s="124" t="s">
        <v>133</v>
      </c>
      <c r="Y117" s="225">
        <f>'Hors chauffage - AMS'!E9*1000</f>
        <v>214.6153499104517</v>
      </c>
      <c r="Z117" s="225">
        <f>'Hors chauffage - AMS'!F9*1000</f>
        <v>663.01904787483431</v>
      </c>
      <c r="AA117" s="225">
        <f>'Hors chauffage - AMS'!G9*1000</f>
        <v>533.48745170182087</v>
      </c>
      <c r="AB117" s="225">
        <f>'Hors chauffage - AMS'!H9*1000</f>
        <v>436.08334641640846</v>
      </c>
    </row>
    <row r="118" spans="1:38">
      <c r="A118" s="124" t="s">
        <v>178</v>
      </c>
      <c r="B118" s="225">
        <f>'Hors chauffage - AME'!E10*1000</f>
        <v>1550.4931364675845</v>
      </c>
      <c r="C118" s="225">
        <f>'Hors chauffage - AME'!F10*1000</f>
        <v>1705.013329449637</v>
      </c>
      <c r="D118" s="225">
        <f>'Hors chauffage - AME'!G10*1000</f>
        <v>1647.084315696889</v>
      </c>
      <c r="E118" s="225">
        <f>'Hors chauffage - AME'!H10*1000</f>
        <v>1557.3658025191423</v>
      </c>
      <c r="O118" s="181"/>
      <c r="X118" s="124" t="s">
        <v>178</v>
      </c>
      <c r="Y118" s="225">
        <f>'Hors chauffage - AMS'!E10*1000</f>
        <v>1550.4931364675845</v>
      </c>
      <c r="Z118" s="225">
        <f>'Hors chauffage - AMS'!F10*1000</f>
        <v>3511.2270385742158</v>
      </c>
      <c r="AA118" s="225">
        <f>'Hors chauffage - AMS'!G10*1000</f>
        <v>3436.1166994956225</v>
      </c>
      <c r="AB118" s="225">
        <f>'Hors chauffage - AMS'!H10*1000</f>
        <v>3057.3919854415244</v>
      </c>
    </row>
    <row r="119" spans="1:38">
      <c r="A119" s="231" t="s">
        <v>201</v>
      </c>
      <c r="B119" s="225">
        <v>0</v>
      </c>
      <c r="C119" s="225">
        <v>0</v>
      </c>
      <c r="D119" s="225">
        <v>0</v>
      </c>
      <c r="E119" s="225">
        <v>0</v>
      </c>
      <c r="O119" s="181"/>
      <c r="X119" s="231" t="s">
        <v>201</v>
      </c>
      <c r="Y119" s="225">
        <f>'Hors chauffage - AMS'!E11</f>
        <v>0</v>
      </c>
      <c r="Z119" s="225">
        <f>'Hors chauffage - AMS'!F11</f>
        <v>0.10237102088032506</v>
      </c>
      <c r="AA119" s="225">
        <f>'Hors chauffage - AMS'!G11</f>
        <v>0.18111913431789947</v>
      </c>
      <c r="AB119" s="225">
        <f>'Hors chauffage - AMS'!H11</f>
        <v>0.22945699217555426</v>
      </c>
    </row>
    <row r="120" spans="1:38">
      <c r="A120" s="231" t="s">
        <v>17</v>
      </c>
      <c r="B120" s="225">
        <f>'Hors chauffage - AME'!E5*1000</f>
        <v>158828.24117655741</v>
      </c>
      <c r="C120" s="225">
        <f>'Hors chauffage - AME'!F5*1000</f>
        <v>163798.85340304166</v>
      </c>
      <c r="D120" s="225">
        <f>'Hors chauffage - AME'!G5*1000</f>
        <v>185016.60117107874</v>
      </c>
      <c r="E120" s="225">
        <f>'Hors chauffage - AME'!H5*1000</f>
        <v>213980.16858048382</v>
      </c>
      <c r="O120" s="181"/>
      <c r="X120" s="231" t="s">
        <v>17</v>
      </c>
      <c r="Y120" s="225">
        <f>'Hors chauffage - AMS'!E5*1000</f>
        <v>151855.23907705076</v>
      </c>
      <c r="Z120" s="225">
        <f>'Hors chauffage - AMS'!F5*1000</f>
        <v>130305.86626704002</v>
      </c>
      <c r="AA120" s="225">
        <f>'Hors chauffage - AMS'!G5*1000</f>
        <v>123681.66990754718</v>
      </c>
      <c r="AB120" s="225">
        <f>'Hors chauffage - AMS'!H5*1000</f>
        <v>120626.19991206576</v>
      </c>
    </row>
    <row r="121" spans="1:38">
      <c r="B121" s="232"/>
      <c r="C121" s="232"/>
      <c r="D121" s="232"/>
      <c r="E121" s="232"/>
      <c r="O121" s="181"/>
      <c r="Y121" s="232"/>
      <c r="Z121" s="232"/>
      <c r="AA121" s="232"/>
      <c r="AB121" s="232"/>
    </row>
    <row r="122" spans="1:38">
      <c r="A122" s="478" t="s">
        <v>98</v>
      </c>
      <c r="B122" s="479"/>
      <c r="C122" s="479"/>
      <c r="D122" s="479"/>
      <c r="E122" s="479"/>
      <c r="O122" s="181"/>
      <c r="X122" s="478" t="s">
        <v>98</v>
      </c>
      <c r="Y122" s="479"/>
      <c r="Z122" s="479"/>
      <c r="AA122" s="479"/>
      <c r="AB122" s="479"/>
    </row>
    <row r="123" spans="1:38" ht="18.75">
      <c r="A123" s="8" t="s">
        <v>179</v>
      </c>
      <c r="B123" s="224">
        <f>B120/$B120-1</f>
        <v>0</v>
      </c>
      <c r="C123" s="224">
        <f t="shared" ref="C123:E123" si="44">C120/$B120-1</f>
        <v>3.1295518918192933E-2</v>
      </c>
      <c r="D123" s="224">
        <f t="shared" si="44"/>
        <v>0.16488478245760918</v>
      </c>
      <c r="E123" s="185">
        <f t="shared" si="44"/>
        <v>0.34724257471703757</v>
      </c>
      <c r="F123" t="s">
        <v>376</v>
      </c>
      <c r="O123" s="181"/>
      <c r="X123" s="8" t="s">
        <v>179</v>
      </c>
      <c r="Y123" s="224">
        <f>Y120/$B120-1</f>
        <v>-4.3902784843882325E-2</v>
      </c>
      <c r="Z123" s="224">
        <f t="shared" ref="Z123:AA123" si="45">Z120/$B120-1</f>
        <v>-0.17957999596439023</v>
      </c>
      <c r="AA123" s="224">
        <f t="shared" si="45"/>
        <v>-0.22128666167083233</v>
      </c>
      <c r="AB123" s="185">
        <f>AB120/$Y120-1</f>
        <v>-0.20565006090530413</v>
      </c>
    </row>
    <row r="124" spans="1:38">
      <c r="O124" s="181"/>
    </row>
    <row r="125" spans="1:38">
      <c r="O125" s="181"/>
    </row>
    <row r="126" spans="1:38">
      <c r="O126" s="181"/>
      <c r="AI126" s="16" t="s">
        <v>180</v>
      </c>
      <c r="AJ126" s="16">
        <v>2019</v>
      </c>
      <c r="AK126" s="16" t="s">
        <v>181</v>
      </c>
      <c r="AL126" s="16" t="s">
        <v>160</v>
      </c>
    </row>
    <row r="127" spans="1:38" ht="15" customHeight="1" thickBot="1">
      <c r="A127" s="483" t="s">
        <v>212</v>
      </c>
      <c r="B127" s="483"/>
      <c r="C127" s="483"/>
      <c r="D127" s="483"/>
      <c r="E127" s="483"/>
      <c r="F127" s="483"/>
      <c r="G127" s="483"/>
      <c r="H127" s="483"/>
      <c r="I127" s="483"/>
      <c r="J127" s="483"/>
      <c r="K127" s="483"/>
      <c r="L127" s="483"/>
      <c r="M127" s="483"/>
      <c r="N127" s="483"/>
      <c r="O127" s="181"/>
      <c r="P127" s="483" t="s">
        <v>217</v>
      </c>
      <c r="Q127" s="483"/>
      <c r="R127" s="483"/>
      <c r="S127" s="483"/>
      <c r="T127" s="483"/>
      <c r="U127" s="483"/>
      <c r="V127" s="483"/>
      <c r="W127" s="483"/>
      <c r="X127" s="483"/>
      <c r="Y127" s="483"/>
      <c r="Z127" s="483"/>
      <c r="AA127" s="483"/>
      <c r="AB127" s="483"/>
      <c r="AC127" s="483"/>
      <c r="AD127" s="230"/>
      <c r="AK127" s="226">
        <v>22.4</v>
      </c>
      <c r="AL127">
        <f>AK127/86000*1000000</f>
        <v>260.46511627906972</v>
      </c>
    </row>
    <row r="128" spans="1:38" ht="14.45" customHeight="1">
      <c r="A128" s="483"/>
      <c r="B128" s="483"/>
      <c r="C128" s="483"/>
      <c r="D128" s="483"/>
      <c r="E128" s="483"/>
      <c r="F128" s="483"/>
      <c r="G128" s="483"/>
      <c r="H128" s="483"/>
      <c r="I128" s="483"/>
      <c r="J128" s="483"/>
      <c r="K128" s="483"/>
      <c r="L128" s="483"/>
      <c r="M128" s="483"/>
      <c r="N128" s="483"/>
      <c r="O128" s="181"/>
      <c r="P128" s="483"/>
      <c r="Q128" s="483"/>
      <c r="R128" s="483"/>
      <c r="S128" s="483"/>
      <c r="T128" s="483"/>
      <c r="U128" s="483"/>
      <c r="V128" s="483"/>
      <c r="W128" s="483"/>
      <c r="X128" s="483"/>
      <c r="Y128" s="483"/>
      <c r="Z128" s="483"/>
      <c r="AA128" s="483"/>
      <c r="AB128" s="483"/>
      <c r="AC128" s="483"/>
      <c r="AD128" s="230"/>
      <c r="AI128" t="s">
        <v>182</v>
      </c>
      <c r="AJ128" s="157">
        <v>0.43</v>
      </c>
      <c r="AK128">
        <f>AK$127*AJ128</f>
        <v>9.6319999999999997</v>
      </c>
      <c r="AL128" s="107">
        <f>AK128/86000*1000000</f>
        <v>112</v>
      </c>
    </row>
    <row r="129" spans="1:38">
      <c r="O129" s="181"/>
    </row>
    <row r="130" spans="1:38">
      <c r="A130" s="481" t="s">
        <v>209</v>
      </c>
      <c r="B130" s="482"/>
      <c r="C130" s="482"/>
      <c r="D130" s="482"/>
      <c r="E130" s="482"/>
      <c r="O130" s="181"/>
      <c r="X130" s="481" t="s">
        <v>216</v>
      </c>
      <c r="Y130" s="482"/>
      <c r="Z130" s="482"/>
      <c r="AA130" s="482"/>
      <c r="AB130" s="482"/>
      <c r="AI130" t="s">
        <v>183</v>
      </c>
      <c r="AJ130" s="157">
        <v>0.3</v>
      </c>
      <c r="AK130">
        <f>AK$127*AJ130</f>
        <v>6.72</v>
      </c>
      <c r="AL130" s="107">
        <f>AK130/86000*1000000</f>
        <v>78.139534883720927</v>
      </c>
    </row>
    <row r="131" spans="1:38">
      <c r="A131" s="8" t="s">
        <v>20</v>
      </c>
      <c r="B131" s="9">
        <v>2020</v>
      </c>
      <c r="C131" s="9">
        <v>2030</v>
      </c>
      <c r="D131" s="9">
        <v>2040</v>
      </c>
      <c r="E131" s="9">
        <v>2050</v>
      </c>
      <c r="O131" s="181"/>
      <c r="X131" s="8" t="s">
        <v>20</v>
      </c>
      <c r="Y131" s="9">
        <v>2020</v>
      </c>
      <c r="Z131" s="9">
        <v>2030</v>
      </c>
      <c r="AA131" s="9">
        <v>2040</v>
      </c>
      <c r="AB131" s="9">
        <v>2050</v>
      </c>
      <c r="AI131" t="s">
        <v>174</v>
      </c>
      <c r="AJ131" s="157">
        <v>0.1</v>
      </c>
      <c r="AK131">
        <f>AK$127*AJ131</f>
        <v>2.2399999999999998</v>
      </c>
      <c r="AL131" s="107">
        <f>AK131/86000*1000000</f>
        <v>26.046511627906973</v>
      </c>
    </row>
    <row r="132" spans="1:38">
      <c r="A132" s="124" t="s">
        <v>15</v>
      </c>
      <c r="B132" s="249">
        <f>B35*'Init. énergie'!$M4*10^-6</f>
        <v>6.1222742263570664</v>
      </c>
      <c r="C132" s="249">
        <f>C35*'Init. énergie'!$M4*10^-6</f>
        <v>4.4618691743810457</v>
      </c>
      <c r="D132" s="249">
        <f>D35*'Init. énergie'!$M4*10^-6</f>
        <v>3.6654336221406592</v>
      </c>
      <c r="E132" s="249">
        <f>E35*'Init. énergie'!$M4*10^-6</f>
        <v>2.9145464716030243</v>
      </c>
      <c r="O132" s="181"/>
      <c r="X132" s="124" t="s">
        <v>15</v>
      </c>
      <c r="Y132" s="283">
        <f>Y35*'Init. énergie'!M4*10^-6</f>
        <v>6.1222742263570664</v>
      </c>
      <c r="Z132" s="283">
        <f>Z35*'Init. énergie'!N4*10^-6</f>
        <v>0.448596976205411</v>
      </c>
      <c r="AA132" s="283">
        <f>AA35*'Init. énergie'!O4*10^-6</f>
        <v>0</v>
      </c>
      <c r="AB132" s="283">
        <f>AB35*'Init. énergie'!P4*10^-6</f>
        <v>0</v>
      </c>
      <c r="AI132" t="s">
        <v>184</v>
      </c>
      <c r="AJ132" s="157">
        <v>0.09</v>
      </c>
      <c r="AK132">
        <f>AK$127*AJ132</f>
        <v>2.016</v>
      </c>
      <c r="AL132" s="107">
        <f>AK132/86000*1000000</f>
        <v>23.441860465116278</v>
      </c>
    </row>
    <row r="133" spans="1:38">
      <c r="A133" s="124" t="s">
        <v>16</v>
      </c>
      <c r="B133" s="249">
        <f>B36*'Init. énergie'!$M5*10^-6</f>
        <v>14.924105214138644</v>
      </c>
      <c r="C133" s="249">
        <f>C36*'Init. énergie'!$M5*10^-6</f>
        <v>12.129712419996673</v>
      </c>
      <c r="D133" s="249">
        <f>D36*'Init. énergie'!$M5*10^-6</f>
        <v>11.159936537700665</v>
      </c>
      <c r="E133" s="249">
        <f>E36*'Init. énergie'!$M5*10^-6</f>
        <v>10.048325325998642</v>
      </c>
      <c r="O133" s="181"/>
      <c r="X133" s="124" t="s">
        <v>16</v>
      </c>
      <c r="Y133" s="283">
        <f>Y36*'Init. énergie'!M5*10^-6</f>
        <v>14.951382258696302</v>
      </c>
      <c r="Z133" s="283">
        <f>Z36*'Init. énergie'!N5*10^-6</f>
        <v>10.480696174921002</v>
      </c>
      <c r="AA133" s="283">
        <f>AA36*'Init. énergie'!O5*10^-6</f>
        <v>5.3281663218632733</v>
      </c>
      <c r="AB133" s="283">
        <f>AB36*'Init. énergie'!P5*10^-6</f>
        <v>1.4578667241363079</v>
      </c>
      <c r="AI133" t="s">
        <v>185</v>
      </c>
      <c r="AJ133" s="157">
        <v>0.05</v>
      </c>
      <c r="AK133">
        <f>AK$127*AJ133</f>
        <v>1.1199999999999999</v>
      </c>
      <c r="AL133" s="107">
        <f>AK133/86000*1000000</f>
        <v>13.023255813953487</v>
      </c>
    </row>
    <row r="134" spans="1:38">
      <c r="A134" s="124" t="s">
        <v>21</v>
      </c>
      <c r="B134" s="249">
        <f>B37*'Init. énergie'!$M6*10^-6</f>
        <v>1.3434113209014595</v>
      </c>
      <c r="C134" s="249">
        <f>C37*'Init. énergie'!$M6*10^-6</f>
        <v>1.313094947256922</v>
      </c>
      <c r="D134" s="249">
        <f>D37*'Init. énergie'!$M6*10^-6</f>
        <v>1.2458307751643554</v>
      </c>
      <c r="E134" s="249">
        <f>E37*'Init. énergie'!$M6*10^-6</f>
        <v>1.1210131126474054</v>
      </c>
      <c r="O134" s="181"/>
      <c r="X134" s="124" t="s">
        <v>21</v>
      </c>
      <c r="Y134" s="283">
        <f>Y37*'Init. énergie'!M6*10^-6</f>
        <v>1.3434113209014593</v>
      </c>
      <c r="Z134" s="283">
        <f>Z37*'Init. énergie'!N6*10^-6</f>
        <v>2.1566618341517052</v>
      </c>
      <c r="AA134" s="283">
        <f>AA37*'Init. énergie'!O6*10^-6</f>
        <v>1.5418811442479088</v>
      </c>
      <c r="AB134" s="283">
        <f>AB37*'Init. énergie'!P6*10^-6</f>
        <v>0.93794165418472197</v>
      </c>
      <c r="AI134" t="s">
        <v>186</v>
      </c>
      <c r="AJ134" s="157">
        <v>0.04</v>
      </c>
      <c r="AK134">
        <f>AK$127*AJ134</f>
        <v>0.89599999999999991</v>
      </c>
      <c r="AL134" s="107">
        <f>AK134/86000*1000000</f>
        <v>10.41860465116279</v>
      </c>
    </row>
    <row r="135" spans="1:38">
      <c r="A135" s="124" t="s">
        <v>22</v>
      </c>
      <c r="B135" s="249">
        <f>B38*'Init. énergie'!$M7*10^-6</f>
        <v>0.34481092418623072</v>
      </c>
      <c r="C135" s="249">
        <f>C38*'Init. énergie'!$M7*10^-6</f>
        <v>0.29701700232998635</v>
      </c>
      <c r="D135" s="249">
        <f>D38*'Init. énergie'!$M7*10^-6</f>
        <v>0.28295246095858384</v>
      </c>
      <c r="E135" s="249">
        <f>E38*'Init. énergie'!$M7*10^-6</f>
        <v>0.26257537232669625</v>
      </c>
      <c r="O135" s="181"/>
      <c r="X135" s="124" t="s">
        <v>22</v>
      </c>
      <c r="Y135" s="283">
        <f>Y38*'Init. énergie'!M7*10^-6</f>
        <v>0.34481092418623083</v>
      </c>
      <c r="Z135" s="283">
        <f>Z38*'Init. énergie'!N7*10^-6</f>
        <v>0.20689645717329705</v>
      </c>
      <c r="AA135" s="283">
        <f>AA38*'Init. énergie'!O7*10^-6</f>
        <v>0.11346507517233954</v>
      </c>
      <c r="AB135" s="283">
        <f>AB38*'Init. énergie'!P7*10^-6</f>
        <v>1.1609808451329539E-2</v>
      </c>
    </row>
    <row r="136" spans="1:38">
      <c r="A136" s="124" t="s">
        <v>42</v>
      </c>
      <c r="B136" s="249">
        <f>B39*'Init. énergie'!$M8*10^-6</f>
        <v>0</v>
      </c>
      <c r="C136" s="249">
        <f>C39*'Init. énergie'!$M8*10^-6</f>
        <v>0</v>
      </c>
      <c r="D136" s="249">
        <f>D39*'Init. énergie'!$M8*10^-6</f>
        <v>0</v>
      </c>
      <c r="E136" s="249">
        <f>E39*'Init. énergie'!$M8*10^-6</f>
        <v>0</v>
      </c>
      <c r="O136" s="181"/>
      <c r="X136" s="124" t="s">
        <v>42</v>
      </c>
      <c r="Y136" s="283">
        <f>Y39*'Init. énergie'!M8*10^-6</f>
        <v>0</v>
      </c>
      <c r="Z136" s="283">
        <f>Z39*'Init. énergie'!N8*10^-6</f>
        <v>0</v>
      </c>
      <c r="AA136" s="283">
        <f>AA39*'Init. énergie'!O8*10^-6</f>
        <v>0</v>
      </c>
      <c r="AB136" s="283">
        <f>AB39*'Init. énergie'!P8*10^-6</f>
        <v>0</v>
      </c>
      <c r="AI136" t="s">
        <v>187</v>
      </c>
      <c r="AJ136" s="157">
        <f>SUM(AJ130:AJ134)</f>
        <v>0.58000000000000007</v>
      </c>
      <c r="AK136" s="107">
        <f t="shared" ref="AK136" si="46">SUM(AK130:AK134)</f>
        <v>12.991999999999997</v>
      </c>
      <c r="AL136" s="107">
        <f>SUM(AL130:AL134)</f>
        <v>151.06976744186045</v>
      </c>
    </row>
    <row r="137" spans="1:38">
      <c r="A137" s="124" t="s">
        <v>200</v>
      </c>
      <c r="B137" s="249">
        <f>B40*'Init. énergie'!$M9*10^-6</f>
        <v>12.068731428839392</v>
      </c>
      <c r="C137" s="249">
        <f>C40*'Init. énergie'!$M9*10^-6</f>
        <v>12.609531901296224</v>
      </c>
      <c r="D137" s="249">
        <f>D40*'Init. énergie'!$M9*10^-6</f>
        <v>14.361287755192077</v>
      </c>
      <c r="E137" s="249">
        <f>E40*'Init. énergie'!$M9*10^-6</f>
        <v>16.671340731540631</v>
      </c>
      <c r="O137" s="181"/>
      <c r="X137" s="124" t="s">
        <v>200</v>
      </c>
      <c r="Y137" s="283">
        <f>Y40*'Init. énergie'!M9*10^-6</f>
        <v>11.507363668852864</v>
      </c>
      <c r="Z137" s="283">
        <f>Z40*'Init. énergie'!N9*10^-6</f>
        <v>9.4971151589170262</v>
      </c>
      <c r="AA137" s="283">
        <f>AA40*'Init. énergie'!O9*10^-6</f>
        <v>6.3433859146226093</v>
      </c>
      <c r="AB137" s="283">
        <f>AB40*'Init. énergie'!P9*10^-6</f>
        <v>7.0024639992755207</v>
      </c>
    </row>
    <row r="138" spans="1:38">
      <c r="A138" s="12" t="s">
        <v>17</v>
      </c>
      <c r="B138" s="250">
        <f>SUM(B132:B137)</f>
        <v>34.803333114422792</v>
      </c>
      <c r="C138" s="250">
        <f t="shared" ref="C138:E138" si="47">SUM(C132:C137)</f>
        <v>30.811225445260852</v>
      </c>
      <c r="D138" s="250">
        <f t="shared" si="47"/>
        <v>30.715441151156337</v>
      </c>
      <c r="E138" s="250">
        <f t="shared" si="47"/>
        <v>31.017801014116401</v>
      </c>
      <c r="O138" s="181"/>
      <c r="X138" s="12" t="s">
        <v>17</v>
      </c>
      <c r="Y138" s="284">
        <f>SUM(Y132:Y137)</f>
        <v>34.269242398993924</v>
      </c>
      <c r="Z138" s="284">
        <f>SUM(Z132:Z137)</f>
        <v>22.789966601368441</v>
      </c>
      <c r="AA138" s="284">
        <f t="shared" ref="AA138" si="48">SUM(AA132:AA137)</f>
        <v>13.326898455906131</v>
      </c>
      <c r="AB138" s="284">
        <f t="shared" ref="AB138" si="49">SUM(AB132:AB137)</f>
        <v>9.4098821860478807</v>
      </c>
    </row>
    <row r="139" spans="1:38">
      <c r="A139" s="179" t="s">
        <v>210</v>
      </c>
      <c r="B139" s="252">
        <f>SUM(B132:B136)</f>
        <v>22.734601685583399</v>
      </c>
      <c r="C139" s="252">
        <f t="shared" ref="C139:E139" si="50">SUM(C132:C136)</f>
        <v>18.201693543964627</v>
      </c>
      <c r="D139" s="252">
        <f t="shared" si="50"/>
        <v>16.354153395964261</v>
      </c>
      <c r="E139" s="252">
        <f t="shared" si="50"/>
        <v>14.346460282575768</v>
      </c>
      <c r="O139" s="181"/>
      <c r="X139" s="179" t="s">
        <v>210</v>
      </c>
      <c r="Y139" s="281">
        <f>SUM(Y132:Y136)</f>
        <v>22.76187873014106</v>
      </c>
      <c r="Z139" s="284">
        <f>SUM(Z132:Z136)</f>
        <v>13.292851442451417</v>
      </c>
      <c r="AA139" s="281">
        <f t="shared" ref="AA139:AB139" si="51">SUM(AA132:AA136)</f>
        <v>6.9835125412835213</v>
      </c>
      <c r="AB139" s="281">
        <f t="shared" si="51"/>
        <v>2.4074181867723592</v>
      </c>
    </row>
    <row r="140" spans="1:38" ht="18.75">
      <c r="A140" s="251"/>
      <c r="O140" s="181"/>
      <c r="X140" s="179" t="s">
        <v>288</v>
      </c>
      <c r="Y140" s="307">
        <f>Y132+Y133+Y135+Y136</f>
        <v>21.4184674092396</v>
      </c>
      <c r="Z140" s="288">
        <f t="shared" ref="Z140:AB140" si="52">Z132+Z133+Z135+Z136</f>
        <v>11.136189608299711</v>
      </c>
      <c r="AA140" s="307">
        <f t="shared" si="52"/>
        <v>5.4416313970356125</v>
      </c>
      <c r="AB140" s="307">
        <f t="shared" si="52"/>
        <v>1.4694765325876376</v>
      </c>
    </row>
    <row r="141" spans="1:38">
      <c r="A141" s="308"/>
      <c r="O141" s="181"/>
      <c r="X141" s="308"/>
      <c r="Y141" s="307"/>
      <c r="Z141" s="307"/>
      <c r="AA141" s="307"/>
      <c r="AB141" s="307"/>
    </row>
    <row r="142" spans="1:38">
      <c r="A142" s="478" t="s">
        <v>98</v>
      </c>
      <c r="B142" s="479"/>
      <c r="C142" s="479"/>
      <c r="D142" s="479"/>
      <c r="E142" s="479"/>
      <c r="O142" s="181"/>
      <c r="X142" s="478" t="s">
        <v>98</v>
      </c>
      <c r="Y142" s="479"/>
      <c r="Z142" s="479"/>
      <c r="AA142" s="479"/>
      <c r="AB142" s="479"/>
    </row>
    <row r="143" spans="1:38" ht="18.75">
      <c r="A143" s="8" t="s">
        <v>179</v>
      </c>
      <c r="B143" s="224"/>
      <c r="C143" s="185">
        <f>C139/$B139-1</f>
        <v>-0.19938366215112568</v>
      </c>
      <c r="D143" s="224">
        <f t="shared" ref="D143:E143" si="53">D139/$B139-1</f>
        <v>-0.28064922261933212</v>
      </c>
      <c r="E143" s="224">
        <f t="shared" si="53"/>
        <v>-0.36895924190863527</v>
      </c>
      <c r="O143" s="181"/>
      <c r="X143" s="8" t="s">
        <v>290</v>
      </c>
      <c r="Y143" s="224"/>
      <c r="Z143" s="185">
        <f>Z140/$B139-1</f>
        <v>-0.51016561616905487</v>
      </c>
      <c r="AA143" s="224">
        <f t="shared" ref="AA143:AB143" si="54">AA139/$B139-1</f>
        <v>-0.69282450434520049</v>
      </c>
      <c r="AB143" s="224">
        <f t="shared" si="54"/>
        <v>-0.89410774729785714</v>
      </c>
    </row>
    <row r="144" spans="1:38">
      <c r="O144" s="181"/>
    </row>
    <row r="145" spans="1:30">
      <c r="O145" s="181"/>
    </row>
    <row r="146" spans="1:30">
      <c r="O146" s="181"/>
    </row>
    <row r="147" spans="1:30">
      <c r="O147" s="181"/>
    </row>
    <row r="148" spans="1:30">
      <c r="O148" s="181"/>
    </row>
    <row r="149" spans="1:30">
      <c r="A149" s="483" t="s">
        <v>224</v>
      </c>
      <c r="B149" s="483"/>
      <c r="C149" s="483"/>
      <c r="D149" s="483"/>
      <c r="E149" s="483"/>
      <c r="F149" s="483"/>
      <c r="G149" s="483"/>
      <c r="H149" s="483"/>
      <c r="I149" s="483"/>
      <c r="J149" s="483"/>
      <c r="K149" s="483"/>
      <c r="L149" s="483"/>
      <c r="M149" s="483"/>
      <c r="N149" s="483"/>
      <c r="O149" s="181"/>
      <c r="P149" s="483" t="s">
        <v>224</v>
      </c>
      <c r="Q149" s="483"/>
      <c r="R149" s="483"/>
      <c r="S149" s="483"/>
      <c r="T149" s="483"/>
      <c r="U149" s="483"/>
      <c r="V149" s="483"/>
      <c r="W149" s="483"/>
      <c r="X149" s="483"/>
      <c r="Y149" s="483"/>
      <c r="Z149" s="483"/>
      <c r="AA149" s="483"/>
      <c r="AB149" s="483"/>
      <c r="AC149" s="483"/>
    </row>
    <row r="150" spans="1:30">
      <c r="A150" s="483"/>
      <c r="B150" s="483"/>
      <c r="C150" s="483"/>
      <c r="D150" s="483"/>
      <c r="E150" s="483"/>
      <c r="F150" s="483"/>
      <c r="G150" s="483"/>
      <c r="H150" s="483"/>
      <c r="I150" s="483"/>
      <c r="J150" s="483"/>
      <c r="K150" s="483"/>
      <c r="L150" s="483"/>
      <c r="M150" s="483"/>
      <c r="N150" s="483"/>
      <c r="O150" s="181"/>
      <c r="P150" s="483"/>
      <c r="Q150" s="483"/>
      <c r="R150" s="483"/>
      <c r="S150" s="483"/>
      <c r="T150" s="483"/>
      <c r="U150" s="483"/>
      <c r="V150" s="483"/>
      <c r="W150" s="483"/>
      <c r="X150" s="483"/>
      <c r="Y150" s="483"/>
      <c r="Z150" s="483"/>
      <c r="AA150" s="483"/>
      <c r="AB150" s="483"/>
      <c r="AC150" s="483"/>
    </row>
    <row r="154" spans="1:30">
      <c r="X154" s="8" t="s">
        <v>278</v>
      </c>
      <c r="Y154" s="9">
        <v>2020</v>
      </c>
      <c r="Z154" s="9">
        <v>2030</v>
      </c>
      <c r="AA154" s="9">
        <v>2040</v>
      </c>
      <c r="AB154" s="9">
        <v>2050</v>
      </c>
      <c r="AD154" t="s">
        <v>292</v>
      </c>
    </row>
    <row r="155" spans="1:30">
      <c r="H155" s="8" t="s">
        <v>278</v>
      </c>
      <c r="I155" s="9">
        <v>2020</v>
      </c>
      <c r="J155" s="9">
        <v>2030</v>
      </c>
      <c r="K155" s="9">
        <v>2040</v>
      </c>
      <c r="L155" s="9">
        <v>2050</v>
      </c>
      <c r="M155" s="378">
        <v>2020</v>
      </c>
      <c r="N155" s="378">
        <v>2030</v>
      </c>
      <c r="O155" s="378">
        <v>2040</v>
      </c>
      <c r="P155" s="378">
        <v>2050</v>
      </c>
      <c r="X155" s="124" t="s">
        <v>15</v>
      </c>
      <c r="Y155" s="107">
        <f>'Bureaux - AMS'!H181+'CaHoREs - AMS'!H181+'Commerce - AMS'!H181+'Enseignement - AMS'!H181+'Santé social - AMS'!H181+'Sport Loisir Culture - AMS'!H181+'Transport - AMS'!H181</f>
        <v>141901.09343289433</v>
      </c>
      <c r="Z155" s="107">
        <f>'Bureaux - AMS'!I181+'CaHoREs - AMS'!I181+'Commerce - AMS'!I181+'Enseignement - AMS'!I181+'Santé social - AMS'!I181+'Sport Loisir Culture - AMS'!I181+'Transport - AMS'!I181</f>
        <v>12854.882597958662</v>
      </c>
      <c r="AA155" s="107">
        <f>'Bureaux - AMS'!J181+'CaHoREs - AMS'!J181+'Commerce - AMS'!J181+'Enseignement - AMS'!J181+'Santé social - AMS'!J181+'Sport Loisir Culture - AMS'!J181+'Transport - AMS'!J181</f>
        <v>0</v>
      </c>
      <c r="AB155" s="107">
        <f>'Bureaux - AMS'!K181+'CaHoREs - AMS'!K181+'Commerce - AMS'!K181+'Enseignement - AMS'!K181+'Santé social - AMS'!K181+'Sport Loisir Culture - AMS'!K181+'Transport - AMS'!K181</f>
        <v>0</v>
      </c>
      <c r="AD155" s="156">
        <f>Z155/Y155-1</f>
        <v>-0.90940955924319367</v>
      </c>
    </row>
    <row r="156" spans="1:30">
      <c r="H156" s="124" t="s">
        <v>15</v>
      </c>
      <c r="I156" s="107">
        <f>'Bureaux - AME'!H179+'CaHoREs - AME'!H179+'Commerce - AME'!H179+'Enseignement - AME'!H179+'Santé social - AME'!H179+'Sport Loisir Culture - AME'!H179+'Transport - AME'!H179</f>
        <v>141901.09343289433</v>
      </c>
      <c r="J156" s="107">
        <f>'Bureaux - AME'!I179+'CaHoREs - AME'!I179+'Commerce - AME'!I179+'Enseignement - AME'!I179+'Santé social - AME'!I179+'Sport Loisir Culture - AME'!I179+'Transport - AME'!I179</f>
        <v>119795.24600839353</v>
      </c>
      <c r="K156" s="107">
        <f>'Bureaux - AME'!J179+'CaHoREs - AME'!J179+'Commerce - AME'!J179+'Enseignement - AME'!J179+'Santé social - AME'!J179+'Sport Loisir Culture - AME'!J179+'Transport - AME'!J179</f>
        <v>106837.52312213337</v>
      </c>
      <c r="L156" s="107">
        <f>'Bureaux - AME'!K179+'CaHoREs - AME'!K179+'Commerce - AME'!K179+'Enseignement - AME'!K179+'Santé social - AME'!K179+'Sport Loisir Culture - AME'!K179+'Transport - AME'!K179</f>
        <v>89459.646012257595</v>
      </c>
      <c r="M156" s="379">
        <f>I156/$I$164</f>
        <v>0.14431462520428312</v>
      </c>
      <c r="N156" s="379">
        <f>J156/$J$164</f>
        <v>0.1195224482687106</v>
      </c>
      <c r="O156" s="379">
        <f>K156/$K$164</f>
        <v>0.10465905604111382</v>
      </c>
      <c r="P156" s="379">
        <f>L156/$L$164</f>
        <v>8.8623038339001689E-2</v>
      </c>
      <c r="X156" s="124" t="s">
        <v>16</v>
      </c>
      <c r="Y156" s="107">
        <f>'Bureaux - AMS'!H182+'CaHoREs - AMS'!H182+'Commerce - AMS'!H182+'Enseignement - AMS'!H182+'Santé social - AMS'!H182+'Sport Loisir Culture - AMS'!H182+'Transport - AMS'!H182</f>
        <v>454344.37842089933</v>
      </c>
      <c r="Z156" s="107">
        <f>'Bureaux - AMS'!I182+'CaHoREs - AMS'!I182+'Commerce - AMS'!I182+'Enseignement - AMS'!I182+'Santé social - AMS'!I182+'Sport Loisir Culture - AMS'!I182+'Transport - AMS'!I182</f>
        <v>375798.85805990337</v>
      </c>
      <c r="AA156" s="107">
        <f>'Bureaux - AMS'!J182+'CaHoREs - AMS'!J182+'Commerce - AMS'!J182+'Enseignement - AMS'!J182+'Santé social - AMS'!J182+'Sport Loisir Culture - AMS'!J182+'Transport - AMS'!J182</f>
        <v>221612.02081877773</v>
      </c>
      <c r="AB156" s="107">
        <f>'Bureaux - AMS'!K182+'CaHoREs - AMS'!K182+'Commerce - AMS'!K182+'Enseignement - AMS'!K182+'Santé social - AMS'!K182+'Sport Loisir Culture - AMS'!K182+'Transport - AMS'!K182</f>
        <v>65081.484843831073</v>
      </c>
      <c r="AD156" s="156">
        <f t="shared" ref="AD156:AD163" si="55">Z156/Y156-1</f>
        <v>-0.172876619787804</v>
      </c>
    </row>
    <row r="157" spans="1:30">
      <c r="H157" s="124" t="s">
        <v>16</v>
      </c>
      <c r="I157" s="107">
        <f>'Bureaux - AME'!H180+'CaHoREs - AME'!H180+'Commerce - AME'!H180+'Enseignement - AME'!H180+'Santé social - AME'!H180+'Sport Loisir Culture - AME'!H180+'Transport - AME'!H180</f>
        <v>454344.37842089933</v>
      </c>
      <c r="J157" s="107">
        <f>'Bureaux - AME'!I180+'CaHoREs - AME'!I180+'Commerce - AME'!I180+'Enseignement - AME'!I180+'Santé social - AME'!I180+'Sport Loisir Culture - AME'!I180+'Transport - AME'!I180</f>
        <v>425698.0135294536</v>
      </c>
      <c r="K157" s="107">
        <f>'Bureaux - AME'!J180+'CaHoREs - AME'!J180+'Commerce - AME'!J180+'Enseignement - AME'!J180+'Santé social - AME'!J180+'Sport Loisir Culture - AME'!J180+'Transport - AME'!J180</f>
        <v>424752.27544970828</v>
      </c>
      <c r="L157" s="107">
        <f>'Bureaux - AME'!K180+'CaHoREs - AME'!K180+'Commerce - AME'!K180+'Enseignement - AME'!K180+'Santé social - AME'!K180+'Sport Loisir Culture - AME'!K180+'Transport - AME'!K180</f>
        <v>411072.66227964632</v>
      </c>
      <c r="M157" s="379">
        <f t="shared" ref="M157:M160" si="56">I157/$I$164</f>
        <v>0.46207211727013742</v>
      </c>
      <c r="N157" s="379">
        <f t="shared" ref="N157:N160" si="57">J157/$J$164</f>
        <v>0.42472861399359713</v>
      </c>
      <c r="O157" s="379">
        <f t="shared" ref="O157:O160" si="58">K157/$K$164</f>
        <v>0.41609137783045563</v>
      </c>
      <c r="P157" s="379">
        <f>L157/$L$164</f>
        <v>0.40722839775526215</v>
      </c>
      <c r="X157" s="124" t="s">
        <v>21</v>
      </c>
      <c r="Y157" s="107">
        <f>'Bureaux - AMS'!H183+'CaHoREs - AMS'!H183+'Commerce - AMS'!H183+'Enseignement - AMS'!H183+'Santé social - AMS'!H183+'Sport Loisir Culture - AMS'!H183+'Transport - AMS'!H183</f>
        <v>71441.245547844053</v>
      </c>
      <c r="Z157" s="107">
        <f>'Bureaux - AMS'!I183+'CaHoREs - AMS'!I183+'Commerce - AMS'!I183+'Enseignement - AMS'!I183+'Santé social - AMS'!I183+'Sport Loisir Culture - AMS'!I183+'Transport - AMS'!I183</f>
        <v>187778.06218926172</v>
      </c>
      <c r="AA157" s="107">
        <f>'Bureaux - AMS'!J183+'CaHoREs - AMS'!J183+'Commerce - AMS'!J183+'Enseignement - AMS'!J183+'Santé social - AMS'!J183+'Sport Loisir Culture - AMS'!J183+'Transport - AMS'!J183</f>
        <v>227415.30910128169</v>
      </c>
      <c r="AB157" s="107">
        <f>'Bureaux - AMS'!K183+'CaHoREs - AMS'!K183+'Commerce - AMS'!K183+'Enseignement - AMS'!K183+'Santé social - AMS'!K183+'Sport Loisir Culture - AMS'!K183+'Transport - AMS'!K183</f>
        <v>236382.27092098337</v>
      </c>
      <c r="AD157" s="156">
        <f t="shared" si="55"/>
        <v>1.6284264887782105</v>
      </c>
    </row>
    <row r="158" spans="1:30">
      <c r="H158" s="124" t="s">
        <v>21</v>
      </c>
      <c r="I158" s="107">
        <f>'Bureaux - AME'!H181+'CaHoREs - AME'!H181+'Commerce - AME'!H181+'Enseignement - AME'!H181+'Santé social - AME'!H181+'Sport Loisir Culture - AME'!H181+'Transport - AME'!H181</f>
        <v>71441.245547844053</v>
      </c>
      <c r="J158" s="107">
        <f>'Bureaux - AME'!I181+'CaHoREs - AME'!I181+'Commerce - AME'!I181+'Enseignement - AME'!I181+'Santé social - AME'!I181+'Sport Loisir Culture - AME'!I181+'Transport - AME'!I181</f>
        <v>81560.511200861423</v>
      </c>
      <c r="K158" s="107">
        <f>'Bureaux - AME'!J181+'CaHoREs - AME'!J181+'Commerce - AME'!J181+'Enseignement - AME'!J181+'Santé social - AME'!J181+'Sport Loisir Culture - AME'!J181+'Transport - AME'!J181</f>
        <v>82050.115232573749</v>
      </c>
      <c r="L158" s="107">
        <f>'Bureaux - AME'!K181+'CaHoREs - AME'!K181+'Commerce - AME'!K181+'Enseignement - AME'!K181+'Santé social - AME'!K181+'Sport Loisir Culture - AME'!K181+'Transport - AME'!K181</f>
        <v>77571.216481423311</v>
      </c>
      <c r="M158" s="379">
        <f t="shared" si="56"/>
        <v>7.2656357508900593E-2</v>
      </c>
      <c r="N158" s="379">
        <f t="shared" si="57"/>
        <v>8.1374781601028887E-2</v>
      </c>
      <c r="O158" s="379">
        <f t="shared" si="58"/>
        <v>8.0377074995355902E-2</v>
      </c>
      <c r="P158" s="379">
        <f>L158/$L$164</f>
        <v>7.6845786884672362E-2</v>
      </c>
      <c r="X158" s="124" t="s">
        <v>22</v>
      </c>
      <c r="Y158" s="107">
        <f>'Bureaux - AMS'!H184+'CaHoREs - AMS'!H184+'Commerce - AMS'!H184+'Enseignement - AMS'!H184+'Santé social - AMS'!H184+'Sport Loisir Culture - AMS'!H184+'Transport - AMS'!H184</f>
        <v>14072.698497935504</v>
      </c>
      <c r="Z158" s="107">
        <f>'Bureaux - AMS'!I184+'CaHoREs - AMS'!I184+'Commerce - AMS'!I184+'Enseignement - AMS'!I184+'Santé social - AMS'!I184+'Sport Loisir Culture - AMS'!I184+'Transport - AMS'!I184</f>
        <v>10239.909292832006</v>
      </c>
      <c r="AA158" s="107">
        <f>'Bureaux - AMS'!J184+'CaHoREs - AMS'!J184+'Commerce - AMS'!J184+'Enseignement - AMS'!J184+'Santé social - AMS'!J184+'Sport Loisir Culture - AMS'!J184+'Transport - AMS'!J184</f>
        <v>6168.4832918836091</v>
      </c>
      <c r="AB158" s="107">
        <f>'Bureaux - AMS'!K184+'CaHoREs - AMS'!K184+'Commerce - AMS'!K184+'Enseignement - AMS'!K184+'Santé social - AMS'!K184+'Sport Loisir Culture - AMS'!K184+'Transport - AMS'!K184</f>
        <v>723.61470960254644</v>
      </c>
      <c r="AD158" s="156">
        <f t="shared" si="55"/>
        <v>-0.2723563789607073</v>
      </c>
    </row>
    <row r="159" spans="1:30">
      <c r="H159" s="124" t="s">
        <v>22</v>
      </c>
      <c r="I159" s="107">
        <f>'Bureaux - AME'!H182+'CaHoREs - AME'!H182+'Commerce - AME'!H182+'Enseignement - AME'!H182+'Santé social - AME'!H182+'Sport Loisir Culture - AME'!H182+'Transport - AME'!H182</f>
        <v>14072.698497935502</v>
      </c>
      <c r="J159" s="107">
        <f>'Bureaux - AME'!I182+'CaHoREs - AME'!I182+'Commerce - AME'!I182+'Enseignement - AME'!I182+'Santé social - AME'!I182+'Sport Loisir Culture - AME'!I182+'Transport - AME'!I182</f>
        <v>14397.688968434337</v>
      </c>
      <c r="K159" s="107">
        <f>'Bureaux - AME'!J182+'CaHoREs - AME'!J182+'Commerce - AME'!J182+'Enseignement - AME'!J182+'Santé social - AME'!J182+'Sport Loisir Culture - AME'!J182+'Transport - AME'!J182</f>
        <v>14836.842407550766</v>
      </c>
      <c r="L159" s="107">
        <f>'Bureaux - AME'!K182+'CaHoREs - AME'!K182+'Commerce - AME'!K182+'Enseignement - AME'!K182+'Santé social - AME'!K182+'Sport Loisir Culture - AME'!K182+'Transport - AME'!K182</f>
        <v>14844.114596695159</v>
      </c>
      <c r="M159" s="379">
        <f t="shared" si="56"/>
        <v>1.4312054686899648E-2</v>
      </c>
      <c r="N159" s="379">
        <f t="shared" si="57"/>
        <v>1.4364902550457687E-2</v>
      </c>
      <c r="O159" s="379">
        <f t="shared" si="58"/>
        <v>1.4534312249357422E-2</v>
      </c>
      <c r="P159" s="379">
        <f>L159/$L$164</f>
        <v>1.4705295579094937E-2</v>
      </c>
      <c r="X159" s="124" t="s">
        <v>42</v>
      </c>
      <c r="Y159" s="107">
        <f>'Bureaux - AMS'!H185+'CaHoREs - AMS'!H185+'Commerce - AMS'!H185+'Enseignement - AMS'!H185+'Santé social - AMS'!H185+'Sport Loisir Culture - AMS'!H185+'Transport - AMS'!H185</f>
        <v>12713.837338469146</v>
      </c>
      <c r="Z159" s="107">
        <f>'Bureaux - AMS'!I185+'CaHoREs - AMS'!I185+'Commerce - AMS'!I185+'Enseignement - AMS'!I185+'Santé social - AMS'!I185+'Sport Loisir Culture - AMS'!I185+'Transport - AMS'!I185</f>
        <v>21889.569103846479</v>
      </c>
      <c r="AA159" s="107">
        <f>'Bureaux - AMS'!J185+'CaHoREs - AMS'!J185+'Commerce - AMS'!J185+'Enseignement - AMS'!J185+'Santé social - AMS'!J185+'Sport Loisir Culture - AMS'!J185+'Transport - AMS'!J185</f>
        <v>32419.239495909082</v>
      </c>
      <c r="AB159" s="107">
        <f>'Bureaux - AMS'!K185+'CaHoREs - AMS'!K185+'Commerce - AMS'!K185+'Enseignement - AMS'!K185+'Santé social - AMS'!K185+'Sport Loisir Culture - AMS'!K185+'Transport - AMS'!K185</f>
        <v>45971.32954744211</v>
      </c>
      <c r="AD159" s="156">
        <f t="shared" si="55"/>
        <v>0.72171221961552723</v>
      </c>
    </row>
    <row r="160" spans="1:30">
      <c r="H160" s="124" t="s">
        <v>42</v>
      </c>
      <c r="I160" s="107">
        <f>'Bureaux - AME'!H183+'CaHoREs - AME'!H183+'Commerce - AME'!H183+'Enseignement - AME'!H183+'Santé social - AME'!H183+'Sport Loisir Culture - AME'!H183+'Transport - AME'!H183</f>
        <v>12713.837338469146</v>
      </c>
      <c r="J160" s="107">
        <f>'Bureaux - AME'!I183+'CaHoREs - AME'!I183+'Commerce - AME'!I183+'Enseignement - AME'!I183+'Santé social - AME'!I183+'Sport Loisir Culture - AME'!I183+'Transport - AME'!I183</f>
        <v>14667.798089274911</v>
      </c>
      <c r="K160" s="107">
        <f>'Bureaux - AME'!J183+'CaHoREs - AME'!J183+'Commerce - AME'!J183+'Enseignement - AME'!J183+'Santé social - AME'!J183+'Sport Loisir Culture - AME'!J183+'Transport - AME'!J183</f>
        <v>16053.693516742846</v>
      </c>
      <c r="L160" s="107">
        <f>'Bureaux - AME'!K183+'CaHoREs - AME'!K183+'Commerce - AME'!K183+'Enseignement - AME'!K183+'Santé social - AME'!K183+'Sport Loisir Culture - AME'!K183+'Transport - AME'!K183</f>
        <v>17005.877321405918</v>
      </c>
      <c r="M160" s="379">
        <f t="shared" si="56"/>
        <v>1.2930081270142411E-2</v>
      </c>
      <c r="N160" s="379">
        <f t="shared" si="57"/>
        <v>1.4634396578795943E-2</v>
      </c>
      <c r="O160" s="379">
        <f t="shared" si="58"/>
        <v>1.5726351195122175E-2</v>
      </c>
      <c r="P160" s="379">
        <f>L160/$L$164</f>
        <v>1.6846841956392428E-2</v>
      </c>
      <c r="X160" s="124" t="s">
        <v>46</v>
      </c>
      <c r="Y160" s="107">
        <f>'Bureaux - AMS'!H186+'CaHoREs - AMS'!H186+'Commerce - AMS'!H186+'Enseignement - AMS'!H186+'Santé social - AMS'!H186+'Sport Loisir Culture - AMS'!H186+'Transport - AMS'!H186</f>
        <v>230136.8893728843</v>
      </c>
      <c r="Z160" s="107">
        <f>'Bureaux - AMS'!I186+'CaHoREs - AMS'!I186+'Commerce - AMS'!I186+'Enseignement - AMS'!I186+'Santé social - AMS'!I186+'Sport Loisir Culture - AMS'!I186+'Transport - AMS'!I186</f>
        <v>154514.92716328381</v>
      </c>
      <c r="AA160" s="107">
        <f>'Bureaux - AMS'!J186+'CaHoREs - AMS'!J186+'Commerce - AMS'!J186+'Enseignement - AMS'!J186+'Santé social - AMS'!J186+'Sport Loisir Culture - AMS'!J186+'Transport - AMS'!J186</f>
        <v>108953.71079058354</v>
      </c>
      <c r="AB160" s="107">
        <f>'Bureaux - AMS'!K186+'CaHoREs - AMS'!K186+'Commerce - AMS'!K186+'Enseignement - AMS'!K186+'Santé social - AMS'!K186+'Sport Loisir Culture - AMS'!K186+'Transport - AMS'!K186</f>
        <v>101367.12962952405</v>
      </c>
      <c r="AD160" s="156">
        <f t="shared" si="55"/>
        <v>-0.32859556942682211</v>
      </c>
    </row>
    <row r="161" spans="8:30">
      <c r="H161" s="124" t="s">
        <v>46</v>
      </c>
      <c r="I161" s="107">
        <f>'Bureaux - AME'!H184+'CaHoREs - AME'!H184+'Commerce - AME'!H184+'Enseignement - AME'!H184+'Santé social - AME'!H184+'Sport Loisir Culture - AME'!H184+'Transport - AME'!H184</f>
        <v>230136.8893728843</v>
      </c>
      <c r="J161" s="107">
        <f>'Bureaux - AME'!I184+'CaHoREs - AME'!I184+'Commerce - AME'!I184+'Enseignement - AME'!I184+'Santé social - AME'!I184+'Sport Loisir Culture - AME'!I184+'Transport - AME'!I184</f>
        <v>197786.28475220225</v>
      </c>
      <c r="K161" s="107">
        <f>'Bureaux - AME'!J184+'CaHoREs - AME'!J184+'Commerce - AME'!J184+'Enseignement - AME'!J184+'Santé social - AME'!J184+'Sport Loisir Culture - AME'!J184+'Transport - AME'!J184</f>
        <v>172616.25557423016</v>
      </c>
      <c r="L161" s="107">
        <f>'Bureaux - AME'!K184+'CaHoREs - AME'!K184+'Commerce - AME'!K184+'Enseignement - AME'!K184+'Santé social - AME'!K184+'Sport Loisir Culture - AME'!K184+'Transport - AME'!K184</f>
        <v>139920.91422536096</v>
      </c>
      <c r="M161" s="379">
        <f>(I161+I162)/I164</f>
        <v>0.29371476405963681</v>
      </c>
      <c r="N161" s="379">
        <f>(J161+J162)/$J$164</f>
        <v>0.34537485700740989</v>
      </c>
      <c r="O161" s="379">
        <f t="shared" ref="O161" si="59">(K161+K162)/K164</f>
        <v>0.36861182768859518</v>
      </c>
      <c r="P161" s="379">
        <f>(L161+L162)/$L$164</f>
        <v>0.39575063948557637</v>
      </c>
      <c r="X161" s="124" t="s">
        <v>47</v>
      </c>
      <c r="Y161" s="107">
        <f>'Bureaux - AMS'!H187+'CaHoREs - AMS'!H187+'Commerce - AMS'!H187+'Enseignement - AMS'!H187+'Santé social - AMS'!H187+'Sport Loisir Culture - AMS'!H187+'Transport - AMS'!H187</f>
        <v>58665.760521050746</v>
      </c>
      <c r="Z161" s="107">
        <f>'Bureaux - AMS'!I187+'CaHoREs - AMS'!I187+'Commerce - AMS'!I187+'Enseignement - AMS'!I187+'Santé social - AMS'!I187+'Sport Loisir Culture - AMS'!I187+'Transport - AMS'!I187</f>
        <v>234717.75133310686</v>
      </c>
      <c r="AA161" s="107">
        <f>'Bureaux - AMS'!J187+'CaHoREs - AMS'!J187+'Commerce - AMS'!J187+'Enseignement - AMS'!J187+'Santé social - AMS'!J187+'Sport Loisir Culture - AMS'!J187+'Transport - AMS'!J187</f>
        <v>400220.52002304565</v>
      </c>
      <c r="AB161" s="107">
        <f>'Bureaux - AMS'!K187+'CaHoREs - AMS'!K187+'Commerce - AMS'!K187+'Enseignement - AMS'!K187+'Santé social - AMS'!K187+'Sport Loisir Culture - AMS'!K187+'Transport - AMS'!K187</f>
        <v>515623.3766493274</v>
      </c>
      <c r="AD161" s="156">
        <f t="shared" si="55"/>
        <v>3.0009325584193913</v>
      </c>
    </row>
    <row r="162" spans="8:30">
      <c r="H162" s="124" t="s">
        <v>47</v>
      </c>
      <c r="I162" s="107">
        <f>'Bureaux - AME'!H185+'CaHoREs - AME'!H185+'Commerce - AME'!H185+'Enseignement - AME'!H185+'Santé social - AME'!H185+'Sport Loisir Culture - AME'!H185+'Transport - AME'!H185</f>
        <v>58665.760521050746</v>
      </c>
      <c r="J162" s="107">
        <f>'Bureaux - AME'!I185+'CaHoREs - AME'!I185+'Commerce - AME'!I185+'Enseignement - AME'!I185+'Santé social - AME'!I185+'Sport Loisir Culture - AME'!I185+'Transport - AME'!I185</f>
        <v>148376.85497280321</v>
      </c>
      <c r="K162" s="107">
        <f>'Bureaux - AME'!J185+'CaHoREs - AME'!J185+'Commerce - AME'!J185+'Enseignement - AME'!J185+'Santé social - AME'!J185+'Sport Loisir Culture - AME'!J185+'Transport - AME'!J185</f>
        <v>203668.18796500482</v>
      </c>
      <c r="L162" s="107">
        <f>'Bureaux - AME'!K185+'CaHoREs - AME'!K185+'Commerce - AME'!K185+'Enseignement - AME'!K185+'Santé social - AME'!K185+'Sport Loisir Culture - AME'!K185+'Transport - AME'!K185</f>
        <v>259565.63894468066</v>
      </c>
      <c r="M162" s="156"/>
      <c r="AD162" s="156"/>
    </row>
    <row r="163" spans="8:30">
      <c r="X163" s="12" t="s">
        <v>17</v>
      </c>
      <c r="Y163" s="254">
        <f>SUM(Y155:Y161)</f>
        <v>983275.90313197742</v>
      </c>
      <c r="Z163" s="254">
        <f t="shared" ref="Z163:AB163" si="60">SUM(Z155:Z161)</f>
        <v>997793.95974019286</v>
      </c>
      <c r="AA163" s="254">
        <f t="shared" si="60"/>
        <v>996789.28352148132</v>
      </c>
      <c r="AB163" s="254">
        <f t="shared" si="60"/>
        <v>965149.20630071056</v>
      </c>
      <c r="AD163" s="156">
        <f t="shared" si="55"/>
        <v>1.476498769264234E-2</v>
      </c>
    </row>
    <row r="164" spans="8:30">
      <c r="H164" s="12" t="s">
        <v>17</v>
      </c>
      <c r="I164" s="254">
        <f>SUM(I156:I162)</f>
        <v>983275.90313197742</v>
      </c>
      <c r="J164" s="254">
        <f t="shared" ref="J164:L164" si="61">SUM(J156:J162)</f>
        <v>1002282.3975214232</v>
      </c>
      <c r="K164" s="254">
        <f t="shared" si="61"/>
        <v>1020814.8932679439</v>
      </c>
      <c r="L164" s="254">
        <f t="shared" si="61"/>
        <v>1009440.06986147</v>
      </c>
    </row>
    <row r="166" spans="8:30">
      <c r="X166" s="8" t="s">
        <v>407</v>
      </c>
      <c r="Y166" s="9">
        <v>2020</v>
      </c>
      <c r="Z166" s="9">
        <v>2030</v>
      </c>
      <c r="AA166" s="9">
        <v>2040</v>
      </c>
      <c r="AB166" s="9">
        <v>2050</v>
      </c>
    </row>
    <row r="167" spans="8:30">
      <c r="X167" s="124" t="s">
        <v>15</v>
      </c>
      <c r="Y167" s="397">
        <f>Y155/(10^3)</f>
        <v>141.90109343289433</v>
      </c>
      <c r="Z167" s="397">
        <f t="shared" ref="Z167:AB167" si="62">Z155/(10^3)</f>
        <v>12.854882597958662</v>
      </c>
      <c r="AA167" s="397">
        <f t="shared" si="62"/>
        <v>0</v>
      </c>
      <c r="AB167" s="397">
        <f t="shared" si="62"/>
        <v>0</v>
      </c>
    </row>
    <row r="168" spans="8:30">
      <c r="X168" s="124" t="s">
        <v>16</v>
      </c>
      <c r="Y168" s="397">
        <f t="shared" ref="Y168:AB173" si="63">Y156/(10^3)</f>
        <v>454.34437842089932</v>
      </c>
      <c r="Z168" s="397">
        <f t="shared" si="63"/>
        <v>375.79885805990335</v>
      </c>
      <c r="AA168" s="397">
        <f t="shared" si="63"/>
        <v>221.61202081877772</v>
      </c>
      <c r="AB168" s="397">
        <f t="shared" si="63"/>
        <v>65.081484843831078</v>
      </c>
    </row>
    <row r="169" spans="8:30">
      <c r="X169" s="124" t="s">
        <v>21</v>
      </c>
      <c r="Y169" s="397">
        <f t="shared" si="63"/>
        <v>71.441245547844048</v>
      </c>
      <c r="Z169" s="397">
        <f t="shared" si="63"/>
        <v>187.77806218926173</v>
      </c>
      <c r="AA169" s="397">
        <f t="shared" si="63"/>
        <v>227.41530910128168</v>
      </c>
      <c r="AB169" s="397">
        <f t="shared" si="63"/>
        <v>236.38227092098336</v>
      </c>
    </row>
    <row r="170" spans="8:30">
      <c r="X170" s="124" t="s">
        <v>22</v>
      </c>
      <c r="Y170" s="397">
        <f t="shared" si="63"/>
        <v>14.072698497935503</v>
      </c>
      <c r="Z170" s="397">
        <f t="shared" si="63"/>
        <v>10.239909292832007</v>
      </c>
      <c r="AA170" s="397">
        <f t="shared" si="63"/>
        <v>6.168483291883609</v>
      </c>
      <c r="AB170" s="397">
        <f t="shared" si="63"/>
        <v>0.72361470960254648</v>
      </c>
    </row>
    <row r="171" spans="8:30">
      <c r="X171" s="124" t="s">
        <v>42</v>
      </c>
      <c r="Y171" s="397">
        <f t="shared" si="63"/>
        <v>12.713837338469146</v>
      </c>
      <c r="Z171" s="397">
        <f t="shared" si="63"/>
        <v>21.88956910384648</v>
      </c>
      <c r="AA171" s="397">
        <f t="shared" si="63"/>
        <v>32.419239495909082</v>
      </c>
      <c r="AB171" s="397">
        <f t="shared" si="63"/>
        <v>45.97132954744211</v>
      </c>
    </row>
    <row r="172" spans="8:30">
      <c r="X172" s="124" t="s">
        <v>46</v>
      </c>
      <c r="Y172" s="397">
        <f t="shared" si="63"/>
        <v>230.1368893728843</v>
      </c>
      <c r="Z172" s="397">
        <f t="shared" si="63"/>
        <v>154.5149271632838</v>
      </c>
      <c r="AA172" s="397">
        <f t="shared" si="63"/>
        <v>108.95371079058354</v>
      </c>
      <c r="AB172" s="397">
        <f t="shared" si="63"/>
        <v>101.36712962952404</v>
      </c>
    </row>
    <row r="173" spans="8:30">
      <c r="X173" s="124" t="s">
        <v>47</v>
      </c>
      <c r="Y173" s="397">
        <f t="shared" si="63"/>
        <v>58.66576052105075</v>
      </c>
      <c r="Z173" s="397">
        <f t="shared" si="63"/>
        <v>234.71775133310686</v>
      </c>
      <c r="AA173" s="397">
        <f t="shared" si="63"/>
        <v>400.22052002304565</v>
      </c>
      <c r="AB173" s="397">
        <f t="shared" si="63"/>
        <v>515.62337664932738</v>
      </c>
    </row>
    <row r="175" spans="8:30">
      <c r="X175" s="12" t="s">
        <v>17</v>
      </c>
      <c r="Y175" s="254">
        <f>SUM(Y167:Y173)</f>
        <v>983.27590313197732</v>
      </c>
      <c r="Z175" s="254">
        <f t="shared" ref="Z175:AB175" si="64">SUM(Z167:Z173)</f>
        <v>997.7939597401928</v>
      </c>
      <c r="AA175" s="254">
        <f t="shared" si="64"/>
        <v>996.78928352148125</v>
      </c>
      <c r="AB175" s="254">
        <f t="shared" si="64"/>
        <v>965.14920630071049</v>
      </c>
    </row>
  </sheetData>
  <mergeCells count="35">
    <mergeCell ref="X112:AB112"/>
    <mergeCell ref="X122:AB122"/>
    <mergeCell ref="X91:AB91"/>
    <mergeCell ref="B7:F7"/>
    <mergeCell ref="A55:E55"/>
    <mergeCell ref="A79:E79"/>
    <mergeCell ref="AD37:AK37"/>
    <mergeCell ref="A149:N150"/>
    <mergeCell ref="P149:AC150"/>
    <mergeCell ref="A127:N128"/>
    <mergeCell ref="P127:AC128"/>
    <mergeCell ref="A130:E130"/>
    <mergeCell ref="X130:AB130"/>
    <mergeCell ref="A142:E142"/>
    <mergeCell ref="X142:AB142"/>
    <mergeCell ref="A106:N107"/>
    <mergeCell ref="P106:AC107"/>
    <mergeCell ref="A112:E112"/>
    <mergeCell ref="A122:E122"/>
    <mergeCell ref="A91:E91"/>
    <mergeCell ref="P49:AC50"/>
    <mergeCell ref="A49:N50"/>
    <mergeCell ref="A1:N2"/>
    <mergeCell ref="P1:AC2"/>
    <mergeCell ref="Y7:AC7"/>
    <mergeCell ref="X55:AB55"/>
    <mergeCell ref="X79:AB79"/>
    <mergeCell ref="A3:N4"/>
    <mergeCell ref="P3:AC4"/>
    <mergeCell ref="A33:E33"/>
    <mergeCell ref="X33:AB33"/>
    <mergeCell ref="A67:E67"/>
    <mergeCell ref="X67:AB67"/>
    <mergeCell ref="A27:E27"/>
    <mergeCell ref="X27:AB2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D1ED-70FE-4417-8369-1DA3CE62F459}">
  <sheetPr>
    <tabColor rgb="FF3DB84B"/>
  </sheetPr>
  <dimension ref="A1:AL192"/>
  <sheetViews>
    <sheetView tabSelected="1" topLeftCell="R162" zoomScaleNormal="100" workbookViewId="0">
      <selection activeCell="Y193" sqref="Y193"/>
    </sheetView>
  </sheetViews>
  <sheetFormatPr baseColWidth="10" defaultRowHeight="15"/>
  <cols>
    <col min="1" max="1" width="19.140625" customWidth="1"/>
    <col min="2" max="2" width="12.42578125" bestFit="1" customWidth="1"/>
    <col min="24" max="24" width="14.140625" customWidth="1"/>
    <col min="26" max="26" width="13" bestFit="1" customWidth="1"/>
    <col min="31" max="31" width="22.85546875" customWidth="1"/>
  </cols>
  <sheetData>
    <row r="1" spans="1:29">
      <c r="A1" s="477" t="s">
        <v>108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181"/>
      <c r="P1" s="477" t="s">
        <v>109</v>
      </c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</row>
    <row r="2" spans="1:29">
      <c r="A2" s="477"/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181"/>
      <c r="P2" s="477"/>
      <c r="Q2" s="477"/>
      <c r="R2" s="477"/>
      <c r="S2" s="477"/>
      <c r="T2" s="477"/>
      <c r="U2" s="477"/>
      <c r="V2" s="477"/>
      <c r="W2" s="477"/>
      <c r="X2" s="477"/>
      <c r="Y2" s="477"/>
      <c r="Z2" s="477"/>
      <c r="AA2" s="477"/>
      <c r="AB2" s="477"/>
      <c r="AC2" s="477"/>
    </row>
    <row r="3" spans="1:29" ht="14.45" customHeight="1">
      <c r="A3" s="483" t="s">
        <v>198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181"/>
      <c r="P3" s="483" t="s">
        <v>198</v>
      </c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</row>
    <row r="4" spans="1:29" ht="14.45" customHeight="1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181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</row>
    <row r="5" spans="1:29">
      <c r="O5" s="181"/>
    </row>
    <row r="6" spans="1:29">
      <c r="O6" s="181"/>
    </row>
    <row r="7" spans="1:29">
      <c r="A7" s="58"/>
      <c r="B7" s="478" t="s">
        <v>59</v>
      </c>
      <c r="C7" s="479"/>
      <c r="D7" s="479"/>
      <c r="E7" s="479"/>
      <c r="F7" s="480"/>
      <c r="O7" s="181"/>
      <c r="X7" s="58"/>
      <c r="Y7" s="478" t="s">
        <v>213</v>
      </c>
      <c r="Z7" s="479"/>
      <c r="AA7" s="479"/>
      <c r="AB7" s="479"/>
      <c r="AC7" s="480"/>
    </row>
    <row r="8" spans="1:29">
      <c r="A8" s="8" t="s">
        <v>27</v>
      </c>
      <c r="B8" s="9"/>
      <c r="C8" s="9">
        <v>2020</v>
      </c>
      <c r="D8" s="9">
        <v>2030</v>
      </c>
      <c r="E8" s="9">
        <v>2040</v>
      </c>
      <c r="F8" s="9">
        <v>2050</v>
      </c>
      <c r="O8" s="181"/>
      <c r="X8" s="8" t="s">
        <v>27</v>
      </c>
      <c r="Y8" s="9"/>
      <c r="Z8" s="9">
        <v>2020</v>
      </c>
      <c r="AA8" s="9">
        <v>2030</v>
      </c>
      <c r="AB8" s="9">
        <v>2040</v>
      </c>
      <c r="AC8" s="9">
        <v>2050</v>
      </c>
    </row>
    <row r="9" spans="1:29">
      <c r="A9" t="s">
        <v>0</v>
      </c>
      <c r="B9" s="83" t="s">
        <v>103</v>
      </c>
      <c r="C9" s="178">
        <f>'Bureaux - AME'!H8</f>
        <v>0</v>
      </c>
      <c r="D9" s="178">
        <f>'Bureaux - AME'!I8</f>
        <v>6206.4099090819327</v>
      </c>
      <c r="E9" s="178">
        <f>'Bureaux - AME'!J8</f>
        <v>6411.8444638873989</v>
      </c>
      <c r="F9" s="178">
        <f>'Bureaux - AME'!K8</f>
        <v>5961.6497428461562</v>
      </c>
      <c r="O9" s="181"/>
      <c r="X9" t="s">
        <v>0</v>
      </c>
      <c r="Y9" s="83" t="s">
        <v>103</v>
      </c>
      <c r="Z9" s="178">
        <f>'Bureaux - AMS'!H8</f>
        <v>0</v>
      </c>
      <c r="AA9" s="178">
        <f>'Bureaux - AMS'!I8</f>
        <v>6206.4099090819327</v>
      </c>
      <c r="AB9" s="178">
        <f>'Bureaux - AMS'!J8</f>
        <v>5920.8738890125724</v>
      </c>
      <c r="AC9" s="178">
        <f>'Bureaux - AMS'!K8</f>
        <v>5623.8458501736704</v>
      </c>
    </row>
    <row r="10" spans="1:29">
      <c r="B10" s="83" t="s">
        <v>102</v>
      </c>
      <c r="C10" s="178">
        <f>'Bureaux - AME'!H9</f>
        <v>287333.79208712652</v>
      </c>
      <c r="D10" s="178">
        <f>'Bureaux - AME'!I9</f>
        <v>269335.75939351093</v>
      </c>
      <c r="E10" s="178">
        <f>'Bureaux - AME'!J9</f>
        <v>269590.45844565687</v>
      </c>
      <c r="F10" s="178">
        <f>'Bureaux - AME'!K9</f>
        <v>263785.0239682839</v>
      </c>
      <c r="O10" s="181"/>
      <c r="Y10" s="83" t="s">
        <v>102</v>
      </c>
      <c r="Z10" s="178">
        <f>'Bureaux - AMS'!H9</f>
        <v>287333.79208712652</v>
      </c>
      <c r="AA10" s="178">
        <f>'Bureaux - AMS'!I9</f>
        <v>267908.12198964827</v>
      </c>
      <c r="AB10" s="178">
        <f>'Bureaux - AMS'!J9</f>
        <v>254442.35991532399</v>
      </c>
      <c r="AC10" s="178">
        <f>'Bureaux - AMS'!K9</f>
        <v>233249.46371632058</v>
      </c>
    </row>
    <row r="11" spans="1:29">
      <c r="A11" t="s">
        <v>48</v>
      </c>
      <c r="B11" s="83" t="s">
        <v>103</v>
      </c>
      <c r="C11" s="178">
        <f>'CaHoREs - AME'!H8</f>
        <v>0</v>
      </c>
      <c r="D11" s="178">
        <f>'CaHoREs - AME'!I8</f>
        <v>4554.2951187047984</v>
      </c>
      <c r="E11" s="178">
        <f>'CaHoREs - AME'!J8</f>
        <v>3048.0726788650627</v>
      </c>
      <c r="F11" s="178">
        <f>'CaHoREs - AME'!K8</f>
        <v>2041.8509200297726</v>
      </c>
      <c r="O11" s="181"/>
      <c r="X11" t="s">
        <v>48</v>
      </c>
      <c r="Y11" s="83" t="s">
        <v>103</v>
      </c>
      <c r="Z11" s="178">
        <f>'CaHoREs - AMS'!H8</f>
        <v>0</v>
      </c>
      <c r="AA11" s="178">
        <f>'CaHoREs - AMS'!I8</f>
        <v>4192.3289288814958</v>
      </c>
      <c r="AB11" s="178">
        <f>'CaHoREs - AMS'!J8</f>
        <v>2902.374208220388</v>
      </c>
      <c r="AC11" s="178">
        <f>'CaHoREs - AMS'!K8</f>
        <v>2027.5304070447819</v>
      </c>
    </row>
    <row r="12" spans="1:29">
      <c r="B12" s="83" t="s">
        <v>102</v>
      </c>
      <c r="C12" s="178">
        <f>'CaHoREs - AME'!H9</f>
        <v>67243.869415029592</v>
      </c>
      <c r="D12" s="178">
        <f>'CaHoREs - AME'!I9</f>
        <v>65307.245975876736</v>
      </c>
      <c r="E12" s="178">
        <f>'CaHoREs - AME'!J9</f>
        <v>67849.528711057588</v>
      </c>
      <c r="F12" s="178">
        <f>'CaHoREs - AME'!K9</f>
        <v>68171.331097608199</v>
      </c>
      <c r="O12" s="181"/>
      <c r="Y12" s="83" t="s">
        <v>102</v>
      </c>
      <c r="Z12" s="178">
        <f>'CaHoREs - AMS'!H9</f>
        <v>67243.869415029592</v>
      </c>
      <c r="AA12" s="178">
        <f>'CaHoREs - AMS'!I9</f>
        <v>65307.245975876736</v>
      </c>
      <c r="AB12" s="178">
        <f>'CaHoREs - AMS'!J9</f>
        <v>67497.987147501204</v>
      </c>
      <c r="AC12" s="178">
        <f>'CaHoREs - AMS'!K9</f>
        <v>66866.719096003129</v>
      </c>
    </row>
    <row r="13" spans="1:29">
      <c r="A13" t="s">
        <v>3</v>
      </c>
      <c r="B13" s="83" t="s">
        <v>103</v>
      </c>
      <c r="C13" s="178">
        <f>'Commerce - AME'!H8</f>
        <v>0</v>
      </c>
      <c r="D13" s="178">
        <f>'Commerce - AME'!I8</f>
        <v>13164.331097787628</v>
      </c>
      <c r="E13" s="178">
        <f>'Commerce - AME'!J8</f>
        <v>8969.5375212372728</v>
      </c>
      <c r="F13" s="178">
        <f>'Commerce - AME'!K8</f>
        <v>8772.0507016362499</v>
      </c>
      <c r="O13" s="181"/>
      <c r="X13" t="s">
        <v>3</v>
      </c>
      <c r="Y13" s="83" t="s">
        <v>103</v>
      </c>
      <c r="Z13" s="178">
        <f>'Commerce - AMS'!H8</f>
        <v>0</v>
      </c>
      <c r="AA13" s="178">
        <f>'Commerce - AMS'!I8</f>
        <v>12185.884803305064</v>
      </c>
      <c r="AB13" s="178">
        <f>'Commerce - AMS'!J8</f>
        <v>8717.0415355715377</v>
      </c>
      <c r="AC13" s="178">
        <f>'Commerce - AMS'!K8</f>
        <v>8710.5279603109702</v>
      </c>
    </row>
    <row r="14" spans="1:29">
      <c r="B14" s="83" t="s">
        <v>102</v>
      </c>
      <c r="C14" s="178">
        <f>'Commerce - AME'!H9</f>
        <v>184229.64520786435</v>
      </c>
      <c r="D14" s="178">
        <f>'Commerce - AME'!I9</f>
        <v>175681.38967021945</v>
      </c>
      <c r="E14" s="178">
        <f>'Commerce - AME'!J9</f>
        <v>180083.27932437154</v>
      </c>
      <c r="F14" s="178">
        <f>'Commerce - AME'!K9</f>
        <v>175887.23385249983</v>
      </c>
      <c r="O14" s="181"/>
      <c r="Y14" s="83" t="s">
        <v>102</v>
      </c>
      <c r="Z14" s="178">
        <f>'Commerce - AMS'!H9</f>
        <v>184229.64520786435</v>
      </c>
      <c r="AA14" s="178">
        <f>'Commerce - AMS'!I9</f>
        <v>175681.38967021945</v>
      </c>
      <c r="AB14" s="178">
        <f>'Commerce - AMS'!J9</f>
        <v>179009.85416078556</v>
      </c>
      <c r="AC14" s="178">
        <f>'Commerce - AMS'!K9</f>
        <v>172479.99008131743</v>
      </c>
    </row>
    <row r="15" spans="1:29">
      <c r="A15" t="s">
        <v>43</v>
      </c>
      <c r="B15" s="83" t="s">
        <v>103</v>
      </c>
      <c r="C15" s="178">
        <f>'Enseignement - AME'!H8</f>
        <v>0</v>
      </c>
      <c r="D15" s="178">
        <f>'Enseignement - AME'!I8</f>
        <v>5840.7077315636325</v>
      </c>
      <c r="E15" s="178">
        <f>'Enseignement - AME'!J8</f>
        <v>3412.3997149425531</v>
      </c>
      <c r="F15" s="178">
        <f>'Enseignement - AME'!K8</f>
        <v>3380.7737398508161</v>
      </c>
      <c r="O15" s="181"/>
      <c r="X15" t="s">
        <v>43</v>
      </c>
      <c r="Y15" s="83" t="s">
        <v>103</v>
      </c>
      <c r="Z15" s="178">
        <f>'Enseignement - AMS'!H8</f>
        <v>0</v>
      </c>
      <c r="AA15" s="178">
        <f>'Enseignement - AMS'!I8</f>
        <v>4962.05556380077</v>
      </c>
      <c r="AB15" s="178">
        <f>'Enseignement - AMS'!J8</f>
        <v>3394.7194103913025</v>
      </c>
      <c r="AC15" s="178">
        <f>'Enseignement - AMS'!K8</f>
        <v>3357.062697205185</v>
      </c>
    </row>
    <row r="16" spans="1:29">
      <c r="B16" s="83" t="s">
        <v>102</v>
      </c>
      <c r="C16" s="178">
        <f>'Enseignement - AME'!H9</f>
        <v>167106.71056882737</v>
      </c>
      <c r="D16" s="178">
        <f>'Enseignement - AME'!I9</f>
        <v>163744.17685661104</v>
      </c>
      <c r="E16" s="178">
        <f>'Enseignement - AME'!J9</f>
        <v>164600.77939206138</v>
      </c>
      <c r="F16" s="178">
        <f>'Enseignement - AME'!K9</f>
        <v>158963.23681763752</v>
      </c>
      <c r="O16" s="181"/>
      <c r="Y16" s="83" t="s">
        <v>102</v>
      </c>
      <c r="Z16" s="178">
        <f>'Enseignement - AMS'!H9</f>
        <v>167106.71056882737</v>
      </c>
      <c r="AA16" s="178">
        <f>'Enseignement - AMS'!I9</f>
        <v>163744.17685661104</v>
      </c>
      <c r="AB16" s="178">
        <f>'Enseignement - AMS'!J9</f>
        <v>163440.099959646</v>
      </c>
      <c r="AC16" s="178">
        <f>'Enseignement - AMS'!K9</f>
        <v>155937.36674288791</v>
      </c>
    </row>
    <row r="17" spans="1:29">
      <c r="A17" t="s">
        <v>45</v>
      </c>
      <c r="B17" s="83" t="s">
        <v>103</v>
      </c>
      <c r="C17" s="178">
        <f>'Santé social - AME'!H8</f>
        <v>0</v>
      </c>
      <c r="D17" s="178">
        <f>'Santé social - AME'!I8</f>
        <v>22460.450940435054</v>
      </c>
      <c r="E17" s="178">
        <f>'Santé social - AME'!J8</f>
        <v>19028.37793854532</v>
      </c>
      <c r="F17" s="178">
        <f>'Santé social - AME'!K8</f>
        <v>14323.902651057895</v>
      </c>
      <c r="O17" s="181"/>
      <c r="X17" t="s">
        <v>45</v>
      </c>
      <c r="Y17" s="83" t="s">
        <v>103</v>
      </c>
      <c r="Z17" s="178">
        <f>'Santé social - AMS'!H8</f>
        <v>0</v>
      </c>
      <c r="AA17" s="178">
        <f>'Santé social - AMS'!I8</f>
        <v>21439.617925882485</v>
      </c>
      <c r="AB17" s="178">
        <f>'Santé social - AMS'!J8</f>
        <v>18543.245511428384</v>
      </c>
      <c r="AC17" s="178">
        <f>'Santé social - AMS'!K8</f>
        <v>11635.794006183507</v>
      </c>
    </row>
    <row r="18" spans="1:29">
      <c r="B18" s="83" t="s">
        <v>102</v>
      </c>
      <c r="C18" s="178">
        <f>'Santé social - AME'!H9</f>
        <v>179200</v>
      </c>
      <c r="D18" s="178">
        <f>'Santé social - AME'!I9</f>
        <v>174566.14878613554</v>
      </c>
      <c r="E18" s="178">
        <f>'Santé social - AME'!J9</f>
        <v>191931.77858646706</v>
      </c>
      <c r="F18" s="178">
        <f>'Santé social - AME'!K9</f>
        <v>205505.0338833245</v>
      </c>
      <c r="O18" s="181"/>
      <c r="Y18" s="83" t="s">
        <v>102</v>
      </c>
      <c r="Z18" s="178">
        <f>'Santé social - AMS'!H9</f>
        <v>179200</v>
      </c>
      <c r="AA18" s="178">
        <f>'Santé social - AMS'!I9</f>
        <v>174566.14878613554</v>
      </c>
      <c r="AB18" s="178">
        <f>'Santé social - AMS'!J9</f>
        <v>190937.34282807316</v>
      </c>
      <c r="AC18" s="178">
        <f>'Santé social - AMS'!K9</f>
        <v>204063.72517790535</v>
      </c>
    </row>
    <row r="19" spans="1:29">
      <c r="A19" t="s">
        <v>44</v>
      </c>
      <c r="B19" s="83" t="s">
        <v>103</v>
      </c>
      <c r="C19" s="178">
        <f>'Sport Loisir Culture - AME'!H8</f>
        <v>0</v>
      </c>
      <c r="D19" s="178">
        <f>'Sport Loisir Culture - AME'!I8</f>
        <v>3336.8292087326572</v>
      </c>
      <c r="E19" s="178">
        <f>'Sport Loisir Culture - AME'!J8</f>
        <v>2051.9847254707638</v>
      </c>
      <c r="F19" s="178">
        <f>'Sport Loisir Culture - AME'!K8</f>
        <v>1198.8500763051807</v>
      </c>
      <c r="O19" s="181"/>
      <c r="X19" t="s">
        <v>44</v>
      </c>
      <c r="Y19" s="83" t="s">
        <v>103</v>
      </c>
      <c r="Z19" s="178">
        <f>'Sport Loisir Culture - AMS'!H8</f>
        <v>0</v>
      </c>
      <c r="AA19" s="178">
        <f>'Sport Loisir Culture - AMS'!I8</f>
        <v>3032.6506608058498</v>
      </c>
      <c r="AB19" s="178">
        <f>'Sport Loisir Culture - AMS'!J8</f>
        <v>1932.1865496032522</v>
      </c>
      <c r="AC19" s="178">
        <f>'Sport Loisir Culture - AMS'!K8</f>
        <v>1190.4419462520159</v>
      </c>
    </row>
    <row r="20" spans="1:29">
      <c r="B20" s="83" t="s">
        <v>102</v>
      </c>
      <c r="C20" s="178">
        <f>'Sport Loisir Culture - AME'!H9</f>
        <v>56508.434021496723</v>
      </c>
      <c r="D20" s="178">
        <f>'Sport Loisir Culture - AME'!I9</f>
        <v>55371.36709117992</v>
      </c>
      <c r="E20" s="178">
        <f>'Sport Loisir Culture - AME'!J9</f>
        <v>57526.865588716733</v>
      </c>
      <c r="F20" s="178">
        <f>'Sport Loisir Culture - AME'!K9</f>
        <v>57804.847926181203</v>
      </c>
      <c r="O20" s="181"/>
      <c r="Y20" s="83" t="s">
        <v>102</v>
      </c>
      <c r="Z20" s="178">
        <f>'Sport Loisir Culture - AMS'!H9</f>
        <v>56508.434021496723</v>
      </c>
      <c r="AA20" s="178">
        <f>'Sport Loisir Culture - AMS'!I9</f>
        <v>55371.36709117992</v>
      </c>
      <c r="AB20" s="178">
        <f>'Sport Loisir Culture - AMS'!J9</f>
        <v>57228.807744252132</v>
      </c>
      <c r="AC20" s="178">
        <f>'Sport Loisir Culture - AMS'!K9</f>
        <v>56704.890169085382</v>
      </c>
    </row>
    <row r="21" spans="1:29">
      <c r="A21" t="s">
        <v>4</v>
      </c>
      <c r="B21" s="83" t="s">
        <v>103</v>
      </c>
      <c r="C21" s="178">
        <f>'Transport - AME'!H8</f>
        <v>0</v>
      </c>
      <c r="D21" s="178">
        <f>'Transport - AME'!I8</f>
        <v>2714.940071976017</v>
      </c>
      <c r="E21" s="178">
        <f>'Transport - AME'!J8</f>
        <v>1773.7602281094607</v>
      </c>
      <c r="F21" s="178">
        <f>'Transport - AME'!K8</f>
        <v>1146.2522064996804</v>
      </c>
      <c r="O21" s="181"/>
      <c r="X21" t="s">
        <v>4</v>
      </c>
      <c r="Y21" s="83" t="s">
        <v>103</v>
      </c>
      <c r="Z21" s="178">
        <f>'Transport - AMS'!H8</f>
        <v>0</v>
      </c>
      <c r="AA21" s="178">
        <f>'Transport - AMS'!I8</f>
        <v>2489.8567580842946</v>
      </c>
      <c r="AB21" s="178">
        <f>'Transport - AMS'!J8</f>
        <v>1683.7900254259353</v>
      </c>
      <c r="AC21" s="178">
        <f>'Transport - AMS'!K8</f>
        <v>1138.2129713889146</v>
      </c>
    </row>
    <row r="22" spans="1:29">
      <c r="B22" s="83" t="s">
        <v>102</v>
      </c>
      <c r="C22" s="178">
        <f>'Transport - AME'!H9</f>
        <v>41814.604215450461</v>
      </c>
      <c r="D22" s="178">
        <f>'Transport - AME'!I9</f>
        <v>40727.42450584875</v>
      </c>
      <c r="E22" s="178">
        <f>'Transport - AME'!J9</f>
        <v>42312.863098801325</v>
      </c>
      <c r="F22" s="178">
        <f>'Transport - AME'!K9</f>
        <v>42514.775071010132</v>
      </c>
      <c r="O22" s="181"/>
      <c r="Y22" s="83" t="s">
        <v>102</v>
      </c>
      <c r="Z22" s="178">
        <f>'Transport - AMS'!H9</f>
        <v>41814.604215450461</v>
      </c>
      <c r="AA22" s="178">
        <f>'Transport - AMS'!I9</f>
        <v>40727.42450584875</v>
      </c>
      <c r="AB22" s="178">
        <f>'Transport - AMS'!J9</f>
        <v>42093.631951070784</v>
      </c>
      <c r="AC22" s="178">
        <f>'Transport - AMS'!K9</f>
        <v>41702.655657247182</v>
      </c>
    </row>
    <row r="23" spans="1:29">
      <c r="A23" t="s">
        <v>17</v>
      </c>
      <c r="B23" s="83" t="s">
        <v>103</v>
      </c>
      <c r="C23" s="178">
        <f>C9+C11+C13+C15+C17+C19+C21</f>
        <v>0</v>
      </c>
      <c r="D23" s="178">
        <f t="shared" ref="D23:F24" si="0">D9+D11+D13+D15+D17+D19+D21</f>
        <v>58277.964078281715</v>
      </c>
      <c r="E23" s="178">
        <f t="shared" si="0"/>
        <v>44695.977271057833</v>
      </c>
      <c r="F23" s="178">
        <f t="shared" si="0"/>
        <v>36825.330038225744</v>
      </c>
      <c r="O23" s="181"/>
      <c r="X23" t="s">
        <v>17</v>
      </c>
      <c r="Y23" s="83" t="s">
        <v>103</v>
      </c>
      <c r="Z23" s="178">
        <f t="shared" ref="Z23:AC24" si="1">Z9+Z11+Z13+Z15+Z17+Z19+Z21</f>
        <v>0</v>
      </c>
      <c r="AA23" s="178">
        <f t="shared" si="1"/>
        <v>54508.804549841887</v>
      </c>
      <c r="AB23" s="178">
        <f t="shared" si="1"/>
        <v>43094.231129653381</v>
      </c>
      <c r="AC23" s="178">
        <f t="shared" si="1"/>
        <v>33683.415838559042</v>
      </c>
    </row>
    <row r="24" spans="1:29">
      <c r="B24" s="83" t="s">
        <v>102</v>
      </c>
      <c r="C24" s="178">
        <f>C10+C12+C14+C16+C18+C20+C22</f>
        <v>983437.0555157949</v>
      </c>
      <c r="D24" s="178">
        <f t="shared" si="0"/>
        <v>944733.51227938244</v>
      </c>
      <c r="E24" s="178">
        <f t="shared" si="0"/>
        <v>973895.55314713239</v>
      </c>
      <c r="F24" s="178">
        <f t="shared" si="0"/>
        <v>972631.48261654528</v>
      </c>
      <c r="O24" s="181"/>
      <c r="Y24" s="83" t="s">
        <v>102</v>
      </c>
      <c r="Z24" s="178">
        <f t="shared" si="1"/>
        <v>983437.0555157949</v>
      </c>
      <c r="AA24" s="178">
        <f t="shared" si="1"/>
        <v>943305.87487551966</v>
      </c>
      <c r="AB24" s="178">
        <f t="shared" si="1"/>
        <v>954650.08370665286</v>
      </c>
      <c r="AC24" s="178">
        <f t="shared" si="1"/>
        <v>931004.81064076687</v>
      </c>
    </row>
    <row r="25" spans="1:29">
      <c r="B25" s="178"/>
      <c r="C25" s="178"/>
      <c r="D25" s="178"/>
      <c r="E25" s="178"/>
      <c r="F25" s="178"/>
      <c r="O25" s="181"/>
      <c r="Y25" s="178"/>
      <c r="Z25" s="178"/>
      <c r="AA25" s="178">
        <f>AA24*0.4/7</f>
        <v>53903.192850029693</v>
      </c>
      <c r="AB25" s="178"/>
      <c r="AC25" s="178">
        <f>AC24*0.3/10</f>
        <v>27930.144319223007</v>
      </c>
    </row>
    <row r="26" spans="1:29">
      <c r="B26" s="178"/>
      <c r="C26" s="178"/>
      <c r="D26" s="178"/>
      <c r="E26" s="178"/>
      <c r="F26" s="178"/>
      <c r="O26" s="181"/>
      <c r="Y26" s="178"/>
      <c r="Z26" s="178"/>
      <c r="AA26" s="178"/>
      <c r="AB26" s="178"/>
      <c r="AC26" s="178"/>
    </row>
    <row r="27" spans="1:29">
      <c r="A27" s="481" t="s">
        <v>105</v>
      </c>
      <c r="B27" s="482"/>
      <c r="C27" s="482"/>
      <c r="D27" s="482"/>
      <c r="E27" s="482"/>
      <c r="F27" s="178"/>
      <c r="O27" s="181"/>
      <c r="X27" s="481" t="s">
        <v>214</v>
      </c>
      <c r="Y27" s="482"/>
      <c r="Z27" s="482"/>
      <c r="AA27" s="482"/>
      <c r="AB27" s="482"/>
      <c r="AC27" s="178"/>
    </row>
    <row r="28" spans="1:29">
      <c r="A28" s="8" t="s">
        <v>203</v>
      </c>
      <c r="B28" s="9">
        <v>2020</v>
      </c>
      <c r="C28" s="9">
        <v>2030</v>
      </c>
      <c r="D28" s="9">
        <v>2040</v>
      </c>
      <c r="E28" s="9">
        <v>2050</v>
      </c>
      <c r="F28" s="178"/>
      <c r="O28" s="181"/>
      <c r="X28" s="8" t="s">
        <v>203</v>
      </c>
      <c r="Y28" s="9">
        <v>2020</v>
      </c>
      <c r="Z28" s="9">
        <v>2030</v>
      </c>
      <c r="AA28" s="9">
        <v>2040</v>
      </c>
      <c r="AB28" s="9">
        <v>2050</v>
      </c>
      <c r="AC28" s="178"/>
    </row>
    <row r="29" spans="1:29">
      <c r="A29" s="124" t="s">
        <v>197</v>
      </c>
      <c r="B29" s="86">
        <f>B64</f>
        <v>100997.66743394214</v>
      </c>
      <c r="C29" s="86">
        <f t="shared" ref="C29:E29" si="2">C64</f>
        <v>82779.17705973344</v>
      </c>
      <c r="D29" s="86">
        <f t="shared" si="2"/>
        <v>75656.355117339903</v>
      </c>
      <c r="E29" s="86">
        <f t="shared" si="2"/>
        <v>66876.447749426385</v>
      </c>
      <c r="F29" s="178"/>
      <c r="O29" s="181"/>
      <c r="X29" s="124" t="s">
        <v>197</v>
      </c>
      <c r="Y29" s="86">
        <f>Y69</f>
        <v>100997.66743394214</v>
      </c>
      <c r="Z29" s="86">
        <f>Z69</f>
        <v>80910.549516318773</v>
      </c>
      <c r="AA29" s="86">
        <f>AA69</f>
        <v>62236.408667283424</v>
      </c>
      <c r="AB29" s="86">
        <f>AB69</f>
        <v>48511.42405382164</v>
      </c>
      <c r="AC29" s="178"/>
    </row>
    <row r="30" spans="1:29">
      <c r="A30" s="124" t="s">
        <v>204</v>
      </c>
      <c r="B30" s="86">
        <f>B120</f>
        <v>158828.24117655741</v>
      </c>
      <c r="C30" s="86">
        <f t="shared" ref="C30:E30" si="3">C120</f>
        <v>163798.85340304166</v>
      </c>
      <c r="D30" s="86">
        <f t="shared" si="3"/>
        <v>185016.60117107874</v>
      </c>
      <c r="E30" s="86">
        <f t="shared" si="3"/>
        <v>213980.16858048382</v>
      </c>
      <c r="F30" s="178"/>
      <c r="O30" s="181"/>
      <c r="X30" s="124" t="s">
        <v>204</v>
      </c>
      <c r="Y30" s="86">
        <f>Y120</f>
        <v>151855.23907705076</v>
      </c>
      <c r="Z30" s="86">
        <f t="shared" ref="Z30:AB30" si="4">Z120</f>
        <v>130305.86626704002</v>
      </c>
      <c r="AA30" s="86">
        <f t="shared" si="4"/>
        <v>123681.66990754718</v>
      </c>
      <c r="AB30" s="86">
        <f t="shared" si="4"/>
        <v>120626.19991206576</v>
      </c>
      <c r="AC30" s="178"/>
    </row>
    <row r="31" spans="1:29">
      <c r="A31" s="12" t="s">
        <v>17</v>
      </c>
      <c r="B31" s="265">
        <f>SUM(B29:B30)</f>
        <v>259825.90861049955</v>
      </c>
      <c r="C31" s="265">
        <f t="shared" ref="C31:E31" si="5">SUM(C29:C30)</f>
        <v>246578.03046277509</v>
      </c>
      <c r="D31" s="265">
        <f t="shared" si="5"/>
        <v>260672.95628841865</v>
      </c>
      <c r="E31" s="265">
        <f t="shared" si="5"/>
        <v>280856.61632991023</v>
      </c>
      <c r="F31" s="178"/>
      <c r="O31" s="181"/>
      <c r="X31" s="12" t="s">
        <v>17</v>
      </c>
      <c r="Y31" s="265">
        <f>SUM(Y29:Y30)</f>
        <v>252852.90651099291</v>
      </c>
      <c r="Z31" s="265">
        <f t="shared" ref="Z31:AB31" si="6">SUM(Z29:Z30)</f>
        <v>211216.4157833588</v>
      </c>
      <c r="AA31" s="265">
        <f t="shared" si="6"/>
        <v>185918.07857483061</v>
      </c>
      <c r="AB31" s="265">
        <f t="shared" si="6"/>
        <v>169137.62396588741</v>
      </c>
      <c r="AC31" s="178"/>
    </row>
    <row r="32" spans="1:29">
      <c r="B32" s="178"/>
      <c r="C32" s="178"/>
      <c r="D32" s="178"/>
      <c r="E32" s="178"/>
      <c r="F32" s="178"/>
      <c r="O32" s="181"/>
      <c r="Y32" s="178"/>
      <c r="Z32" s="178"/>
      <c r="AA32" s="178"/>
      <c r="AB32" s="178"/>
      <c r="AC32" s="178"/>
    </row>
    <row r="33" spans="1:37">
      <c r="A33" s="481" t="s">
        <v>105</v>
      </c>
      <c r="B33" s="482"/>
      <c r="C33" s="482"/>
      <c r="D33" s="482"/>
      <c r="E33" s="482"/>
      <c r="F33" s="178"/>
      <c r="O33" s="181"/>
      <c r="X33" s="481" t="s">
        <v>214</v>
      </c>
      <c r="Y33" s="482"/>
      <c r="Z33" s="482"/>
      <c r="AA33" s="482"/>
      <c r="AB33" s="482"/>
      <c r="AC33" s="178"/>
    </row>
    <row r="34" spans="1:37">
      <c r="A34" s="8" t="s">
        <v>20</v>
      </c>
      <c r="B34" s="9">
        <v>2020</v>
      </c>
      <c r="C34" s="9">
        <v>2030</v>
      </c>
      <c r="D34" s="9">
        <v>2040</v>
      </c>
      <c r="E34" s="9">
        <v>2050</v>
      </c>
      <c r="F34" s="178"/>
      <c r="O34" s="181"/>
      <c r="X34" s="8" t="s">
        <v>20</v>
      </c>
      <c r="Y34" s="9">
        <v>2020</v>
      </c>
      <c r="Z34" s="9">
        <v>2030</v>
      </c>
      <c r="AA34" s="9">
        <v>2040</v>
      </c>
      <c r="AB34" s="9">
        <v>2050</v>
      </c>
      <c r="AC34" s="178"/>
    </row>
    <row r="35" spans="1:37">
      <c r="A35" s="124" t="s">
        <v>15</v>
      </c>
      <c r="B35" s="86">
        <f>B57+B116</f>
        <v>22595.21120051519</v>
      </c>
      <c r="C35" s="86">
        <f>C57+C116</f>
        <v>16467.226494066581</v>
      </c>
      <c r="D35" s="86">
        <f>D57+D116</f>
        <v>13527.856442167027</v>
      </c>
      <c r="E35" s="86">
        <f>E57+E116</f>
        <v>10756.58989531611</v>
      </c>
      <c r="F35" s="178"/>
      <c r="O35" s="181"/>
      <c r="X35" s="124" t="s">
        <v>15</v>
      </c>
      <c r="Y35" s="86">
        <f>Y57+Y116</f>
        <v>22595.21120051519</v>
      </c>
      <c r="Z35" s="86">
        <f>Z57+Z116</f>
        <v>1655.6173484742862</v>
      </c>
      <c r="AA35" s="86">
        <f>AA57+AA116</f>
        <v>0</v>
      </c>
      <c r="AB35" s="86">
        <f>AB57+AB116</f>
        <v>0</v>
      </c>
      <c r="AC35" s="156">
        <f>Z35/Y35-1</f>
        <v>-0.92672706912177316</v>
      </c>
      <c r="AD35" t="s">
        <v>406</v>
      </c>
    </row>
    <row r="36" spans="1:37">
      <c r="A36" s="124" t="s">
        <v>16</v>
      </c>
      <c r="B36" s="86">
        <f>B58+B115</f>
        <v>72724.001974812665</v>
      </c>
      <c r="C36" s="86">
        <f>C58+C115</f>
        <v>59107.143599473755</v>
      </c>
      <c r="D36" s="86">
        <f>D58+D115</f>
        <v>54381.501280066455</v>
      </c>
      <c r="E36" s="86">
        <f>E58+E115</f>
        <v>48964.706450822312</v>
      </c>
      <c r="F36" s="178"/>
      <c r="O36" s="181"/>
      <c r="X36" s="124" t="s">
        <v>16</v>
      </c>
      <c r="Y36" s="86">
        <f>Y58+Y115</f>
        <v>72856.92088779372</v>
      </c>
      <c r="Z36" s="86">
        <f>Z58+Z115</f>
        <v>51175.792254181877</v>
      </c>
      <c r="AA36" s="86">
        <f>AA58+AA115</f>
        <v>26271.611038370531</v>
      </c>
      <c r="AB36" s="86">
        <f>AB58+AB115</f>
        <v>7825.3339933467096</v>
      </c>
      <c r="AC36" s="156">
        <f>Z36/Y36-1</f>
        <v>-0.29758502513443785</v>
      </c>
      <c r="AD36" t="s">
        <v>405</v>
      </c>
    </row>
    <row r="37" spans="1:37">
      <c r="A37" s="124" t="s">
        <v>21</v>
      </c>
      <c r="B37" s="86">
        <f>B59+B118</f>
        <v>8956.0754726763971</v>
      </c>
      <c r="C37" s="86">
        <f>C59+C118</f>
        <v>8753.9663150461474</v>
      </c>
      <c r="D37" s="86">
        <f>D59+D118</f>
        <v>8305.5385010957034</v>
      </c>
      <c r="E37" s="86">
        <f>E59+E118</f>
        <v>7473.4207509827047</v>
      </c>
      <c r="F37" s="178"/>
      <c r="O37" s="181"/>
      <c r="X37" s="124" t="s">
        <v>21</v>
      </c>
      <c r="Y37" s="86">
        <f>Y61+Y118</f>
        <v>8956.0754726763953</v>
      </c>
      <c r="Z37" s="86">
        <f>Z61+Z118</f>
        <v>18485.672864157474</v>
      </c>
      <c r="AA37" s="86">
        <f>AA61+AA118</f>
        <v>19824.186140330257</v>
      </c>
      <c r="AB37" s="86">
        <f>AB61+AB118</f>
        <v>18758.833083694441</v>
      </c>
      <c r="AC37" s="156">
        <f t="shared" ref="AC37:AC40" si="7">Z37/Y37-1</f>
        <v>1.0640371913517712</v>
      </c>
      <c r="AD37" s="486" t="s">
        <v>397</v>
      </c>
      <c r="AE37" s="487"/>
      <c r="AF37" s="487"/>
      <c r="AG37" s="487"/>
      <c r="AH37" s="487"/>
      <c r="AI37" s="487"/>
      <c r="AJ37" s="487"/>
      <c r="AK37" s="487"/>
    </row>
    <row r="38" spans="1:37">
      <c r="A38" s="124" t="s">
        <v>22</v>
      </c>
      <c r="B38" s="86">
        <f>B60</f>
        <v>1272.5786804340246</v>
      </c>
      <c r="C38" s="86">
        <f t="shared" ref="C38:E38" si="8">C60</f>
        <v>1096.1877318231943</v>
      </c>
      <c r="D38" s="86">
        <f t="shared" si="8"/>
        <v>1044.2803407172721</v>
      </c>
      <c r="E38" s="86">
        <f t="shared" si="8"/>
        <v>969.07550599965407</v>
      </c>
      <c r="F38" s="178"/>
      <c r="O38" s="181"/>
      <c r="X38" s="124" t="s">
        <v>22</v>
      </c>
      <c r="Y38" s="86">
        <f>Y62</f>
        <v>1272.578680434025</v>
      </c>
      <c r="Z38" s="86">
        <f>Z62</f>
        <v>763.58375558271553</v>
      </c>
      <c r="AA38" s="86">
        <f>AA62</f>
        <v>418.76061780507041</v>
      </c>
      <c r="AB38" s="86">
        <f>AB62</f>
        <v>42.847815085769014</v>
      </c>
      <c r="AC38" s="156">
        <f t="shared" si="7"/>
        <v>-0.39997128089377698</v>
      </c>
    </row>
    <row r="39" spans="1:37">
      <c r="A39" s="124" t="s">
        <v>42</v>
      </c>
      <c r="B39" s="86">
        <f>B61+B117+B119</f>
        <v>1509.2890182714991</v>
      </c>
      <c r="C39" s="86">
        <f>C61+C117+C119</f>
        <v>1539.1784578563154</v>
      </c>
      <c r="D39" s="86">
        <f>D61+D117+D119</f>
        <v>1625.3271270041228</v>
      </c>
      <c r="E39" s="86">
        <f>E61+E117+E119</f>
        <v>1663.1942136168313</v>
      </c>
      <c r="F39" s="178"/>
      <c r="O39" s="181"/>
      <c r="X39" s="124" t="s">
        <v>42</v>
      </c>
      <c r="Y39" s="86">
        <f>Y63+Y117+Y119</f>
        <v>1509.2890182714993</v>
      </c>
      <c r="Z39" s="86">
        <f>Z63+Z117+Z119</f>
        <v>2462.1507699560098</v>
      </c>
      <c r="AA39" s="86">
        <f>AA63+AA117+AA119</f>
        <v>2831.1894581985521</v>
      </c>
      <c r="AB39" s="86">
        <f>AB63+AB117+AB119</f>
        <v>3511.0257949634315</v>
      </c>
      <c r="AC39" s="156">
        <f t="shared" si="7"/>
        <v>0.63133153435103329</v>
      </c>
    </row>
    <row r="40" spans="1:37">
      <c r="A40" s="124" t="s">
        <v>200</v>
      </c>
      <c r="B40" s="86">
        <f>B62+B63+B114</f>
        <v>152768.75226378979</v>
      </c>
      <c r="C40" s="86">
        <f>C62+C63+C114</f>
        <v>159614.32786450916</v>
      </c>
      <c r="D40" s="86">
        <f>D62+D63+D114</f>
        <v>181788.45259736807</v>
      </c>
      <c r="E40" s="86">
        <f>E62+E63+E114</f>
        <v>211029.62951317258</v>
      </c>
      <c r="F40" s="178"/>
      <c r="O40" s="181"/>
      <c r="X40" s="124" t="s">
        <v>200</v>
      </c>
      <c r="Y40" s="86">
        <f>Y64+Y65+Y114</f>
        <v>145662.83125130209</v>
      </c>
      <c r="Z40" s="86">
        <f>Z64+Z65+Z114</f>
        <v>136571.33014114699</v>
      </c>
      <c r="AA40" s="86">
        <f>AA64+AA65+AA114</f>
        <v>136391.39330494261</v>
      </c>
      <c r="AB40" s="86">
        <f>AB64+AB65+AB114</f>
        <v>138770.35574361365</v>
      </c>
      <c r="AC40" s="156">
        <f t="shared" si="7"/>
        <v>-6.2414694483523769E-2</v>
      </c>
    </row>
    <row r="41" spans="1:37">
      <c r="A41" s="12" t="s">
        <v>17</v>
      </c>
      <c r="B41" s="13">
        <f>SUM(B35:B40)</f>
        <v>259825.90861049958</v>
      </c>
      <c r="C41" s="13">
        <f t="shared" ref="C41:E41" si="9">SUM(C35:C40)</f>
        <v>246578.03046277515</v>
      </c>
      <c r="D41" s="13">
        <f t="shared" si="9"/>
        <v>260672.95628841867</v>
      </c>
      <c r="E41" s="13">
        <f t="shared" si="9"/>
        <v>280856.61632991023</v>
      </c>
      <c r="F41" s="178"/>
      <c r="O41" s="181"/>
      <c r="X41" s="12" t="s">
        <v>17</v>
      </c>
      <c r="Y41" s="13">
        <f>Y69+Y120</f>
        <v>252852.90651099291</v>
      </c>
      <c r="Z41" s="13">
        <f>Z69+Z120</f>
        <v>211216.4157833588</v>
      </c>
      <c r="AA41" s="13">
        <f>AA69+AA120</f>
        <v>185918.07857483061</v>
      </c>
      <c r="AB41" s="13">
        <f>AB69+AB120</f>
        <v>169137.62396588741</v>
      </c>
      <c r="AC41" s="178"/>
    </row>
    <row r="42" spans="1:37" ht="18.75">
      <c r="A42" s="179" t="s">
        <v>104</v>
      </c>
      <c r="B42" s="180">
        <f>B41/$B41-1</f>
        <v>0</v>
      </c>
      <c r="C42" s="180">
        <f>C41/$B41-1</f>
        <v>-5.0987517829040319E-2</v>
      </c>
      <c r="D42" s="180">
        <f>D41/$B41-1</f>
        <v>3.2600585617075239E-3</v>
      </c>
      <c r="E42" s="376">
        <f>E41/$B41-1</f>
        <v>8.0941534398470738E-2</v>
      </c>
      <c r="F42" s="178"/>
      <c r="O42" s="181"/>
      <c r="X42" s="179" t="s">
        <v>104</v>
      </c>
      <c r="Y42" s="180">
        <f>Y41/$Y41-1</f>
        <v>0</v>
      </c>
      <c r="Z42" s="180">
        <f>Z41/$Y41-1</f>
        <v>-0.16466684643715557</v>
      </c>
      <c r="AA42" s="180">
        <f>AA41/$Y41-1</f>
        <v>-0.26471844385641763</v>
      </c>
      <c r="AB42" s="185">
        <f>AB41/$Y41-1</f>
        <v>-0.3310829355306063</v>
      </c>
      <c r="AC42" s="178"/>
    </row>
    <row r="43" spans="1:37">
      <c r="B43" s="178"/>
      <c r="C43" s="178"/>
      <c r="D43" s="178"/>
      <c r="E43" s="178"/>
      <c r="F43" s="178"/>
      <c r="O43" s="181"/>
      <c r="Y43" s="178"/>
      <c r="Z43" s="178"/>
      <c r="AA43" s="178"/>
      <c r="AB43" s="178"/>
      <c r="AC43" s="178"/>
    </row>
    <row r="44" spans="1:37">
      <c r="B44" s="178">
        <f>SUM(B35:B40)</f>
        <v>259825.90861049958</v>
      </c>
      <c r="C44" s="178">
        <f t="shared" ref="C44:D44" si="10">SUM(C35:C40)</f>
        <v>246578.03046277515</v>
      </c>
      <c r="D44" s="178">
        <f t="shared" si="10"/>
        <v>260672.95628841867</v>
      </c>
      <c r="E44" s="178">
        <f>SUM(E35:E40)</f>
        <v>280856.61632991023</v>
      </c>
      <c r="F44" s="178"/>
      <c r="O44" s="181"/>
      <c r="Y44" s="178"/>
      <c r="Z44" s="178"/>
      <c r="AA44" s="178"/>
      <c r="AB44" s="178"/>
      <c r="AC44" s="178"/>
    </row>
    <row r="45" spans="1:37">
      <c r="B45" s="178"/>
      <c r="C45" s="178"/>
      <c r="D45" s="178"/>
      <c r="E45" s="178"/>
      <c r="F45" s="178"/>
      <c r="O45" s="181"/>
      <c r="Y45" s="178"/>
      <c r="Z45" s="178"/>
      <c r="AA45" s="178"/>
      <c r="AB45" s="178"/>
      <c r="AC45" s="178"/>
    </row>
    <row r="46" spans="1:37">
      <c r="B46" s="178"/>
      <c r="C46" s="178"/>
      <c r="D46" s="178"/>
      <c r="E46" s="178"/>
      <c r="F46" s="178"/>
      <c r="O46" s="181"/>
      <c r="Y46" s="178"/>
      <c r="Z46" s="178"/>
      <c r="AA46" s="178"/>
      <c r="AB46" s="178"/>
      <c r="AC46" s="178"/>
    </row>
    <row r="47" spans="1:37">
      <c r="B47" s="178"/>
      <c r="C47" s="178"/>
      <c r="D47" s="178"/>
      <c r="E47" s="178"/>
      <c r="F47" s="178"/>
      <c r="O47" s="181"/>
      <c r="Y47" s="259"/>
      <c r="Z47" s="178"/>
      <c r="AA47" s="178"/>
      <c r="AB47" s="178"/>
      <c r="AC47" s="178"/>
    </row>
    <row r="48" spans="1:37">
      <c r="B48" s="178"/>
      <c r="O48" s="181"/>
      <c r="Y48" s="178"/>
      <c r="AA48" s="259"/>
    </row>
    <row r="49" spans="1:35" ht="14.45" customHeight="1">
      <c r="A49" s="483" t="s">
        <v>197</v>
      </c>
      <c r="B49" s="483"/>
      <c r="C49" s="483"/>
      <c r="D49" s="483"/>
      <c r="E49" s="483"/>
      <c r="F49" s="483"/>
      <c r="G49" s="483"/>
      <c r="H49" s="483"/>
      <c r="I49" s="483"/>
      <c r="J49" s="483"/>
      <c r="K49" s="483"/>
      <c r="L49" s="483"/>
      <c r="M49" s="483"/>
      <c r="N49" s="483"/>
      <c r="O49" s="181"/>
      <c r="P49" s="483" t="s">
        <v>197</v>
      </c>
      <c r="Q49" s="483"/>
      <c r="R49" s="483"/>
      <c r="S49" s="483"/>
      <c r="T49" s="483"/>
      <c r="U49" s="483"/>
      <c r="V49" s="483"/>
      <c r="W49" s="483"/>
      <c r="X49" s="483"/>
      <c r="Y49" s="483"/>
      <c r="Z49" s="483"/>
      <c r="AA49" s="483"/>
      <c r="AB49" s="483"/>
      <c r="AC49" s="483"/>
      <c r="AD49" s="230"/>
    </row>
    <row r="50" spans="1:35" ht="14.45" customHeight="1">
      <c r="A50" s="483"/>
      <c r="B50" s="483"/>
      <c r="C50" s="483"/>
      <c r="D50" s="483"/>
      <c r="E50" s="483"/>
      <c r="F50" s="483"/>
      <c r="G50" s="483"/>
      <c r="H50" s="483"/>
      <c r="I50" s="483"/>
      <c r="J50" s="483"/>
      <c r="K50" s="483"/>
      <c r="L50" s="483"/>
      <c r="M50" s="483"/>
      <c r="N50" s="483"/>
      <c r="O50" s="181"/>
      <c r="P50" s="483"/>
      <c r="Q50" s="483"/>
      <c r="R50" s="483"/>
      <c r="S50" s="483"/>
      <c r="T50" s="483"/>
      <c r="U50" s="483"/>
      <c r="V50" s="483"/>
      <c r="W50" s="483"/>
      <c r="X50" s="483"/>
      <c r="Y50" s="483"/>
      <c r="Z50" s="483"/>
      <c r="AA50" s="483"/>
      <c r="AB50" s="483"/>
      <c r="AC50" s="483"/>
      <c r="AD50" s="230"/>
    </row>
    <row r="51" spans="1:35">
      <c r="B51" s="178"/>
      <c r="C51" s="178"/>
      <c r="D51" s="178"/>
      <c r="E51" s="178"/>
      <c r="F51" s="178"/>
      <c r="O51" s="181"/>
      <c r="Y51" s="178"/>
      <c r="Z51" s="178"/>
      <c r="AA51" s="178"/>
      <c r="AB51" s="178"/>
      <c r="AC51" s="178"/>
    </row>
    <row r="52" spans="1:35">
      <c r="B52" s="178"/>
      <c r="C52" s="178"/>
      <c r="D52" s="178"/>
      <c r="E52" s="178"/>
      <c r="F52" s="178"/>
      <c r="O52" s="181"/>
      <c r="Y52" s="178"/>
      <c r="Z52" s="178"/>
      <c r="AA52" s="178"/>
      <c r="AB52" s="178"/>
      <c r="AC52" s="178"/>
      <c r="AE52" s="488" t="s">
        <v>425</v>
      </c>
      <c r="AF52" s="488"/>
      <c r="AG52" s="488"/>
      <c r="AH52" s="488"/>
    </row>
    <row r="53" spans="1:35">
      <c r="B53" s="178"/>
      <c r="O53" s="181"/>
      <c r="Y53" s="178"/>
      <c r="AE53" s="488"/>
      <c r="AF53" s="488"/>
      <c r="AG53" s="488"/>
      <c r="AH53" s="488"/>
    </row>
    <row r="54" spans="1:35">
      <c r="B54" s="178"/>
      <c r="O54" s="181"/>
      <c r="Y54" s="178"/>
    </row>
    <row r="55" spans="1:35" ht="15" customHeight="1">
      <c r="A55" s="481" t="s">
        <v>254</v>
      </c>
      <c r="B55" s="482"/>
      <c r="C55" s="482"/>
      <c r="D55" s="482"/>
      <c r="E55" s="482"/>
      <c r="O55" s="181"/>
      <c r="X55" s="481" t="s">
        <v>253</v>
      </c>
      <c r="Y55" s="482"/>
      <c r="Z55" s="482"/>
      <c r="AA55" s="482"/>
      <c r="AB55" s="482"/>
      <c r="AF55" s="157">
        <v>0</v>
      </c>
      <c r="AG55" s="157">
        <v>0.01</v>
      </c>
      <c r="AH55" s="157">
        <v>0.02</v>
      </c>
      <c r="AI55" s="157">
        <v>0.04</v>
      </c>
    </row>
    <row r="56" spans="1:35">
      <c r="A56" s="8" t="s">
        <v>20</v>
      </c>
      <c r="B56" s="9">
        <v>2020</v>
      </c>
      <c r="C56" s="9">
        <v>2030</v>
      </c>
      <c r="D56" s="9">
        <v>2040</v>
      </c>
      <c r="E56" s="9">
        <v>2050</v>
      </c>
      <c r="O56" s="181"/>
      <c r="X56" s="8" t="s">
        <v>20</v>
      </c>
      <c r="Y56" s="9">
        <v>2020</v>
      </c>
      <c r="Z56" s="9">
        <v>2030</v>
      </c>
      <c r="AA56" s="9">
        <v>2040</v>
      </c>
      <c r="AB56" s="9">
        <v>2050</v>
      </c>
    </row>
    <row r="57" spans="1:35">
      <c r="A57" s="124" t="s">
        <v>15</v>
      </c>
      <c r="B57" s="86">
        <f>'Bureaux - AME'!H13+'CaHoREs - AME'!H13+'Commerce - AME'!H13+'Enseignement - AME'!H13+'Santé social - AME'!H13+'Sport Loisir Culture - AME'!H13+'Transport - AME'!H13</f>
        <v>17636.41517514189</v>
      </c>
      <c r="C57" s="86">
        <f>'Bureaux - AME'!I13+'CaHoREs - AME'!I13+'Commerce - AME'!I13+'Enseignement - AME'!I13+'Santé social - AME'!I13+'Sport Loisir Culture - AME'!I13+'Transport - AME'!I13</f>
        <v>12584.182610662096</v>
      </c>
      <c r="D57" s="86">
        <f>'Bureaux - AME'!J13+'CaHoREs - AME'!J13+'Commerce - AME'!J13+'Enseignement - AME'!J13+'Santé social - AME'!J13+'Sport Loisir Culture - AME'!J13+'Transport - AME'!J13</f>
        <v>10229.37334549831</v>
      </c>
      <c r="E57" s="86">
        <f>'Bureaux - AME'!K13+'CaHoREs - AME'!K13+'Commerce - AME'!K13+'Enseignement - AME'!K13+'Santé social - AME'!K13+'Sport Loisir Culture - AME'!K13+'Transport - AME'!K13</f>
        <v>7821.9678438685432</v>
      </c>
      <c r="F57" s="156"/>
      <c r="G57" s="156"/>
      <c r="O57" s="181"/>
      <c r="X57" s="124" t="s">
        <v>15</v>
      </c>
      <c r="Y57" s="86">
        <f>'Bureaux - AMS'!H13+'CaHoREs - AMS'!H13+'Commerce - AMS'!H13+'Enseignement - AMS'!H13+'Santé social - AMS'!H13+'Sport Loisir Culture - AMS'!H13+'Transport - AMS'!H13</f>
        <v>17636.41517514189</v>
      </c>
      <c r="Z57" s="86">
        <f>'Bureaux - AMS'!I13+'CaHoREs - AMS'!I13+'Commerce - AMS'!I13+'Enseignement - AMS'!I13+'Santé social - AMS'!I13+'Sport Loisir Culture - AMS'!I13+'Transport - AMS'!I13</f>
        <v>1411.0973255369272</v>
      </c>
      <c r="AA57" s="86">
        <f>'Bureaux - AMS'!J13+'CaHoREs - AMS'!J13+'Commerce - AMS'!J13+'Enseignement - AMS'!J13+'Santé social - AMS'!J13+'Sport Loisir Culture - AMS'!J13+'Transport - AMS'!J13</f>
        <v>0</v>
      </c>
      <c r="AB57" s="86">
        <f>'Bureaux - AMS'!K13+'CaHoREs - AMS'!K13+'Commerce - AMS'!K13+'Enseignement - AMS'!K13+'Santé social - AMS'!K13+'Sport Loisir Culture - AMS'!K13+'Transport - AMS'!K13</f>
        <v>0</v>
      </c>
      <c r="AE57" t="s">
        <v>411</v>
      </c>
      <c r="AF57">
        <v>3.2</v>
      </c>
    </row>
    <row r="58" spans="1:35">
      <c r="A58" s="124" t="s">
        <v>16</v>
      </c>
      <c r="B58" s="86">
        <f>'Bureaux - AME'!H14+'CaHoREs - AME'!H14+'Commerce - AME'!H14+'Enseignement - AME'!H14+'Santé social - AME'!H14+'Sport Loisir Culture - AME'!H14+'Transport - AME'!H14</f>
        <v>55805.569818181473</v>
      </c>
      <c r="C58" s="86">
        <f>'Bureaux - AME'!I14+'CaHoREs - AME'!I14+'Commerce - AME'!I14+'Enseignement - AME'!I14+'Santé social - AME'!I14+'Sport Loisir Culture - AME'!I14+'Transport - AME'!I14</f>
        <v>44705.077226923924</v>
      </c>
      <c r="D58" s="86">
        <f>'Bureaux - AME'!J14+'CaHoREs - AME'!J14+'Commerce - AME'!J14+'Enseignement - AME'!J14+'Santé social - AME'!J14+'Sport Loisir Culture - AME'!J14+'Transport - AME'!J14</f>
        <v>40854.269011504766</v>
      </c>
      <c r="E58" s="86">
        <f>'Bureaux - AME'!K14+'CaHoREs - AME'!K14+'Commerce - AME'!K14+'Enseignement - AME'!K14+'Santé social - AME'!K14+'Sport Loisir Culture - AME'!K14+'Transport - AME'!K14</f>
        <v>36337.094926563266</v>
      </c>
      <c r="F58" s="156"/>
      <c r="G58" s="156"/>
      <c r="H58" s="156"/>
      <c r="I58" s="156"/>
      <c r="O58" s="181"/>
      <c r="X58" s="124" t="s">
        <v>16</v>
      </c>
      <c r="Y58" s="86">
        <f>'Bureaux - AMS'!H14+'CaHoREs - AMS'!H14+'Commerce - AMS'!H14+'Enseignement - AMS'!H14+'Santé social - AMS'!H14+'Sport Loisir Culture - AMS'!H14+'Transport - AMS'!H14</f>
        <v>55805.569818181481</v>
      </c>
      <c r="Z58" s="86">
        <f>Résultats!Z58+Z60</f>
        <v>41405.844112010556</v>
      </c>
      <c r="AA58" s="86">
        <f>Résultats!AA58+AA60</f>
        <v>21482.569696498143</v>
      </c>
      <c r="AB58" s="86">
        <f>Résultats!AB58+AB60</f>
        <v>6429.3143023592947</v>
      </c>
      <c r="AE58" t="s">
        <v>412</v>
      </c>
      <c r="AF58" s="157">
        <v>0.7</v>
      </c>
    </row>
    <row r="59" spans="1:35">
      <c r="A59" s="124" t="s">
        <v>21</v>
      </c>
      <c r="B59" s="86">
        <f>'Bureaux - AME'!H15+'CaHoREs - AME'!H15+'Commerce - AME'!H15+'Enseignement - AME'!H15+'Santé social - AME'!H15+'Sport Loisir Culture - AME'!H15+'Transport - AME'!H15</f>
        <v>7405.5823362088131</v>
      </c>
      <c r="C59" s="86">
        <f>'Bureaux - AME'!I15+'CaHoREs - AME'!I15+'Commerce - AME'!I15+'Enseignement - AME'!I15+'Santé social - AME'!I15+'Sport Loisir Culture - AME'!I15+'Transport - AME'!I15</f>
        <v>7048.9529855965102</v>
      </c>
      <c r="D59" s="86">
        <f>'Bureaux - AME'!J15+'CaHoREs - AME'!J15+'Commerce - AME'!J15+'Enseignement - AME'!J15+'Santé social - AME'!J15+'Sport Loisir Culture - AME'!J15+'Transport - AME'!J15</f>
        <v>6658.4541853988148</v>
      </c>
      <c r="E59" s="86">
        <f>'Bureaux - AME'!K15+'CaHoREs - AME'!K15+'Commerce - AME'!K15+'Enseignement - AME'!K15+'Santé social - AME'!K15+'Sport Loisir Culture - AME'!K15+'Transport - AME'!K15</f>
        <v>5916.0549484635621</v>
      </c>
      <c r="F59" s="156"/>
      <c r="G59" s="156"/>
      <c r="H59" s="156"/>
      <c r="I59" s="156"/>
      <c r="O59" s="181"/>
      <c r="X59" s="411" t="s">
        <v>418</v>
      </c>
      <c r="Y59" s="410"/>
      <c r="Z59" s="412">
        <f>Z58-Z60</f>
        <v>41301.667769533931</v>
      </c>
      <c r="AA59" s="412">
        <f t="shared" ref="AA59:AB59" si="11">AA58-AA60</f>
        <v>21174.698028326031</v>
      </c>
      <c r="AB59" s="412">
        <f t="shared" si="11"/>
        <v>5708.0512736598066</v>
      </c>
      <c r="AE59" t="s">
        <v>413</v>
      </c>
      <c r="AF59" s="157">
        <v>0.3</v>
      </c>
    </row>
    <row r="60" spans="1:35">
      <c r="A60" s="124" t="s">
        <v>22</v>
      </c>
      <c r="B60" s="86">
        <f>'Bureaux - AME'!H16+'CaHoREs - AME'!H16+'Commerce - AME'!H16+'Enseignement - AME'!H16+'Santé social - AME'!H16+'Sport Loisir Culture - AME'!H16+'Transport - AME'!H16</f>
        <v>1272.5786804340246</v>
      </c>
      <c r="C60" s="86">
        <f>'Bureaux - AME'!I16+'CaHoREs - AME'!I16+'Commerce - AME'!I16+'Enseignement - AME'!I16+'Santé social - AME'!I16+'Sport Loisir Culture - AME'!I16+'Transport - AME'!I16</f>
        <v>1096.1877318231943</v>
      </c>
      <c r="D60" s="86">
        <f>'Bureaux - AME'!J16+'CaHoREs - AME'!J16+'Commerce - AME'!J16+'Enseignement - AME'!J16+'Santé social - AME'!J16+'Sport Loisir Culture - AME'!J16+'Transport - AME'!J16</f>
        <v>1044.2803407172721</v>
      </c>
      <c r="E60" s="86">
        <f>'Bureaux - AME'!K16+'CaHoREs - AME'!K16+'Commerce - AME'!K16+'Enseignement - AME'!K16+'Santé social - AME'!K16+'Sport Loisir Culture - AME'!K16+'Transport - AME'!K16</f>
        <v>969.07550599965407</v>
      </c>
      <c r="F60" s="156"/>
      <c r="G60" s="156"/>
      <c r="H60" s="156"/>
      <c r="I60" s="156"/>
      <c r="O60" s="181"/>
      <c r="X60" s="411" t="s">
        <v>415</v>
      </c>
      <c r="Y60" s="410"/>
      <c r="Z60" s="412">
        <f>Résultats!Z63*AG55*$AF$59*$AF$57*$AF$60</f>
        <v>104.1763424766244</v>
      </c>
      <c r="AA60" s="412">
        <f>Résultats!AA63*AH55*$AF$59*$AF$57*$AF$60</f>
        <v>307.87166817211153</v>
      </c>
      <c r="AB60" s="412">
        <f>Résultats!AB63*AI55*$AF$59*$AF$57*$AF$60</f>
        <v>721.26302869948813</v>
      </c>
      <c r="AE60" t="s">
        <v>414</v>
      </c>
      <c r="AF60" s="157">
        <v>0.95</v>
      </c>
    </row>
    <row r="61" spans="1:35">
      <c r="A61" s="124" t="s">
        <v>42</v>
      </c>
      <c r="B61" s="86">
        <f>'Bureaux - AME'!H17+'CaHoREs - AME'!H17+'Commerce - AME'!H17+'Enseignement - AME'!H17+'Santé social - AME'!H17+'Sport Loisir Culture - AME'!H17+'Transport - AME'!H17</f>
        <v>1294.6736683610475</v>
      </c>
      <c r="C61" s="86">
        <f>'Bureaux - AME'!I17+'CaHoREs - AME'!I17+'Commerce - AME'!I17+'Enseignement - AME'!I17+'Santé social - AME'!I17+'Sport Loisir Culture - AME'!I17+'Transport - AME'!I17</f>
        <v>1301.9332915284222</v>
      </c>
      <c r="D61" s="86">
        <f>'Bureaux - AME'!J17+'CaHoREs - AME'!J17+'Commerce - AME'!J17+'Enseignement - AME'!J17+'Santé social - AME'!J17+'Sport Loisir Culture - AME'!J17+'Transport - AME'!J17</f>
        <v>1378.0056117330932</v>
      </c>
      <c r="E61" s="86">
        <f>'Bureaux - AME'!K17+'CaHoREs - AME'!K17+'Commerce - AME'!K17+'Enseignement - AME'!K17+'Santé social - AME'!K17+'Sport Loisir Culture - AME'!K17+'Transport - AME'!K17</f>
        <v>1409.2486004040202</v>
      </c>
      <c r="F61" s="156"/>
      <c r="G61" s="156"/>
      <c r="H61" s="156"/>
      <c r="I61" s="156"/>
      <c r="J61" s="156"/>
      <c r="O61" s="181"/>
      <c r="X61" s="124" t="s">
        <v>21</v>
      </c>
      <c r="Y61" s="86">
        <f>'Bureaux - AMS'!H15+'CaHoREs - AMS'!H15+'Commerce - AMS'!H15+'Enseignement - AMS'!H15+'Santé social - AMS'!H15+'Sport Loisir Culture - AMS'!H15+'Transport - AMS'!H15</f>
        <v>7405.5823362088113</v>
      </c>
      <c r="Z61" s="86">
        <f>'Bureaux - AMS'!I15+'CaHoREs - AMS'!I15+'Commerce - AMS'!I15+'Enseignement - AMS'!I15+'Santé social - AMS'!I15+'Sport Loisir Culture - AMS'!I15+'Transport - AMS'!I15</f>
        <v>14974.44582558326</v>
      </c>
      <c r="AA61" s="86">
        <f>'Bureaux - AMS'!J15+'CaHoREs - AMS'!J15+'Commerce - AMS'!J15+'Enseignement - AMS'!J15+'Santé social - AMS'!J15+'Sport Loisir Culture - AMS'!J15+'Transport - AMS'!J15</f>
        <v>16388.069440834635</v>
      </c>
      <c r="AB61" s="86">
        <f>'Bureaux - AMS'!K15+'CaHoREs - AMS'!K15+'Commerce - AMS'!K15+'Enseignement - AMS'!K15+'Santé social - AMS'!K15+'Sport Loisir Culture - AMS'!K15+'Transport - AMS'!K15</f>
        <v>15701.441098252917</v>
      </c>
    </row>
    <row r="62" spans="1:35">
      <c r="A62" s="124" t="s">
        <v>46</v>
      </c>
      <c r="B62" s="86">
        <f>'Bureaux - AME'!H18+'CaHoREs - AME'!H18+'Commerce - AME'!H18+'Enseignement - AME'!H18+'Santé social - AME'!H18+'Sport Loisir Culture - AME'!H18+'Transport - AME'!H18</f>
        <v>14607.452993119286</v>
      </c>
      <c r="C62" s="86">
        <f>'Bureaux - AME'!I18+'CaHoREs - AME'!I18+'Commerce - AME'!I18+'Enseignement - AME'!I18+'Santé social - AME'!I18+'Sport Loisir Culture - AME'!I18+'Transport - AME'!I18</f>
        <v>10422.470509805571</v>
      </c>
      <c r="D62" s="86">
        <f>'Bureaux - AME'!J18+'CaHoREs - AME'!J18+'Commerce - AME'!J18+'Enseignement - AME'!J18+'Santé social - AME'!J18+'Sport Loisir Culture - AME'!J18+'Transport - AME'!J18</f>
        <v>8187.5358792873649</v>
      </c>
      <c r="E62" s="86">
        <f>'Bureaux - AME'!K18+'CaHoREs - AME'!K18+'Commerce - AME'!K18+'Enseignement - AME'!K18+'Santé social - AME'!K18+'Sport Loisir Culture - AME'!K18+'Transport - AME'!K18</f>
        <v>5993.7366700902885</v>
      </c>
      <c r="F62" s="156"/>
      <c r="G62" s="156"/>
      <c r="H62" s="156"/>
      <c r="I62" s="156"/>
      <c r="O62" s="181"/>
      <c r="X62" s="124" t="s">
        <v>22</v>
      </c>
      <c r="Y62" s="86">
        <f>'Bureaux - AMS'!H16+'CaHoREs - AMS'!H16+'Commerce - AMS'!H16+'Enseignement - AMS'!H16+'Santé social - AMS'!H16+'Sport Loisir Culture - AMS'!H16+'Transport - AMS'!H16</f>
        <v>1272.578680434025</v>
      </c>
      <c r="Z62" s="86">
        <f>'Bureaux - AMS'!I16+'CaHoREs - AMS'!I16+'Commerce - AMS'!I16+'Enseignement - AMS'!I16+'Santé social - AMS'!I16+'Sport Loisir Culture - AMS'!I16+'Transport - AMS'!I16</f>
        <v>763.58375558271553</v>
      </c>
      <c r="AA62" s="86">
        <f>'Bureaux - AMS'!J16+'CaHoREs - AMS'!J16+'Commerce - AMS'!J16+'Enseignement - AMS'!J16+'Santé social - AMS'!J16+'Sport Loisir Culture - AMS'!J16+'Transport - AMS'!J16</f>
        <v>418.76061780507041</v>
      </c>
      <c r="AB62" s="86">
        <f>'Bureaux - AMS'!K16+'CaHoREs - AMS'!K16+'Commerce - AMS'!K16+'Enseignement - AMS'!K16+'Santé social - AMS'!K16+'Sport Loisir Culture - AMS'!K16+'Transport - AMS'!K16</f>
        <v>42.847815085769014</v>
      </c>
      <c r="AE62" s="488" t="s">
        <v>423</v>
      </c>
      <c r="AF62" s="488"/>
      <c r="AG62" s="488"/>
      <c r="AH62" s="488"/>
    </row>
    <row r="63" spans="1:35">
      <c r="A63" s="124" t="s">
        <v>47</v>
      </c>
      <c r="B63" s="86">
        <f>'Bureaux - AME'!H19+'CaHoREs - AME'!H19+'Commerce - AME'!H19+'Enseignement - AME'!H19+'Santé social - AME'!H19+'Sport Loisir Culture - AME'!H19+'Transport - AME'!H19</f>
        <v>2975.3947624956108</v>
      </c>
      <c r="C63" s="86">
        <f>'Bureaux - AME'!I19+'CaHoREs - AME'!I19+'Commerce - AME'!I19+'Enseignement - AME'!I19+'Santé social - AME'!I19+'Sport Loisir Culture - AME'!I19+'Transport - AME'!I19</f>
        <v>5620.3727033937375</v>
      </c>
      <c r="D63" s="86">
        <f>'Bureaux - AME'!J19+'CaHoREs - AME'!J19+'Commerce - AME'!J19+'Enseignement - AME'!J19+'Santé social - AME'!J19+'Sport Loisir Culture - AME'!J19+'Transport - AME'!J19</f>
        <v>7304.4367432002919</v>
      </c>
      <c r="E63" s="86">
        <f>'Bureaux - AME'!K19+'CaHoREs - AME'!K19+'Commerce - AME'!K19+'Enseignement - AME'!K19+'Santé social - AME'!K19+'Sport Loisir Culture - AME'!K19+'Transport - AME'!K19</f>
        <v>8429.2692540370481</v>
      </c>
      <c r="F63" s="156"/>
      <c r="G63" s="156"/>
      <c r="H63" s="156"/>
      <c r="I63" s="156"/>
      <c r="O63" s="181"/>
      <c r="X63" s="124" t="s">
        <v>42</v>
      </c>
      <c r="Y63" s="86">
        <f>'Bureaux - AMS'!H17+'CaHoREs - AMS'!H17+'Commerce - AMS'!H17+'Enseignement - AMS'!H17+'Santé social - AMS'!H17+'Sport Loisir Culture - AMS'!H17+'Transport - AMS'!H17</f>
        <v>1294.6736683610477</v>
      </c>
      <c r="Z63" s="86">
        <f>'Bureaux - AMS'!I17+'CaHoREs - AMS'!I17+'Commerce - AMS'!I17+'Enseignement - AMS'!I17+'Santé social - AMS'!I17+'Sport Loisir Culture - AMS'!I17+'Transport - AMS'!I17</f>
        <v>1799.0293510602953</v>
      </c>
      <c r="AA63" s="86">
        <f>'Bureaux - AMS'!J17+'CaHoREs - AMS'!J17+'Commerce - AMS'!J17+'Enseignement - AMS'!J17+'Santé social - AMS'!J17+'Sport Loisir Culture - AMS'!J17+'Transport - AMS'!J17</f>
        <v>2297.5208873624133</v>
      </c>
      <c r="AB63" s="86">
        <f>'Bureaux - AMS'!K17+'CaHoREs - AMS'!K17+'Commerce - AMS'!K17+'Enseignement - AMS'!K17+'Santé social - AMS'!K17+'Sport Loisir Culture - AMS'!K17+'Transport - AMS'!K17</f>
        <v>3074.7129915548476</v>
      </c>
      <c r="AE63" s="488"/>
      <c r="AF63" s="488"/>
      <c r="AG63" s="488"/>
      <c r="AH63" s="488"/>
    </row>
    <row r="64" spans="1:35">
      <c r="A64" s="12" t="s">
        <v>17</v>
      </c>
      <c r="B64" s="13">
        <f>SUM(B57:B63)</f>
        <v>100997.66743394214</v>
      </c>
      <c r="C64" s="13">
        <f>SUM(C57:C63)</f>
        <v>82779.17705973344</v>
      </c>
      <c r="D64" s="13">
        <f>SUM(D57:D63)</f>
        <v>75656.355117339903</v>
      </c>
      <c r="E64" s="13">
        <f>SUM(E57:E63)</f>
        <v>66876.447749426385</v>
      </c>
      <c r="O64" s="181"/>
      <c r="X64" s="124" t="s">
        <v>46</v>
      </c>
      <c r="Y64" s="86">
        <f>'Bureaux - AMS'!H18+'CaHoREs - AMS'!H18+'Commerce - AMS'!H18+'Enseignement - AMS'!H18+'Santé social - AMS'!H18+'Sport Loisir Culture - AMS'!H18+'Transport - AMS'!H18</f>
        <v>14607.452993119286</v>
      </c>
      <c r="Z64" s="86">
        <f>'Bureaux - AMS'!I18+'CaHoREs - AMS'!I18+'Commerce - AMS'!I18+'Enseignement - AMS'!I18+'Santé social - AMS'!I18+'Sport Loisir Culture - AMS'!I18+'Transport - AMS'!I18</f>
        <v>9539.9969199729494</v>
      </c>
      <c r="AA64" s="86">
        <f>'Bureaux - AMS'!J18+'CaHoREs - AMS'!J18+'Commerce - AMS'!J18+'Enseignement - AMS'!J18+'Santé social - AMS'!J18+'Sport Loisir Culture - AMS'!J18+'Transport - AMS'!J18</f>
        <v>5615.8800427847891</v>
      </c>
      <c r="AB64" s="86">
        <f>'Bureaux - AMS'!K18+'CaHoREs - AMS'!K18+'Commerce - AMS'!K18+'Enseignement - AMS'!K18+'Santé social - AMS'!K18+'Sport Loisir Culture - AMS'!K18+'Transport - AMS'!K18</f>
        <v>4770.5674859576711</v>
      </c>
      <c r="AC64" s="186"/>
      <c r="AF64" s="9">
        <v>2022</v>
      </c>
      <c r="AG64" s="9">
        <v>2030</v>
      </c>
      <c r="AH64" s="9">
        <v>2040</v>
      </c>
      <c r="AI64" s="9">
        <v>2050</v>
      </c>
    </row>
    <row r="65" spans="1:35" ht="31.5" customHeight="1">
      <c r="A65" s="179" t="s">
        <v>104</v>
      </c>
      <c r="B65" s="180">
        <f>B64/$B64-1</f>
        <v>0</v>
      </c>
      <c r="C65" s="180">
        <f>C64/$B64-1</f>
        <v>-0.18038525875980815</v>
      </c>
      <c r="D65" s="180">
        <f>D64/$B64-1</f>
        <v>-0.25090987703430689</v>
      </c>
      <c r="E65" s="185">
        <f>E64/$B64-1</f>
        <v>-0.33784166061887377</v>
      </c>
      <c r="O65" s="181"/>
      <c r="X65" s="124" t="s">
        <v>47</v>
      </c>
      <c r="Y65" s="86">
        <f>'Bureaux - AMS'!H19+'CaHoREs - AMS'!H19+'Commerce - AMS'!H19+'Enseignement - AMS'!H19+'Santé social - AMS'!H19+'Sport Loisir Culture - AMS'!H19+'Transport - AMS'!H19</f>
        <v>2975.3947624956104</v>
      </c>
      <c r="Z65" s="86">
        <f>Résultats!Z63-AG55*Résultats!Z63-AG65*1000/$AF$57+Z67+Z68</f>
        <v>11016.552226572083</v>
      </c>
      <c r="AA65" s="86">
        <f>Résultats!AA63-AH55*Résultats!AA63-AH65*1000/$AF$57+AA67+AA68</f>
        <v>16033.607981998373</v>
      </c>
      <c r="AB65" s="86">
        <f>Résultats!AB63-AI55*Résultats!AB63-AI65*1000/$AF$57+AB67+AB68</f>
        <v>18492.540360611139</v>
      </c>
      <c r="AE65" t="s">
        <v>420</v>
      </c>
      <c r="AF65">
        <v>1.1000000000000001</v>
      </c>
      <c r="AG65" s="408">
        <v>5</v>
      </c>
      <c r="AH65">
        <v>10</v>
      </c>
      <c r="AI65">
        <v>14</v>
      </c>
    </row>
    <row r="66" spans="1:35" ht="22.5">
      <c r="O66" s="181"/>
      <c r="X66" s="409" t="s">
        <v>419</v>
      </c>
      <c r="Y66" s="410"/>
      <c r="Z66" s="412">
        <f>Z65-Z67-Z68</f>
        <v>9746.116124107255</v>
      </c>
      <c r="AA66" s="412">
        <f t="shared" ref="AA66:AB66" si="12">AA65-AA67-AA68</f>
        <v>13416.350592580557</v>
      </c>
      <c r="AB66" s="412">
        <f t="shared" si="12"/>
        <v>14605.606018407587</v>
      </c>
      <c r="AE66" t="s">
        <v>421</v>
      </c>
      <c r="AF66">
        <v>4.2</v>
      </c>
    </row>
    <row r="67" spans="1:35" ht="22.5">
      <c r="A67" s="484"/>
      <c r="B67" s="485"/>
      <c r="C67" s="485"/>
      <c r="D67" s="485"/>
      <c r="E67" s="485"/>
      <c r="F67" s="235"/>
      <c r="G67" s="235"/>
      <c r="H67" s="235"/>
      <c r="I67" s="235"/>
      <c r="J67" s="235"/>
      <c r="K67" s="235"/>
      <c r="L67" s="235"/>
      <c r="M67" s="235"/>
      <c r="N67" s="235"/>
      <c r="O67" s="236"/>
      <c r="P67" s="235"/>
      <c r="Q67" s="235"/>
      <c r="R67" s="235"/>
      <c r="S67" s="235"/>
      <c r="T67" s="235"/>
      <c r="U67" s="235"/>
      <c r="V67" s="235"/>
      <c r="W67" s="235"/>
      <c r="X67" s="409" t="s">
        <v>416</v>
      </c>
      <c r="Y67" s="410"/>
      <c r="Z67" s="412">
        <f>AG65/$AF$66*1000</f>
        <v>1190.4761904761904</v>
      </c>
      <c r="AA67" s="412">
        <f t="shared" ref="AA67:AB67" si="13">AH65/$AF$66*1000</f>
        <v>2380.9523809523807</v>
      </c>
      <c r="AB67" s="412">
        <f t="shared" si="13"/>
        <v>3333.333333333333</v>
      </c>
    </row>
    <row r="68" spans="1:35">
      <c r="A68" s="237"/>
      <c r="B68" s="238"/>
      <c r="C68" s="238"/>
      <c r="D68" s="238"/>
      <c r="E68" s="238"/>
      <c r="F68" s="235"/>
      <c r="G68" s="235"/>
      <c r="H68" s="235"/>
      <c r="I68" s="235"/>
      <c r="J68" s="235"/>
      <c r="K68" s="235"/>
      <c r="L68" s="235"/>
      <c r="M68" s="235"/>
      <c r="N68" s="235"/>
      <c r="O68" s="236"/>
      <c r="P68" s="235"/>
      <c r="Q68" s="235"/>
      <c r="R68" s="235"/>
      <c r="S68" s="235"/>
      <c r="T68" s="235"/>
      <c r="U68" s="235"/>
      <c r="V68" s="235"/>
      <c r="W68" s="235"/>
      <c r="X68" s="409" t="s">
        <v>415</v>
      </c>
      <c r="Y68" s="410"/>
      <c r="Z68" s="412">
        <f>AG55*Résultats!Z63*$AF$58</f>
        <v>79.959911988637145</v>
      </c>
      <c r="AA68" s="412">
        <f>AH55*Résultats!AA63*$AF$58</f>
        <v>236.30500846543649</v>
      </c>
      <c r="AB68" s="412">
        <f>AI55*Résultats!AB63*$AF$58</f>
        <v>553.60100887022122</v>
      </c>
    </row>
    <row r="69" spans="1:35">
      <c r="A69" s="239"/>
      <c r="B69" s="240"/>
      <c r="C69" s="240"/>
      <c r="D69" s="240"/>
      <c r="E69" s="240"/>
      <c r="F69" s="235"/>
      <c r="G69" s="235"/>
      <c r="H69" s="235"/>
      <c r="I69" s="235"/>
      <c r="J69" s="235"/>
      <c r="K69" s="235"/>
      <c r="L69" s="235"/>
      <c r="M69" s="235"/>
      <c r="N69" s="235"/>
      <c r="O69" s="236"/>
      <c r="P69" s="235"/>
      <c r="Q69" s="235"/>
      <c r="R69" s="235"/>
      <c r="S69" s="235"/>
      <c r="T69" s="235"/>
      <c r="U69" s="235"/>
      <c r="V69" s="235"/>
      <c r="W69" s="235"/>
      <c r="X69" s="12" t="s">
        <v>17</v>
      </c>
      <c r="Y69" s="13">
        <f>SUM(Y57:Y65)</f>
        <v>100997.66743394214</v>
      </c>
      <c r="Z69" s="13">
        <f>SUM(Z57:Z58,Z61:Z65)</f>
        <v>80910.549516318773</v>
      </c>
      <c r="AA69" s="13">
        <f t="shared" ref="AA69:AB69" si="14">SUM(AA57:AA58,AA61:AA65)</f>
        <v>62236.408667283424</v>
      </c>
      <c r="AB69" s="13">
        <f t="shared" si="14"/>
        <v>48511.42405382164</v>
      </c>
      <c r="AC69" t="s">
        <v>417</v>
      </c>
    </row>
    <row r="70" spans="1:35" ht="22.5">
      <c r="A70" s="239"/>
      <c r="B70" s="240"/>
      <c r="C70" s="240"/>
      <c r="D70" s="240"/>
      <c r="E70" s="240"/>
      <c r="F70" s="235"/>
      <c r="G70" s="235"/>
      <c r="H70" s="235"/>
      <c r="I70" s="235"/>
      <c r="J70" s="235"/>
      <c r="K70" s="235"/>
      <c r="L70" s="235"/>
      <c r="M70" s="235"/>
      <c r="N70" s="235"/>
      <c r="O70" s="236"/>
      <c r="P70" s="235"/>
      <c r="Q70" s="235"/>
      <c r="R70" s="235"/>
      <c r="S70" s="235"/>
      <c r="T70" s="235"/>
      <c r="U70" s="235"/>
      <c r="V70" s="235"/>
      <c r="W70" s="235"/>
      <c r="X70" s="309" t="s">
        <v>289</v>
      </c>
      <c r="Y70" s="180">
        <f>Y69/$Y69-1</f>
        <v>0</v>
      </c>
      <c r="Z70" s="180">
        <f>Z69/$Y69-1</f>
        <v>-0.19888694885712499</v>
      </c>
      <c r="AA70" s="180">
        <f>AA69/$Y69-1</f>
        <v>-0.38378370264848594</v>
      </c>
      <c r="AB70" s="185">
        <f>AB69/$Y69-1</f>
        <v>-0.51967777785015978</v>
      </c>
    </row>
    <row r="71" spans="1:35">
      <c r="A71" s="239"/>
      <c r="B71" s="240"/>
      <c r="C71" s="240"/>
      <c r="D71" s="240"/>
      <c r="E71" s="240"/>
      <c r="F71" s="235"/>
      <c r="G71" s="235"/>
      <c r="H71" s="235"/>
      <c r="I71" s="235"/>
      <c r="J71" s="235"/>
      <c r="K71" s="235"/>
      <c r="L71" s="235"/>
      <c r="M71" s="235"/>
      <c r="N71" s="235"/>
      <c r="O71" s="236"/>
      <c r="P71" s="235"/>
      <c r="Q71" s="235"/>
      <c r="R71" s="235"/>
      <c r="S71" s="235"/>
      <c r="T71" s="235"/>
      <c r="U71" s="235"/>
      <c r="V71" s="235"/>
      <c r="W71" s="235"/>
    </row>
    <row r="72" spans="1:35">
      <c r="A72" s="239"/>
      <c r="B72" s="240"/>
      <c r="C72" s="240"/>
      <c r="D72" s="240"/>
      <c r="E72" s="240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235"/>
      <c r="Q72" s="235"/>
      <c r="R72" s="235"/>
      <c r="S72" s="235"/>
      <c r="T72" s="235"/>
      <c r="U72" s="235"/>
      <c r="V72" s="235"/>
      <c r="W72" s="235"/>
    </row>
    <row r="73" spans="1:35">
      <c r="A73" s="239"/>
      <c r="B73" s="240"/>
      <c r="C73" s="240"/>
      <c r="D73" s="240"/>
      <c r="E73" s="240"/>
      <c r="F73" s="235"/>
      <c r="G73" s="235"/>
      <c r="H73" s="235"/>
      <c r="I73" s="235"/>
      <c r="J73" s="235"/>
      <c r="K73" s="235"/>
      <c r="L73" s="235"/>
      <c r="M73" s="235"/>
      <c r="N73" s="235"/>
      <c r="O73" s="236"/>
      <c r="P73" s="235"/>
      <c r="Q73" s="235"/>
      <c r="R73" s="235"/>
      <c r="S73" s="235"/>
      <c r="T73" s="235"/>
      <c r="U73" s="235"/>
      <c r="V73" s="235"/>
      <c r="W73" s="235"/>
    </row>
    <row r="74" spans="1:35">
      <c r="A74" s="239"/>
      <c r="B74" s="240"/>
      <c r="C74" s="240"/>
      <c r="D74" s="240"/>
      <c r="E74" s="240"/>
      <c r="F74" s="235"/>
      <c r="G74" s="235"/>
      <c r="H74" s="235"/>
      <c r="I74" s="235"/>
      <c r="J74" s="235"/>
      <c r="K74" s="235"/>
      <c r="L74" s="235"/>
      <c r="M74" s="235"/>
      <c r="N74" s="235"/>
      <c r="O74" s="236"/>
      <c r="P74" s="235"/>
      <c r="Q74" s="235"/>
      <c r="R74" s="235"/>
      <c r="S74" s="235"/>
      <c r="T74" s="235"/>
      <c r="U74" s="235"/>
      <c r="V74" s="235"/>
      <c r="W74" s="235"/>
    </row>
    <row r="75" spans="1:35">
      <c r="A75" s="239"/>
      <c r="B75" s="240"/>
      <c r="C75" s="240"/>
      <c r="D75" s="240"/>
      <c r="E75" s="240"/>
      <c r="F75" s="235"/>
      <c r="G75" s="235"/>
      <c r="H75" s="235"/>
      <c r="I75" s="235"/>
      <c r="J75" s="235"/>
      <c r="K75" s="235"/>
      <c r="L75" s="235"/>
      <c r="M75" s="235"/>
      <c r="N75" s="235"/>
      <c r="O75" s="236"/>
      <c r="P75" s="235"/>
      <c r="Q75" s="235"/>
      <c r="R75" s="235"/>
      <c r="S75" s="235"/>
      <c r="T75" s="235"/>
      <c r="U75" s="235"/>
      <c r="V75" s="235"/>
      <c r="W75" s="235"/>
    </row>
    <row r="76" spans="1:35">
      <c r="A76" s="241"/>
      <c r="B76" s="242"/>
      <c r="C76" s="240"/>
      <c r="D76" s="240"/>
      <c r="E76" s="240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235"/>
      <c r="Q76" s="235"/>
      <c r="R76" s="235"/>
      <c r="S76" s="235"/>
      <c r="T76" s="235"/>
      <c r="U76" s="235"/>
      <c r="V76" s="235"/>
      <c r="W76" s="235"/>
    </row>
    <row r="77" spans="1:35" ht="18.75">
      <c r="A77" s="243"/>
      <c r="B77" s="244"/>
      <c r="C77" s="244"/>
      <c r="D77" s="244"/>
      <c r="E77" s="245"/>
      <c r="F77" s="235"/>
      <c r="G77" s="235"/>
      <c r="H77" s="235"/>
      <c r="I77" s="235"/>
      <c r="J77" s="235"/>
      <c r="K77" s="235"/>
      <c r="L77" s="235"/>
      <c r="M77" s="235"/>
      <c r="N77" s="235"/>
      <c r="O77" s="236"/>
      <c r="P77" s="235"/>
      <c r="Q77" s="235"/>
      <c r="R77" s="235"/>
      <c r="S77" s="235"/>
      <c r="T77" s="235"/>
      <c r="U77" s="235"/>
      <c r="V77" s="235"/>
      <c r="W77" s="235"/>
    </row>
    <row r="78" spans="1:35">
      <c r="O78" s="181"/>
    </row>
    <row r="79" spans="1:35">
      <c r="A79" s="481" t="s">
        <v>106</v>
      </c>
      <c r="B79" s="482"/>
      <c r="C79" s="482"/>
      <c r="D79" s="482"/>
      <c r="E79" s="482"/>
      <c r="O79" s="181"/>
      <c r="X79" s="481" t="s">
        <v>110</v>
      </c>
      <c r="Y79" s="482"/>
      <c r="Z79" s="482"/>
      <c r="AA79" s="482"/>
      <c r="AB79" s="482"/>
    </row>
    <row r="80" spans="1:35">
      <c r="A80" s="8" t="s">
        <v>20</v>
      </c>
      <c r="B80" s="9">
        <v>2020</v>
      </c>
      <c r="C80" s="9">
        <v>2030</v>
      </c>
      <c r="D80" s="9">
        <v>2040</v>
      </c>
      <c r="E80" s="9">
        <v>2050</v>
      </c>
      <c r="O80" s="181"/>
      <c r="X80" s="8" t="s">
        <v>20</v>
      </c>
      <c r="Y80" s="9">
        <v>2020</v>
      </c>
      <c r="Z80" s="9">
        <v>2030</v>
      </c>
      <c r="AA80" s="9">
        <v>2040</v>
      </c>
      <c r="AB80" s="9">
        <v>2050</v>
      </c>
    </row>
    <row r="81" spans="1:28">
      <c r="A81" s="124" t="s">
        <v>15</v>
      </c>
      <c r="B81" s="86">
        <f>'Bureaux - AME'!H111+'CaHoREs - AME'!H111+'Commerce - AME'!H111+'Enseignement - AME'!H111+'Santé social - AME'!H111+'Sport Loisir Culture - AME'!H111+'Transport - AME'!H111</f>
        <v>6972.2797501238183</v>
      </c>
      <c r="C81" s="86">
        <f>'Bureaux - AME'!I111+'CaHoREs - AME'!I111+'Commerce - AME'!I111+'Enseignement - AME'!I111+'Santé social - AME'!I111+'Sport Loisir Culture - AME'!I111+'Transport - AME'!I111</f>
        <v>4111.1754441729572</v>
      </c>
      <c r="D81" s="86">
        <f>'Bureaux - AME'!J111+'CaHoREs - AME'!J111+'Commerce - AME'!J111+'Enseignement - AME'!J111+'Santé social - AME'!J111+'Sport Loisir Culture - AME'!J111+'Transport - AME'!J111</f>
        <v>3116.8321546808706</v>
      </c>
      <c r="E81" s="86">
        <f>'Bureaux - AME'!K111+'CaHoREs - AME'!K111+'Commerce - AME'!K111+'Enseignement - AME'!K111+'Santé social - AME'!K111+'Sport Loisir Culture - AME'!K111+'Transport - AME'!K111</f>
        <v>2159.2824101097335</v>
      </c>
      <c r="O81" s="181"/>
      <c r="X81" s="124" t="s">
        <v>15</v>
      </c>
      <c r="Y81" s="86">
        <f>'Bureaux - AMS'!H111+'CaHoREs - AMS'!H111+'Commerce - AMS'!H111+'Enseignement - AMS'!H111+'Santé social - AMS'!H111+'Sport Loisir Culture - AMS'!H111+'Transport - AMS'!H111</f>
        <v>15677.951348786632</v>
      </c>
      <c r="Z81" s="86">
        <f>'Bureaux - AMS'!I111+'CaHoREs - AMS'!I111+'Commerce - AMS'!I111+'Enseignement - AMS'!I111+'Santé social - AMS'!I111+'Sport Loisir Culture - AMS'!I111+'Transport - AMS'!I111</f>
        <v>1262.4677419521072</v>
      </c>
      <c r="AA81" s="86">
        <f>'Bureaux - AMS'!J111+'CaHoREs - AMS'!J111+'Commerce - AMS'!J111+'Enseignement - AMS'!J111+'Santé social - AMS'!J111+'Sport Loisir Culture - AMS'!J111+'Transport - AMS'!J111</f>
        <v>0</v>
      </c>
      <c r="AB81" s="86">
        <f>'Bureaux - AMS'!K111+'CaHoREs - AMS'!K111+'Commerce - AMS'!K111+'Enseignement - AMS'!K111+'Santé social - AMS'!K111+'Sport Loisir Culture - AMS'!K111+'Transport - AMS'!K111</f>
        <v>0</v>
      </c>
    </row>
    <row r="82" spans="1:28">
      <c r="A82" s="124" t="s">
        <v>16</v>
      </c>
      <c r="B82" s="86">
        <f>'Bureaux - AME'!H112+'CaHoREs - AME'!H112+'Commerce - AME'!H112+'Enseignement - AME'!H112+'Santé social - AME'!H112+'Sport Loisir Culture - AME'!H112+'Transport - AME'!H112</f>
        <v>21704.940201780224</v>
      </c>
      <c r="C82" s="86">
        <f>'Bureaux - AME'!I112+'CaHoREs - AME'!I112+'Commerce - AME'!I112+'Enseignement - AME'!I112+'Santé social - AME'!I112+'Sport Loisir Culture - AME'!I112+'Transport - AME'!I112</f>
        <v>14287.534621015844</v>
      </c>
      <c r="D82" s="86">
        <f>'Bureaux - AME'!J112+'CaHoREs - AME'!J112+'Commerce - AME'!J112+'Enseignement - AME'!J112+'Santé social - AME'!J112+'Sport Loisir Culture - AME'!J112+'Transport - AME'!J112</f>
        <v>12077.573828638489</v>
      </c>
      <c r="E82" s="86">
        <f>'Bureaux - AME'!K112+'CaHoREs - AME'!K112+'Commerce - AME'!K112+'Enseignement - AME'!K112+'Santé social - AME'!K112+'Sport Loisir Culture - AME'!K112+'Transport - AME'!K112</f>
        <v>9839.8144785180684</v>
      </c>
      <c r="O82" s="181"/>
      <c r="X82" s="124" t="s">
        <v>16</v>
      </c>
      <c r="Y82" s="86">
        <f>'Bureaux - AMS'!H112+'CaHoREs - AMS'!H112+'Commerce - AMS'!H112+'Enseignement - AMS'!H112+'Santé social - AMS'!H112+'Sport Loisir Culture - AMS'!H112+'Transport - AMS'!H112</f>
        <v>49305.068395925598</v>
      </c>
      <c r="Z82" s="86">
        <f>'Bureaux - AMS'!I112+'CaHoREs - AMS'!I112+'Commerce - AMS'!I112+'Enseignement - AMS'!I112+'Santé social - AMS'!I112+'Sport Loisir Culture - AMS'!I112+'Transport - AMS'!I112</f>
        <v>36264.477532485173</v>
      </c>
      <c r="AA82" s="86">
        <f>'Bureaux - AMS'!J112+'CaHoREs - AMS'!J112+'Commerce - AMS'!J112+'Enseignement - AMS'!J112+'Santé social - AMS'!J112+'Sport Loisir Culture - AMS'!J112+'Transport - AMS'!J112</f>
        <v>18424.760352637288</v>
      </c>
      <c r="AB82" s="86">
        <f>'Bureaux - AMS'!K112+'CaHoREs - AMS'!K112+'Commerce - AMS'!K112+'Enseignement - AMS'!K112+'Santé social - AMS'!K112+'Sport Loisir Culture - AMS'!K112+'Transport - AMS'!K112</f>
        <v>4958.0539034633202</v>
      </c>
    </row>
    <row r="83" spans="1:28">
      <c r="A83" s="124" t="s">
        <v>21</v>
      </c>
      <c r="B83" s="86">
        <f>'Bureaux - AME'!H113+'CaHoREs - AME'!H113+'Commerce - AME'!H113+'Enseignement - AME'!H113+'Santé social - AME'!H113+'Sport Loisir Culture - AME'!H113+'Transport - AME'!H113</f>
        <v>2920.2151325253244</v>
      </c>
      <c r="C83" s="86">
        <f>'Bureaux - AME'!I113+'CaHoREs - AME'!I113+'Commerce - AME'!I113+'Enseignement - AME'!I113+'Santé social - AME'!I113+'Sport Loisir Culture - AME'!I113+'Transport - AME'!I113</f>
        <v>2518.4435815088054</v>
      </c>
      <c r="D83" s="86">
        <f>'Bureaux - AME'!J113+'CaHoREs - AME'!J113+'Commerce - AME'!J113+'Enseignement - AME'!J113+'Santé social - AME'!J113+'Sport Loisir Culture - AME'!J113+'Transport - AME'!J113</f>
        <v>2207.783880149022</v>
      </c>
      <c r="E83" s="86">
        <f>'Bureaux - AME'!K113+'CaHoREs - AME'!K113+'Commerce - AME'!K113+'Enseignement - AME'!K113+'Santé social - AME'!K113+'Sport Loisir Culture - AME'!K113+'Transport - AME'!K113</f>
        <v>1779.3642797679097</v>
      </c>
      <c r="O83" s="181"/>
      <c r="X83" s="124" t="s">
        <v>21</v>
      </c>
      <c r="Y83" s="86">
        <f>'Bureaux - AMS'!H113+'CaHoREs - AMS'!H113+'Commerce - AMS'!H113+'Enseignement - AMS'!H113+'Santé social - AMS'!H113+'Sport Loisir Culture - AMS'!H113+'Transport - AMS'!H113</f>
        <v>6576.8119096490082</v>
      </c>
      <c r="Z83" s="86">
        <f>'Bureaux - AMS'!I113+'CaHoREs - AMS'!I113+'Commerce - AMS'!I113+'Enseignement - AMS'!I113+'Santé social - AMS'!I113+'Sport Loisir Culture - AMS'!I113+'Transport - AMS'!I113</f>
        <v>12216.240996504652</v>
      </c>
      <c r="AA83" s="86">
        <f>'Bureaux - AMS'!J113+'CaHoREs - AMS'!J113+'Commerce - AMS'!J113+'Enseignement - AMS'!J113+'Santé social - AMS'!J113+'Sport Loisir Culture - AMS'!J113+'Transport - AMS'!J113</f>
        <v>13378.21347567297</v>
      </c>
      <c r="AB83" s="86">
        <f>'Bureaux - AMS'!K113+'CaHoREs - AMS'!K113+'Commerce - AMS'!K113+'Enseignement - AMS'!K113+'Santé social - AMS'!K113+'Sport Loisir Culture - AMS'!K113+'Transport - AMS'!K113</f>
        <v>12841.102692948385</v>
      </c>
    </row>
    <row r="84" spans="1:28">
      <c r="A84" s="124" t="s">
        <v>22</v>
      </c>
      <c r="B84" s="86">
        <f>'Bureaux - AME'!H114+'CaHoREs - AME'!H114+'Commerce - AME'!H114+'Enseignement - AME'!H114+'Santé social - AME'!H114+'Sport Loisir Culture - AME'!H114+'Transport - AME'!H114</f>
        <v>495.96140968305934</v>
      </c>
      <c r="C84" s="86">
        <f>'Bureaux - AME'!I114+'CaHoREs - AME'!I114+'Commerce - AME'!I114+'Enseignement - AME'!I114+'Santé social - AME'!I114+'Sport Loisir Culture - AME'!I114+'Transport - AME'!I114</f>
        <v>341.84976693568865</v>
      </c>
      <c r="D84" s="86">
        <f>'Bureaux - AME'!J114+'CaHoREs - AME'!J114+'Commerce - AME'!J114+'Enseignement - AME'!J114+'Santé social - AME'!J114+'Sport Loisir Culture - AME'!J114+'Transport - AME'!J114</f>
        <v>307.33843778195393</v>
      </c>
      <c r="E84" s="86">
        <f>'Bureaux - AME'!K114+'CaHoREs - AME'!K114+'Commerce - AME'!K114+'Enseignement - AME'!K114+'Santé social - AME'!K114+'Sport Loisir Culture - AME'!K114+'Transport - AME'!K114</f>
        <v>269.30055743257861</v>
      </c>
      <c r="O84" s="181"/>
      <c r="X84" s="124" t="s">
        <v>22</v>
      </c>
      <c r="Y84" s="86">
        <f>'Bureaux - AMS'!H114+'CaHoREs - AMS'!H114+'Commerce - AMS'!H114+'Enseignement - AMS'!H114+'Santé social - AMS'!H114+'Sport Loisir Culture - AMS'!H114+'Transport - AMS'!H114</f>
        <v>1122.0413510600783</v>
      </c>
      <c r="Z84" s="86">
        <f>'Bureaux - AMS'!I114+'CaHoREs - AMS'!I114+'Commerce - AMS'!I114+'Enseignement - AMS'!I114+'Santé social - AMS'!I114+'Sport Loisir Culture - AMS'!I114+'Transport - AMS'!I114</f>
        <v>596.06031780197088</v>
      </c>
      <c r="AA84" s="86">
        <f>'Bureaux - AMS'!J114+'CaHoREs - AMS'!J114+'Commerce - AMS'!J114+'Enseignement - AMS'!J114+'Santé social - AMS'!J114+'Sport Loisir Culture - AMS'!J114+'Transport - AMS'!J114</f>
        <v>309.68513993057707</v>
      </c>
      <c r="AB84" s="86">
        <f>'Bureaux - AMS'!K114+'CaHoREs - AMS'!K114+'Commerce - AMS'!K114+'Enseignement - AMS'!K114+'Santé social - AMS'!K114+'Sport Loisir Culture - AMS'!K114+'Transport - AMS'!K114</f>
        <v>0</v>
      </c>
    </row>
    <row r="85" spans="1:28">
      <c r="A85" s="124" t="s">
        <v>42</v>
      </c>
      <c r="B85" s="86">
        <f>'Bureaux - AME'!H115+'CaHoREs - AME'!H115+'Commerce - AME'!H115+'Enseignement - AME'!H115+'Santé social - AME'!H115+'Sport Loisir Culture - AME'!H115+'Transport - AME'!H115</f>
        <v>490.36175602403921</v>
      </c>
      <c r="C85" s="86">
        <f>'Bureaux - AME'!I115+'CaHoREs - AME'!I115+'Commerce - AME'!I115+'Enseignement - AME'!I115+'Santé social - AME'!I115+'Sport Loisir Culture - AME'!I115+'Transport - AME'!I115</f>
        <v>355.28732675483184</v>
      </c>
      <c r="D85" s="86">
        <f>'Bureaux - AME'!J115+'CaHoREs - AME'!J115+'Commerce - AME'!J115+'Enseignement - AME'!J115+'Santé social - AME'!J115+'Sport Loisir Culture - AME'!J115+'Transport - AME'!J115</f>
        <v>328.35295993095224</v>
      </c>
      <c r="E85" s="86">
        <f>'Bureaux - AME'!K115+'CaHoREs - AME'!K115+'Commerce - AME'!K115+'Enseignement - AME'!K115+'Santé social - AME'!K115+'Sport Loisir Culture - AME'!K115+'Transport - AME'!K115</f>
        <v>294.00984290647494</v>
      </c>
      <c r="O85" s="181"/>
      <c r="X85" s="124" t="s">
        <v>42</v>
      </c>
      <c r="Y85" s="86">
        <f>'Bureaux - AMS'!H115+'CaHoREs - AMS'!H115+'Commerce - AMS'!H115+'Enseignement - AMS'!H115+'Santé social - AMS'!H115+'Sport Loisir Culture - AMS'!H115+'Transport - AMS'!H115</f>
        <v>1122.8654222832949</v>
      </c>
      <c r="Z85" s="86">
        <f>'Bureaux - AMS'!I115+'CaHoREs - AMS'!I115+'Commerce - AMS'!I115+'Enseignement - AMS'!I115+'Santé social - AMS'!I115+'Sport Loisir Culture - AMS'!I115+'Transport - AMS'!I115</f>
        <v>1454.5619876705118</v>
      </c>
      <c r="AA85" s="86">
        <f>'Bureaux - AMS'!J115+'CaHoREs - AMS'!J115+'Commerce - AMS'!J115+'Enseignement - AMS'!J115+'Santé social - AMS'!J115+'Sport Loisir Culture - AMS'!J115+'Transport - AMS'!J115</f>
        <v>1864.2030149103543</v>
      </c>
      <c r="AB85" s="86">
        <f>'Bureaux - AMS'!K115+'CaHoREs - AMS'!K115+'Commerce - AMS'!K115+'Enseignement - AMS'!K115+'Santé social - AMS'!K115+'Sport Loisir Culture - AMS'!K115+'Transport - AMS'!K115</f>
        <v>2473.9266403655552</v>
      </c>
    </row>
    <row r="86" spans="1:28">
      <c r="A86" s="124" t="s">
        <v>46</v>
      </c>
      <c r="B86" s="86">
        <f>'Bureaux - AME'!H116+'CaHoREs - AME'!H116+'Commerce - AME'!H116+'Enseignement - AME'!H116+'Santé social - AME'!H116+'Sport Loisir Culture - AME'!H116+'Transport - AME'!H116</f>
        <v>5412.3541772314884</v>
      </c>
      <c r="C86" s="86">
        <f>'Bureaux - AME'!I116+'CaHoREs - AME'!I116+'Commerce - AME'!I116+'Enseignement - AME'!I116+'Santé social - AME'!I116+'Sport Loisir Culture - AME'!I116+'Transport - AME'!I116</f>
        <v>3196.4902213444984</v>
      </c>
      <c r="D86" s="86">
        <f>'Bureaux - AME'!J116+'CaHoREs - AME'!J116+'Commerce - AME'!J116+'Enseignement - AME'!J116+'Santé social - AME'!J116+'Sport Loisir Culture - AME'!J116+'Transport - AME'!J116</f>
        <v>2492.2800875622565</v>
      </c>
      <c r="E86" s="86">
        <f>'Bureaux - AME'!K116+'CaHoREs - AME'!K116+'Commerce - AME'!K116+'Enseignement - AME'!K116+'Santé social - AME'!K116+'Sport Loisir Culture - AME'!K116+'Transport - AME'!K116</f>
        <v>1740.3836633885383</v>
      </c>
      <c r="O86" s="181"/>
      <c r="X86" s="124" t="s">
        <v>46</v>
      </c>
      <c r="Y86" s="86">
        <f>'Bureaux - AMS'!H116+'CaHoREs - AMS'!H116+'Commerce - AMS'!H116+'Enseignement - AMS'!H116+'Santé social - AMS'!H116+'Sport Loisir Culture - AMS'!H116+'Transport - AMS'!H116</f>
        <v>12624.855913302805</v>
      </c>
      <c r="Z86" s="86">
        <f>'Bureaux - AMS'!I116+'CaHoREs - AMS'!I116+'Commerce - AMS'!I116+'Enseignement - AMS'!I116+'Santé social - AMS'!I116+'Sport Loisir Culture - AMS'!I116+'Transport - AMS'!I116</f>
        <v>8081.2028466867559</v>
      </c>
      <c r="AA86" s="86">
        <f>'Bureaux - AMS'!J116+'CaHoREs - AMS'!J116+'Commerce - AMS'!J116+'Enseignement - AMS'!J116+'Santé social - AMS'!J116+'Sport Loisir Culture - AMS'!J116+'Transport - AMS'!J116</f>
        <v>4803.4712544117619</v>
      </c>
      <c r="AB86" s="86">
        <f>'Bureaux - AMS'!K116+'CaHoREs - AMS'!K116+'Commerce - AMS'!K116+'Enseignement - AMS'!K116+'Santé social - AMS'!K116+'Sport Loisir Culture - AMS'!K116+'Transport - AMS'!K116</f>
        <v>4157.5113571996026</v>
      </c>
    </row>
    <row r="87" spans="1:28">
      <c r="A87" s="124" t="s">
        <v>47</v>
      </c>
      <c r="B87" s="86">
        <f>'Bureaux - AME'!H117+'CaHoREs - AME'!H117+'Commerce - AME'!H117+'Enseignement - AME'!H117+'Santé social - AME'!H117+'Sport Loisir Culture - AME'!H117+'Transport - AME'!H117</f>
        <v>1068.6056721929394</v>
      </c>
      <c r="C87" s="86">
        <f>'Bureaux - AME'!I117+'CaHoREs - AME'!I117+'Commerce - AME'!I117+'Enseignement - AME'!I117+'Santé social - AME'!I117+'Sport Loisir Culture - AME'!I117+'Transport - AME'!I117</f>
        <v>1615.9998514832994</v>
      </c>
      <c r="D87" s="86">
        <f>'Bureaux - AME'!J117+'CaHoREs - AME'!J117+'Commerce - AME'!J117+'Enseignement - AME'!J117+'Santé social - AME'!J117+'Sport Loisir Culture - AME'!J117+'Transport - AME'!J117</f>
        <v>2249.9941176167463</v>
      </c>
      <c r="E87" s="86">
        <f>'Bureaux - AME'!K117+'CaHoREs - AME'!K117+'Commerce - AME'!K117+'Enseignement - AME'!K117+'Santé social - AME'!K117+'Sport Loisir Culture - AME'!K117+'Transport - AME'!K117</f>
        <v>2784.0591419598318</v>
      </c>
      <c r="O87" s="181"/>
      <c r="X87" s="124" t="s">
        <v>47</v>
      </c>
      <c r="Y87" s="86">
        <f>'Bureaux - AMS'!H117+'CaHoREs - AMS'!H117+'Commerce - AMS'!H117+'Enseignement - AMS'!H117+'Santé social - AMS'!H117+'Sport Loisir Culture - AMS'!H117+'Transport - AMS'!H117</f>
        <v>2527.148602483825</v>
      </c>
      <c r="Z87" s="86">
        <f>'Bureaux - AMS'!I117+'CaHoREs - AMS'!I117+'Commerce - AMS'!I117+'Enseignement - AMS'!I117+'Santé social - AMS'!I117+'Sport Loisir Culture - AMS'!I117+'Transport - AMS'!I117</f>
        <v>9078.5874596469712</v>
      </c>
      <c r="AA87" s="86">
        <f>'Bureaux - AMS'!J117+'CaHoREs - AMS'!J117+'Commerce - AMS'!J117+'Enseignement - AMS'!J117+'Santé social - AMS'!J117+'Sport Loisir Culture - AMS'!J117+'Transport - AMS'!J117</f>
        <v>14003.30841150595</v>
      </c>
      <c r="AB87" s="86">
        <f>'Bureaux - AMS'!K117+'CaHoREs - AMS'!K117+'Commerce - AMS'!K117+'Enseignement - AMS'!K117+'Santé social - AMS'!K117+'Sport Loisir Culture - AMS'!K117+'Transport - AMS'!K117</f>
        <v>16839.33133878608</v>
      </c>
    </row>
    <row r="88" spans="1:28">
      <c r="A88" s="12" t="s">
        <v>17</v>
      </c>
      <c r="B88" s="13">
        <f>SUM(B81:B87)</f>
        <v>39064.718099560894</v>
      </c>
      <c r="C88" s="13">
        <f t="shared" ref="C88:E88" si="15">SUM(C81:C87)</f>
        <v>26426.780813215926</v>
      </c>
      <c r="D88" s="13">
        <f t="shared" si="15"/>
        <v>22780.155466360287</v>
      </c>
      <c r="E88" s="13">
        <f t="shared" si="15"/>
        <v>18866.214374083134</v>
      </c>
      <c r="O88" s="181"/>
      <c r="X88" s="12" t="s">
        <v>17</v>
      </c>
      <c r="Y88" s="13">
        <f>SUM(Y81:Y87)</f>
        <v>88956.742943491248</v>
      </c>
      <c r="Z88" s="13">
        <f t="shared" ref="Z88:AB88" si="16">SUM(Z81:Z87)</f>
        <v>68953.598882748149</v>
      </c>
      <c r="AA88" s="13">
        <f t="shared" si="16"/>
        <v>52783.641649068901</v>
      </c>
      <c r="AB88" s="13">
        <f t="shared" si="16"/>
        <v>41269.925932762941</v>
      </c>
    </row>
    <row r="89" spans="1:28" ht="22.5">
      <c r="A89" s="179" t="s">
        <v>104</v>
      </c>
      <c r="B89" s="180">
        <f>B88/$B88-1</f>
        <v>0</v>
      </c>
      <c r="C89" s="180">
        <f>C88/$B88-1</f>
        <v>-0.32351282438889595</v>
      </c>
      <c r="D89" s="180">
        <f>D88/$B88-1</f>
        <v>-0.41686113263885682</v>
      </c>
      <c r="E89" s="180">
        <f>E88/$B88-1</f>
        <v>-0.51705233540914253</v>
      </c>
      <c r="O89" s="181"/>
      <c r="X89" s="309" t="s">
        <v>289</v>
      </c>
      <c r="Y89" s="180">
        <f>Y88/$Y88-1</f>
        <v>0</v>
      </c>
      <c r="Z89" s="180">
        <f t="shared" ref="Z89:AB89" si="17">Z88/$Y88-1</f>
        <v>-0.22486371913874892</v>
      </c>
      <c r="AA89" s="180">
        <f t="shared" si="17"/>
        <v>-0.40663697992406145</v>
      </c>
      <c r="AB89" s="180">
        <f t="shared" si="17"/>
        <v>-0.53606747991010428</v>
      </c>
    </row>
    <row r="90" spans="1:28">
      <c r="O90" s="181"/>
    </row>
    <row r="91" spans="1:28">
      <c r="A91" s="481" t="s">
        <v>107</v>
      </c>
      <c r="B91" s="482"/>
      <c r="C91" s="482"/>
      <c r="D91" s="482"/>
      <c r="E91" s="482"/>
      <c r="O91" s="181"/>
      <c r="X91" s="481" t="s">
        <v>111</v>
      </c>
      <c r="Y91" s="482"/>
      <c r="Z91" s="482"/>
      <c r="AA91" s="482"/>
      <c r="AB91" s="482"/>
    </row>
    <row r="92" spans="1:28">
      <c r="A92" s="8" t="s">
        <v>20</v>
      </c>
      <c r="B92" s="9">
        <v>2020</v>
      </c>
      <c r="C92" s="9">
        <v>2030</v>
      </c>
      <c r="D92" s="9">
        <v>2040</v>
      </c>
      <c r="E92" s="9">
        <v>2050</v>
      </c>
      <c r="O92" s="181"/>
      <c r="X92" s="8" t="s">
        <v>20</v>
      </c>
      <c r="Y92" s="9">
        <v>2020</v>
      </c>
      <c r="Z92" s="9">
        <v>2030</v>
      </c>
      <c r="AA92" s="9">
        <v>2040</v>
      </c>
      <c r="AB92" s="9">
        <v>2050</v>
      </c>
    </row>
    <row r="93" spans="1:28">
      <c r="A93" s="124" t="s">
        <v>15</v>
      </c>
      <c r="B93" s="86">
        <f>'Bureaux - AME'!H122+'CaHoREs - AME'!H122+'Commerce - AME'!H122+'Enseignement - AME'!H122+'Santé social - AME'!H122+'Sport Loisir Culture - AME'!H122+'Transport - AME'!H122</f>
        <v>10664.135425018072</v>
      </c>
      <c r="C93" s="86">
        <f>'Bureaux - AME'!I122+'CaHoREs - AME'!I122+'Commerce - AME'!I122+'Enseignement - AME'!I122+'Santé social - AME'!I122+'Sport Loisir Culture - AME'!I122+'Transport - AME'!I122</f>
        <v>8469.3394445919093</v>
      </c>
      <c r="D93" s="86">
        <f>'Bureaux - AME'!J122+'CaHoREs - AME'!J122+'Commerce - AME'!J122+'Enseignement - AME'!J122+'Santé social - AME'!J122+'Sport Loisir Culture - AME'!J122+'Transport - AME'!J122</f>
        <v>7111.1063475589381</v>
      </c>
      <c r="E93" s="86">
        <f>'Bureaux - AME'!K122+'CaHoREs - AME'!K122+'Commerce - AME'!K122+'Enseignement - AME'!K122+'Santé social - AME'!K122+'Sport Loisir Culture - AME'!K122+'Transport - AME'!K122</f>
        <v>5661.3849403460372</v>
      </c>
      <c r="O93" s="181"/>
      <c r="X93" s="124" t="s">
        <v>15</v>
      </c>
      <c r="Y93" s="86">
        <f>'Bureaux - AMS'!H122+'CaHoREs - AMS'!H122+'Commerce - AMS'!H122+'Enseignement - AMS'!H122+'Santé social - AMS'!H122+'Sport Loisir Culture - AMS'!H122+'Transport - AMS'!H122</f>
        <v>1958.4638263552558</v>
      </c>
      <c r="Z93" s="86">
        <f>'Bureaux - AMS'!I122+'CaHoREs - AMS'!I122+'Commerce - AMS'!I122+'Enseignement - AMS'!I122+'Santé social - AMS'!I122+'Sport Loisir Culture - AMS'!I122+'Transport - AMS'!I122</f>
        <v>148.62958358481993</v>
      </c>
      <c r="AA93" s="86">
        <f>'Bureaux - AMS'!J122+'CaHoREs - AMS'!J122+'Commerce - AMS'!J122+'Enseignement - AMS'!J122+'Santé social - AMS'!J122+'Sport Loisir Culture - AMS'!J122+'Transport - AMS'!J122</f>
        <v>0</v>
      </c>
      <c r="AB93" s="86">
        <f>'Bureaux - AMS'!K122+'CaHoREs - AMS'!K122+'Commerce - AMS'!K122+'Enseignement - AMS'!K122+'Santé social - AMS'!K122+'Sport Loisir Culture - AMS'!K122+'Transport - AMS'!K122</f>
        <v>0</v>
      </c>
    </row>
    <row r="94" spans="1:28">
      <c r="A94" s="124" t="s">
        <v>16</v>
      </c>
      <c r="B94" s="86">
        <f>'Bureaux - AME'!H123+'CaHoREs - AME'!H123+'Commerce - AME'!H123+'Enseignement - AME'!H123+'Santé social - AME'!H123+'Sport Loisir Culture - AME'!H123+'Transport - AME'!H123</f>
        <v>34100.629616401253</v>
      </c>
      <c r="C94" s="86">
        <f>'Bureaux - AME'!I123+'CaHoREs - AME'!I123+'Commerce - AME'!I123+'Enseignement - AME'!I123+'Santé social - AME'!I123+'Sport Loisir Culture - AME'!I123+'Transport - AME'!I123</f>
        <v>30417.542605908071</v>
      </c>
      <c r="D94" s="86">
        <f>'Bureaux - AME'!J123+'CaHoREs - AME'!J123+'Commerce - AME'!J123+'Enseignement - AME'!J123+'Santé social - AME'!J123+'Sport Loisir Culture - AME'!J123+'Transport - AME'!J123</f>
        <v>28776.695182866275</v>
      </c>
      <c r="E94" s="86">
        <f>'Bureaux - AME'!K123+'CaHoREs - AME'!K123+'Commerce - AME'!K123+'Enseignement - AME'!K123+'Santé social - AME'!K123+'Sport Loisir Culture - AME'!K123+'Transport - AME'!K123</f>
        <v>26497.280448045203</v>
      </c>
      <c r="O94" s="181"/>
      <c r="X94" s="124" t="s">
        <v>16</v>
      </c>
      <c r="Y94" s="86">
        <f>'Bureaux - AMS'!H123+'CaHoREs - AMS'!H123+'Commerce - AMS'!H123+'Enseignement - AMS'!H123+'Santé social - AMS'!H123+'Sport Loisir Culture - AMS'!H123+'Transport - AMS'!H123</f>
        <v>6500.5014222558739</v>
      </c>
      <c r="Z94" s="86">
        <f>'Bureaux - AMS'!I123+'CaHoREs - AMS'!I123+'Commerce - AMS'!I123+'Enseignement - AMS'!I123+'Santé social - AMS'!I123+'Sport Loisir Culture - AMS'!I123+'Transport - AMS'!I123</f>
        <v>5007.2545323600489</v>
      </c>
      <c r="AA94" s="86">
        <f>'Bureaux - AMS'!J123+'CaHoREs - AMS'!J123+'Commerce - AMS'!J123+'Enseignement - AMS'!J123+'Santé social - AMS'!J123+'Sport Loisir Culture - AMS'!J123+'Transport - AMS'!J123</f>
        <v>2731.5337542600478</v>
      </c>
      <c r="AB94" s="86">
        <f>'Bureaux - AMS'!K123+'CaHoREs - AMS'!K123+'Commerce - AMS'!K123+'Enseignement - AMS'!K123+'Santé social - AMS'!K123+'Sport Loisir Culture - AMS'!K123+'Transport - AMS'!K123</f>
        <v>738.80071051777111</v>
      </c>
    </row>
    <row r="95" spans="1:28">
      <c r="A95" s="124" t="s">
        <v>21</v>
      </c>
      <c r="B95" s="86">
        <f>'Bureaux - AME'!H124+'CaHoREs - AME'!H124+'Commerce - AME'!H124+'Enseignement - AME'!H124+'Santé social - AME'!H124+'Sport Loisir Culture - AME'!H124+'Transport - AME'!H124</f>
        <v>4485.3672036834887</v>
      </c>
      <c r="C95" s="86">
        <f>'Bureaux - AME'!I124+'CaHoREs - AME'!I124+'Commerce - AME'!I124+'Enseignement - AME'!I124+'Santé social - AME'!I124+'Sport Loisir Culture - AME'!I124+'Transport - AME'!I124</f>
        <v>4107.7016038147231</v>
      </c>
      <c r="D95" s="86">
        <f>'Bureaux - AME'!J124+'CaHoREs - AME'!J124+'Commerce - AME'!J124+'Enseignement - AME'!J124+'Santé social - AME'!J124+'Sport Loisir Culture - AME'!J124+'Transport - AME'!J124</f>
        <v>4101.0629682288627</v>
      </c>
      <c r="E95" s="86">
        <f>'Bureaux - AME'!K124+'CaHoREs - AME'!K124+'Commerce - AME'!K124+'Enseignement - AME'!K124+'Santé social - AME'!K124+'Sport Loisir Culture - AME'!K124+'Transport - AME'!K124</f>
        <v>3861.5949442739256</v>
      </c>
      <c r="O95" s="181"/>
      <c r="X95" s="124" t="s">
        <v>21</v>
      </c>
      <c r="Y95" s="86">
        <f>'Bureaux - AMS'!H124+'CaHoREs - AMS'!H124+'Commerce - AMS'!H124+'Enseignement - AMS'!H124+'Santé social - AMS'!H124+'Sport Loisir Culture - AMS'!H124+'Transport - AMS'!H124</f>
        <v>828.77042655980381</v>
      </c>
      <c r="Z95" s="86">
        <f>'Bureaux - AMS'!I124+'CaHoREs - AMS'!I124+'Commerce - AMS'!I124+'Enseignement - AMS'!I124+'Santé social - AMS'!I124+'Sport Loisir Culture - AMS'!I124+'Transport - AMS'!I124</f>
        <v>1729.5923783732455</v>
      </c>
      <c r="AA95" s="86">
        <f>'Bureaux - AMS'!J124+'CaHoREs - AMS'!J124+'Commerce - AMS'!J124+'Enseignement - AMS'!J124+'Santé social - AMS'!J124+'Sport Loisir Culture - AMS'!J124+'Transport - AMS'!J124</f>
        <v>2166.5327814169841</v>
      </c>
      <c r="AB95" s="86">
        <f>'Bureaux - AMS'!K124+'CaHoREs - AMS'!K124+'Commerce - AMS'!K124+'Enseignement - AMS'!K124+'Santé social - AMS'!K124+'Sport Loisir Culture - AMS'!K124+'Transport - AMS'!K124</f>
        <v>2268.5550789167792</v>
      </c>
    </row>
    <row r="96" spans="1:28">
      <c r="A96" s="124" t="s">
        <v>22</v>
      </c>
      <c r="B96" s="86">
        <f>'Bureaux - AME'!H125+'CaHoREs - AME'!H125+'Commerce - AME'!H125+'Enseignement - AME'!H125+'Santé social - AME'!H125+'Sport Loisir Culture - AME'!H125+'Transport - AME'!H125</f>
        <v>776.61727075096542</v>
      </c>
      <c r="C96" s="86">
        <f>'Bureaux - AME'!I125+'CaHoREs - AME'!I125+'Commerce - AME'!I125+'Enseignement - AME'!I125+'Santé social - AME'!I125+'Sport Loisir Culture - AME'!I125+'Transport - AME'!I125</f>
        <v>708.74035963160782</v>
      </c>
      <c r="D96" s="86">
        <f>'Bureaux - AME'!J125+'CaHoREs - AME'!J125+'Commerce - AME'!J125+'Enseignement - AME'!J125+'Santé social - AME'!J125+'Sport Loisir Culture - AME'!J125+'Transport - AME'!J125</f>
        <v>698.31184745678729</v>
      </c>
      <c r="E96" s="86">
        <f>'Bureaux - AME'!K125+'CaHoREs - AME'!K125+'Commerce - AME'!K125+'Enseignement - AME'!K125+'Santé social - AME'!K125+'Sport Loisir Culture - AME'!K125+'Transport - AME'!K125</f>
        <v>670.69558321777947</v>
      </c>
      <c r="O96" s="181"/>
      <c r="X96" s="124" t="s">
        <v>22</v>
      </c>
      <c r="Y96" s="86">
        <f>'Bureaux - AMS'!H125+'CaHoREs - AMS'!H125+'Commerce - AMS'!H125+'Enseignement - AMS'!H125+'Santé social - AMS'!H125+'Sport Loisir Culture - AMS'!H125+'Transport - AMS'!H125</f>
        <v>150.53732937394653</v>
      </c>
      <c r="Z96" s="86">
        <f>'Bureaux - AMS'!I125+'CaHoREs - AMS'!I125+'Commerce - AMS'!I125+'Enseignement - AMS'!I125+'Santé social - AMS'!I125+'Sport Loisir Culture - AMS'!I125+'Transport - AMS'!I125</f>
        <v>91.961003463984241</v>
      </c>
      <c r="AA96" s="86">
        <f>'Bureaux - AMS'!J125+'CaHoREs - AMS'!J125+'Commerce - AMS'!J125+'Enseignement - AMS'!J125+'Santé social - AMS'!J125+'Sport Loisir Culture - AMS'!J125+'Transport - AMS'!J125</f>
        <v>47.619275982460785</v>
      </c>
      <c r="AB96" s="86">
        <f>'Bureaux - AMS'!K125+'CaHoREs - AMS'!K125+'Commerce - AMS'!K125+'Enseignement - AMS'!K125+'Santé social - AMS'!K125+'Sport Loisir Culture - AMS'!K125+'Transport - AMS'!K125</f>
        <v>0</v>
      </c>
    </row>
    <row r="97" spans="1:30">
      <c r="A97" s="124" t="s">
        <v>42</v>
      </c>
      <c r="B97" s="86">
        <f>'Bureaux - AME'!H126+'CaHoREs - AME'!H126+'Commerce - AME'!H126+'Enseignement - AME'!H126+'Santé social - AME'!H126+'Sport Loisir Culture - AME'!H126+'Transport - AME'!H126</f>
        <v>804.31191233700827</v>
      </c>
      <c r="C97" s="86">
        <f>'Bureaux - AME'!I126+'CaHoREs - AME'!I126+'Commerce - AME'!I126+'Enseignement - AME'!I126+'Santé social - AME'!I126+'Sport Loisir Culture - AME'!I126+'Transport - AME'!I126</f>
        <v>869.15982965288754</v>
      </c>
      <c r="D97" s="86">
        <f>'Bureaux - AME'!J126+'CaHoREs - AME'!J126+'Commerce - AME'!J126+'Enseignement - AME'!J126+'Santé social - AME'!J126+'Sport Loisir Culture - AME'!J126+'Transport - AME'!J126</f>
        <v>986.02448796196029</v>
      </c>
      <c r="E97" s="86">
        <f>'Bureaux - AME'!K126+'CaHoREs - AME'!K126+'Commerce - AME'!K126+'Enseignement - AME'!K126+'Santé social - AME'!K126+'Sport Loisir Culture - AME'!K126+'Transport - AME'!K126</f>
        <v>1065.407126212112</v>
      </c>
      <c r="O97" s="181"/>
      <c r="X97" s="124" t="s">
        <v>42</v>
      </c>
      <c r="Y97" s="86">
        <f>'Bureaux - AMS'!H126+'CaHoREs - AMS'!H126+'Commerce - AMS'!H126+'Enseignement - AMS'!H126+'Santé social - AMS'!H126+'Sport Loisir Culture - AMS'!H126+'Transport - AMS'!H126</f>
        <v>171.80824607775244</v>
      </c>
      <c r="Z97" s="86">
        <f>'Bureaux - AMS'!I126+'CaHoREs - AMS'!I126+'Commerce - AMS'!I126+'Enseignement - AMS'!I126+'Santé social - AMS'!I126+'Sport Loisir Culture - AMS'!I126+'Transport - AMS'!I126</f>
        <v>222.7834502447312</v>
      </c>
      <c r="AA97" s="86">
        <f>'Bureaux - AMS'!J126+'CaHoREs - AMS'!J126+'Commerce - AMS'!J126+'Enseignement - AMS'!J126+'Santé social - AMS'!J126+'Sport Loisir Culture - AMS'!J126+'Transport - AMS'!J126</f>
        <v>291.11526134109982</v>
      </c>
      <c r="AB97" s="86">
        <f>'Bureaux - AMS'!K126+'CaHoREs - AMS'!K126+'Commerce - AMS'!K126+'Enseignement - AMS'!K126+'Santé social - AMS'!K126+'Sport Loisir Culture - AMS'!K126+'Transport - AMS'!K126</f>
        <v>430.90688771250166</v>
      </c>
    </row>
    <row r="98" spans="1:30">
      <c r="A98" s="124" t="s">
        <v>46</v>
      </c>
      <c r="B98" s="86">
        <f>'Bureaux - AME'!H127+'CaHoREs - AME'!H127+'Commerce - AME'!H127+'Enseignement - AME'!H127+'Santé social - AME'!H127+'Sport Loisir Culture - AME'!H127+'Transport - AME'!H127</f>
        <v>9195.0988158877972</v>
      </c>
      <c r="C98" s="86">
        <f>'Bureaux - AME'!I127+'CaHoREs - AME'!I127+'Commerce - AME'!I127+'Enseignement - AME'!I127+'Santé social - AME'!I127+'Sport Loisir Culture - AME'!I127+'Transport - AME'!I127</f>
        <v>6909.9241139897831</v>
      </c>
      <c r="D98" s="86">
        <f>'Bureaux - AME'!J127+'CaHoREs - AME'!J127+'Commerce - AME'!J127+'Enseignement - AME'!J127+'Santé social - AME'!J127+'Sport Loisir Culture - AME'!J127+'Transport - AME'!J127</f>
        <v>5455.2332800261493</v>
      </c>
      <c r="E98" s="86">
        <f>'Bureaux - AME'!K127+'CaHoREs - AME'!K127+'Commerce - AME'!K127+'Enseignement - AME'!K127+'Santé social - AME'!K127+'Sport Loisir Culture - AME'!K127+'Transport - AME'!K127</f>
        <v>4046.2273051491525</v>
      </c>
      <c r="O98" s="181"/>
      <c r="X98" s="124" t="s">
        <v>46</v>
      </c>
      <c r="Y98" s="86">
        <f>'Bureaux - AMS'!H127+'CaHoREs - AMS'!H127+'Commerce - AMS'!H127+'Enseignement - AMS'!H127+'Santé social - AMS'!H127+'Sport Loisir Culture - AMS'!H127+'Transport - AMS'!H127</f>
        <v>1982.5970798164833</v>
      </c>
      <c r="Z98" s="86">
        <f>'Bureaux - AMS'!I127+'CaHoREs - AMS'!I127+'Commerce - AMS'!I127+'Enseignement - AMS'!I127+'Santé social - AMS'!I127+'Sport Loisir Culture - AMS'!I127+'Transport - AMS'!I127</f>
        <v>1047.67366667031</v>
      </c>
      <c r="AA98" s="86">
        <f>'Bureaux - AMS'!J127+'CaHoREs - AMS'!J127+'Commerce - AMS'!J127+'Enseignement - AMS'!J127+'Santé social - AMS'!J127+'Sport Loisir Culture - AMS'!J127+'Transport - AMS'!J127</f>
        <v>711.80498188046329</v>
      </c>
      <c r="AB98" s="86">
        <f>'Bureaux - AMS'!K127+'CaHoREs - AMS'!K127+'Commerce - AMS'!K127+'Enseignement - AMS'!K127+'Santé social - AMS'!K127+'Sport Loisir Culture - AMS'!K127+'Transport - AMS'!K127</f>
        <v>585.00394614614208</v>
      </c>
    </row>
    <row r="99" spans="1:30">
      <c r="A99" s="124" t="s">
        <v>47</v>
      </c>
      <c r="B99" s="86">
        <f>'Bureaux - AME'!H128+'CaHoREs - AME'!H128+'Commerce - AME'!H128+'Enseignement - AME'!H128+'Santé social - AME'!H128+'Sport Loisir Culture - AME'!H128+'Transport - AME'!H128</f>
        <v>1906.7890903026712</v>
      </c>
      <c r="C99" s="86">
        <f>'Bureaux - AME'!I128+'CaHoREs - AME'!I128+'Commerce - AME'!I128+'Enseignement - AME'!I128+'Santé social - AME'!I128+'Sport Loisir Culture - AME'!I128+'Transport - AME'!I128</f>
        <v>2967.0521594826173</v>
      </c>
      <c r="D99" s="86">
        <f>'Bureaux - AME'!J128+'CaHoREs - AME'!J128+'Commerce - AME'!J128+'Enseignement - AME'!J128+'Santé social - AME'!J128+'Sport Loisir Culture - AME'!J128+'Transport - AME'!J128</f>
        <v>4262.1098486524752</v>
      </c>
      <c r="E99" s="86">
        <f>'Bureaux - AME'!K128+'CaHoREs - AME'!K128+'Commerce - AME'!K128+'Enseignement - AME'!K128+'Santé social - AME'!K128+'Sport Loisir Culture - AME'!K128+'Transport - AME'!K128</f>
        <v>4989.1781380424372</v>
      </c>
      <c r="O99" s="181"/>
      <c r="X99" s="124" t="s">
        <v>47</v>
      </c>
      <c r="Y99" s="86">
        <f>'Bureaux - AMS'!H128+'CaHoREs - AMS'!H128+'Commerce - AMS'!H128+'Enseignement - AMS'!H128+'Santé social - AMS'!H128+'Sport Loisir Culture - AMS'!H128+'Transport - AMS'!H128</f>
        <v>448.24616001178532</v>
      </c>
      <c r="Z99" s="86">
        <f>'Bureaux - AMS'!I128+'CaHoREs - AMS'!I128+'Commerce - AMS'!I128+'Enseignement - AMS'!I128+'Santé social - AMS'!I128+'Sport Loisir Culture - AMS'!I128+'Transport - AMS'!I128</f>
        <v>1291.395074758743</v>
      </c>
      <c r="AA99" s="86">
        <f>'Bureaux - AMS'!J128+'CaHoREs - AMS'!J128+'Commerce - AMS'!J128+'Enseignement - AMS'!J128+'Santé social - AMS'!J128+'Sport Loisir Culture - AMS'!J128+'Transport - AMS'!J128</f>
        <v>1895.5744970827191</v>
      </c>
      <c r="AB99" s="86">
        <f>'Bureaux - AMS'!K128+'CaHoREs - AMS'!K128+'Commerce - AMS'!K128+'Enseignement - AMS'!K128+'Santé social - AMS'!K128+'Sport Loisir Culture - AMS'!K128+'Transport - AMS'!K128</f>
        <v>2138.2187809710877</v>
      </c>
    </row>
    <row r="100" spans="1:30">
      <c r="A100" s="12" t="s">
        <v>17</v>
      </c>
      <c r="B100" s="13">
        <f>SUM(B93:B99)</f>
        <v>61932.949334381257</v>
      </c>
      <c r="C100" s="13">
        <f t="shared" ref="C100:E100" si="18">SUM(C93:C99)</f>
        <v>54449.460117071605</v>
      </c>
      <c r="D100" s="13">
        <f t="shared" si="18"/>
        <v>51390.543962751442</v>
      </c>
      <c r="E100" s="13">
        <f t="shared" si="18"/>
        <v>46791.768485286644</v>
      </c>
      <c r="O100" s="181"/>
      <c r="X100" s="12" t="s">
        <v>17</v>
      </c>
      <c r="Y100" s="13">
        <f>SUM(Y93:Y99)</f>
        <v>12040.924490450903</v>
      </c>
      <c r="Z100" s="13">
        <f t="shared" ref="Z100:AB100" si="19">SUM(Z93:Z99)</f>
        <v>9539.2896894558817</v>
      </c>
      <c r="AA100" s="13">
        <f t="shared" si="19"/>
        <v>7844.1805519637737</v>
      </c>
      <c r="AB100" s="13">
        <f t="shared" si="19"/>
        <v>6161.4854042642819</v>
      </c>
    </row>
    <row r="101" spans="1:30" ht="22.5">
      <c r="A101" s="179" t="s">
        <v>104</v>
      </c>
      <c r="B101" s="180">
        <f>B100/$B100-1</f>
        <v>0</v>
      </c>
      <c r="C101" s="180">
        <f>C100/$B100-1</f>
        <v>-0.12083211437107022</v>
      </c>
      <c r="D101" s="180">
        <f>D100/$B100-1</f>
        <v>-0.17022288595865942</v>
      </c>
      <c r="E101" s="180">
        <f>E100/$B100-1</f>
        <v>-0.24447698699679377</v>
      </c>
      <c r="O101" s="181"/>
      <c r="X101" s="309" t="s">
        <v>289</v>
      </c>
      <c r="Y101" s="180">
        <f>Y100/$Y100-1</f>
        <v>0</v>
      </c>
      <c r="Z101" s="180">
        <f t="shared" ref="Z101:AB101" si="20">Z100/$Y100-1</f>
        <v>-0.20776102391298534</v>
      </c>
      <c r="AA101" s="180">
        <f t="shared" si="20"/>
        <v>-0.34854000968242693</v>
      </c>
      <c r="AB101" s="180">
        <f t="shared" si="20"/>
        <v>-0.48828801234069119</v>
      </c>
    </row>
    <row r="102" spans="1:30">
      <c r="O102" s="181"/>
    </row>
    <row r="103" spans="1:30">
      <c r="O103" s="181"/>
      <c r="Y103" s="178"/>
      <c r="Z103" s="178"/>
      <c r="AA103" s="178"/>
      <c r="AB103" s="178"/>
    </row>
    <row r="104" spans="1:30">
      <c r="O104" s="181"/>
    </row>
    <row r="105" spans="1:30">
      <c r="O105" s="181"/>
    </row>
    <row r="106" spans="1:30" ht="14.45" customHeight="1">
      <c r="A106" s="483" t="s">
        <v>199</v>
      </c>
      <c r="B106" s="483"/>
      <c r="C106" s="483"/>
      <c r="D106" s="483"/>
      <c r="E106" s="483"/>
      <c r="F106" s="483"/>
      <c r="G106" s="483"/>
      <c r="H106" s="483"/>
      <c r="I106" s="483"/>
      <c r="J106" s="483"/>
      <c r="K106" s="483"/>
      <c r="L106" s="483"/>
      <c r="M106" s="483"/>
      <c r="N106" s="483"/>
      <c r="O106" s="181"/>
      <c r="P106" s="483" t="s">
        <v>199</v>
      </c>
      <c r="Q106" s="483"/>
      <c r="R106" s="483"/>
      <c r="S106" s="483"/>
      <c r="T106" s="483"/>
      <c r="U106" s="483"/>
      <c r="V106" s="483"/>
      <c r="W106" s="483"/>
      <c r="X106" s="483"/>
      <c r="Y106" s="483"/>
      <c r="Z106" s="483"/>
      <c r="AA106" s="483"/>
      <c r="AB106" s="483"/>
      <c r="AC106" s="483"/>
      <c r="AD106" s="230"/>
    </row>
    <row r="107" spans="1:30" ht="14.45" customHeight="1">
      <c r="A107" s="483"/>
      <c r="B107" s="483"/>
      <c r="C107" s="483"/>
      <c r="D107" s="483"/>
      <c r="E107" s="483"/>
      <c r="F107" s="483"/>
      <c r="G107" s="483"/>
      <c r="H107" s="483"/>
      <c r="I107" s="483"/>
      <c r="J107" s="483"/>
      <c r="K107" s="483"/>
      <c r="L107" s="483"/>
      <c r="M107" s="483"/>
      <c r="N107" s="483"/>
      <c r="O107" s="181"/>
      <c r="P107" s="483"/>
      <c r="Q107" s="483"/>
      <c r="R107" s="483"/>
      <c r="S107" s="483"/>
      <c r="T107" s="483"/>
      <c r="U107" s="483"/>
      <c r="V107" s="483"/>
      <c r="W107" s="483"/>
      <c r="X107" s="483"/>
      <c r="Y107" s="483"/>
      <c r="Z107" s="483"/>
      <c r="AA107" s="483"/>
      <c r="AB107" s="483"/>
      <c r="AC107" s="483"/>
      <c r="AD107" s="230"/>
    </row>
    <row r="108" spans="1:30">
      <c r="O108" s="181"/>
    </row>
    <row r="109" spans="1:30">
      <c r="O109" s="181"/>
    </row>
    <row r="110" spans="1:30">
      <c r="O110" s="181"/>
    </row>
    <row r="111" spans="1:30">
      <c r="O111" s="181"/>
    </row>
    <row r="112" spans="1:30">
      <c r="A112" s="478" t="s">
        <v>60</v>
      </c>
      <c r="B112" s="479"/>
      <c r="C112" s="479"/>
      <c r="D112" s="479"/>
      <c r="E112" s="479"/>
      <c r="O112" s="181"/>
      <c r="X112" s="478" t="s">
        <v>215</v>
      </c>
      <c r="Y112" s="479"/>
      <c r="Z112" s="479"/>
      <c r="AA112" s="479"/>
      <c r="AB112" s="479"/>
    </row>
    <row r="113" spans="1:38">
      <c r="A113" s="8" t="s">
        <v>20</v>
      </c>
      <c r="B113" s="9">
        <v>2020</v>
      </c>
      <c r="C113" s="9">
        <v>2030</v>
      </c>
      <c r="D113" s="9">
        <v>2040</v>
      </c>
      <c r="E113" s="9">
        <v>2050</v>
      </c>
      <c r="O113" s="181"/>
      <c r="X113" s="8" t="s">
        <v>20</v>
      </c>
      <c r="Y113" s="9">
        <v>2020</v>
      </c>
      <c r="Z113" s="9">
        <v>2021</v>
      </c>
      <c r="AA113" s="9">
        <v>2022</v>
      </c>
      <c r="AB113" s="9">
        <v>2023</v>
      </c>
    </row>
    <row r="114" spans="1:38">
      <c r="A114" s="124" t="s">
        <v>176</v>
      </c>
      <c r="B114" s="225">
        <f>'Hors chauffage - AME'!E6*1000</f>
        <v>135185.90450817489</v>
      </c>
      <c r="C114" s="225">
        <f>'Hors chauffage - AME'!F6*1000</f>
        <v>143571.48465130985</v>
      </c>
      <c r="D114" s="225">
        <f>'Hors chauffage - AME'!G6*1000</f>
        <v>166296.47997488041</v>
      </c>
      <c r="E114" s="225">
        <f>'Hors chauffage - AME'!H6*1000</f>
        <v>196606.62358904525</v>
      </c>
      <c r="O114" s="181"/>
      <c r="X114" s="124" t="s">
        <v>176</v>
      </c>
      <c r="Y114" s="225">
        <f>'Hors chauffage - AMS'!E6*1000</f>
        <v>128079.98349568721</v>
      </c>
      <c r="Z114" s="225">
        <f>'Hors chauffage - AMS'!F6*1000</f>
        <v>116014.78099460196</v>
      </c>
      <c r="AA114" s="225">
        <f>'Hors chauffage - AMS'!G6*1000</f>
        <v>114741.90528015945</v>
      </c>
      <c r="AB114" s="225">
        <f>'Hors chauffage - AMS'!H6*1000</f>
        <v>115507.24789704484</v>
      </c>
    </row>
    <row r="115" spans="1:38">
      <c r="A115" s="124" t="s">
        <v>76</v>
      </c>
      <c r="B115" s="225">
        <f>'Hors chauffage - AME'!E7*1000</f>
        <v>16918.432156631196</v>
      </c>
      <c r="C115" s="225">
        <f>'Hors chauffage - AME'!F7*1000</f>
        <v>14402.066372549833</v>
      </c>
      <c r="D115" s="225">
        <f>'Hors chauffage - AME'!G7*1000</f>
        <v>13527.232268561685</v>
      </c>
      <c r="E115" s="225">
        <f>'Hors chauffage - AME'!H7*1000</f>
        <v>12627.611524259042</v>
      </c>
      <c r="O115" s="181"/>
      <c r="X115" s="124" t="s">
        <v>76</v>
      </c>
      <c r="Y115" s="225">
        <f>'Hors chauffage - AMS'!E7*1000</f>
        <v>17051.351069612236</v>
      </c>
      <c r="Z115" s="225">
        <f>'Hors chauffage - AMS'!F7*1000</f>
        <v>9769.9481421713226</v>
      </c>
      <c r="AA115" s="225">
        <f>'Hors chauffage - AMS'!G7*1000</f>
        <v>4789.0413418723874</v>
      </c>
      <c r="AB115" s="225">
        <f>'Hors chauffage - AMS'!H7*1000</f>
        <v>1396.0196909874151</v>
      </c>
    </row>
    <row r="116" spans="1:38">
      <c r="A116" s="124" t="s">
        <v>177</v>
      </c>
      <c r="B116" s="225">
        <f>'Hors chauffage - AME'!E8*1000</f>
        <v>4958.7960253733008</v>
      </c>
      <c r="C116" s="225">
        <f>'Hors chauffage - AME'!F8*1000</f>
        <v>3883.0438834044844</v>
      </c>
      <c r="D116" s="225">
        <f>'Hors chauffage - AME'!G8*1000</f>
        <v>3298.4830966687159</v>
      </c>
      <c r="E116" s="225">
        <f>'Hors chauffage - AME'!H8*1000</f>
        <v>2934.6220514475667</v>
      </c>
      <c r="O116" s="181"/>
      <c r="X116" s="124" t="s">
        <v>177</v>
      </c>
      <c r="Y116" s="225">
        <f>'Hors chauffage - AMS'!E8*1000</f>
        <v>4958.7960253733008</v>
      </c>
      <c r="Z116" s="225">
        <f>'Hors chauffage - AMS'!F8*1000</f>
        <v>244.5200229373591</v>
      </c>
      <c r="AA116" s="225">
        <f>'Hors chauffage - AMS'!G8*1000</f>
        <v>0</v>
      </c>
      <c r="AB116" s="225">
        <f>'Hors chauffage - AMS'!H8*1000</f>
        <v>0</v>
      </c>
    </row>
    <row r="117" spans="1:38">
      <c r="A117" s="124" t="s">
        <v>133</v>
      </c>
      <c r="B117" s="225">
        <f>'Hors chauffage - AME'!E9*1000</f>
        <v>214.6153499104517</v>
      </c>
      <c r="C117" s="225">
        <f>'Hors chauffage - AME'!F9*1000</f>
        <v>237.24516632789317</v>
      </c>
      <c r="D117" s="225">
        <f>'Hors chauffage - AME'!G9*1000</f>
        <v>247.32151527102963</v>
      </c>
      <c r="E117" s="225">
        <f>'Hors chauffage - AME'!H9*1000</f>
        <v>253.94561321281111</v>
      </c>
      <c r="O117" s="181"/>
      <c r="X117" s="124" t="s">
        <v>133</v>
      </c>
      <c r="Y117" s="225">
        <f>'Hors chauffage - AMS'!E9*1000</f>
        <v>214.6153499104517</v>
      </c>
      <c r="Z117" s="225">
        <f>'Hors chauffage - AMS'!F9*1000</f>
        <v>663.01904787483431</v>
      </c>
      <c r="AA117" s="225">
        <f>'Hors chauffage - AMS'!G9*1000</f>
        <v>533.48745170182087</v>
      </c>
      <c r="AB117" s="225">
        <f>'Hors chauffage - AMS'!H9*1000</f>
        <v>436.08334641640846</v>
      </c>
    </row>
    <row r="118" spans="1:38">
      <c r="A118" s="124" t="s">
        <v>178</v>
      </c>
      <c r="B118" s="225">
        <f>'Hors chauffage - AME'!E10*1000</f>
        <v>1550.4931364675845</v>
      </c>
      <c r="C118" s="225">
        <f>'Hors chauffage - AME'!F10*1000</f>
        <v>1705.013329449637</v>
      </c>
      <c r="D118" s="225">
        <f>'Hors chauffage - AME'!G10*1000</f>
        <v>1647.084315696889</v>
      </c>
      <c r="E118" s="225">
        <f>'Hors chauffage - AME'!H10*1000</f>
        <v>1557.3658025191423</v>
      </c>
      <c r="O118" s="181"/>
      <c r="X118" s="124" t="s">
        <v>178</v>
      </c>
      <c r="Y118" s="225">
        <f>'Hors chauffage - AMS'!E10*1000</f>
        <v>1550.4931364675845</v>
      </c>
      <c r="Z118" s="225">
        <f>'Hors chauffage - AMS'!F10*1000</f>
        <v>3511.2270385742158</v>
      </c>
      <c r="AA118" s="225">
        <f>'Hors chauffage - AMS'!G10*1000</f>
        <v>3436.1166994956225</v>
      </c>
      <c r="AB118" s="225">
        <f>'Hors chauffage - AMS'!H10*1000</f>
        <v>3057.3919854415244</v>
      </c>
    </row>
    <row r="119" spans="1:38">
      <c r="A119" s="231" t="s">
        <v>201</v>
      </c>
      <c r="B119" s="225">
        <v>0</v>
      </c>
      <c r="C119" s="225">
        <v>0</v>
      </c>
      <c r="D119" s="225">
        <v>0</v>
      </c>
      <c r="E119" s="225">
        <v>0</v>
      </c>
      <c r="O119" s="181"/>
      <c r="X119" s="231" t="s">
        <v>201</v>
      </c>
      <c r="Y119" s="225">
        <f>'Hors chauffage - AMS'!E11</f>
        <v>0</v>
      </c>
      <c r="Z119" s="225">
        <f>'Hors chauffage - AMS'!F11</f>
        <v>0.10237102088032506</v>
      </c>
      <c r="AA119" s="225">
        <f>'Hors chauffage - AMS'!G11</f>
        <v>0.18111913431789947</v>
      </c>
      <c r="AB119" s="225">
        <f>'Hors chauffage - AMS'!H11</f>
        <v>0.22945699217555426</v>
      </c>
    </row>
    <row r="120" spans="1:38">
      <c r="A120" s="231" t="s">
        <v>17</v>
      </c>
      <c r="B120" s="225">
        <f>'Hors chauffage - AME'!E5*1000</f>
        <v>158828.24117655741</v>
      </c>
      <c r="C120" s="225">
        <f>'Hors chauffage - AME'!F5*1000</f>
        <v>163798.85340304166</v>
      </c>
      <c r="D120" s="225">
        <f>'Hors chauffage - AME'!G5*1000</f>
        <v>185016.60117107874</v>
      </c>
      <c r="E120" s="225">
        <f>'Hors chauffage - AME'!H5*1000</f>
        <v>213980.16858048382</v>
      </c>
      <c r="O120" s="181"/>
      <c r="X120" s="231" t="s">
        <v>17</v>
      </c>
      <c r="Y120" s="225">
        <f>'Hors chauffage - AMS'!E5*1000</f>
        <v>151855.23907705076</v>
      </c>
      <c r="Z120" s="225">
        <f>'Hors chauffage - AMS'!F5*1000</f>
        <v>130305.86626704002</v>
      </c>
      <c r="AA120" s="225">
        <f>'Hors chauffage - AMS'!G5*1000</f>
        <v>123681.66990754718</v>
      </c>
      <c r="AB120" s="225">
        <f>'Hors chauffage - AMS'!H5*1000</f>
        <v>120626.19991206576</v>
      </c>
    </row>
    <row r="121" spans="1:38">
      <c r="B121" s="232"/>
      <c r="C121" s="232"/>
      <c r="D121" s="232"/>
      <c r="E121" s="232"/>
      <c r="O121" s="181"/>
      <c r="Y121" s="232"/>
      <c r="Z121" s="232"/>
      <c r="AA121" s="232"/>
      <c r="AB121" s="232"/>
    </row>
    <row r="122" spans="1:38">
      <c r="A122" s="478" t="s">
        <v>98</v>
      </c>
      <c r="B122" s="479"/>
      <c r="C122" s="479"/>
      <c r="D122" s="479"/>
      <c r="E122" s="479"/>
      <c r="O122" s="181"/>
      <c r="X122" s="478" t="s">
        <v>98</v>
      </c>
      <c r="Y122" s="479"/>
      <c r="Z122" s="479"/>
      <c r="AA122" s="479"/>
      <c r="AB122" s="479"/>
    </row>
    <row r="123" spans="1:38" ht="18.75">
      <c r="A123" s="8" t="s">
        <v>179</v>
      </c>
      <c r="B123" s="224">
        <f>B120/$B120-1</f>
        <v>0</v>
      </c>
      <c r="C123" s="224">
        <f t="shared" ref="C123:E123" si="21">C120/$B120-1</f>
        <v>3.1295518918192933E-2</v>
      </c>
      <c r="D123" s="224">
        <f t="shared" si="21"/>
        <v>0.16488478245760918</v>
      </c>
      <c r="E123" s="185">
        <f t="shared" si="21"/>
        <v>0.34724257471703757</v>
      </c>
      <c r="F123" t="s">
        <v>376</v>
      </c>
      <c r="O123" s="181"/>
      <c r="X123" s="8" t="s">
        <v>179</v>
      </c>
      <c r="Y123" s="224">
        <f>Y120/$B120-1</f>
        <v>-4.3902784843882325E-2</v>
      </c>
      <c r="Z123" s="224">
        <f t="shared" ref="Z123:AA123" si="22">Z120/$B120-1</f>
        <v>-0.17957999596439023</v>
      </c>
      <c r="AA123" s="224">
        <f t="shared" si="22"/>
        <v>-0.22128666167083233</v>
      </c>
      <c r="AB123" s="185">
        <f>AB120/$Y120-1</f>
        <v>-0.20565006090530413</v>
      </c>
    </row>
    <row r="124" spans="1:38">
      <c r="O124" s="181"/>
    </row>
    <row r="125" spans="1:38">
      <c r="O125" s="181"/>
    </row>
    <row r="126" spans="1:38">
      <c r="O126" s="181"/>
      <c r="AI126" s="16" t="s">
        <v>180</v>
      </c>
      <c r="AJ126" s="16">
        <v>2019</v>
      </c>
      <c r="AK126" s="16" t="s">
        <v>181</v>
      </c>
      <c r="AL126" s="16" t="s">
        <v>160</v>
      </c>
    </row>
    <row r="127" spans="1:38" ht="15" customHeight="1" thickBot="1">
      <c r="A127" s="483" t="s">
        <v>212</v>
      </c>
      <c r="B127" s="483"/>
      <c r="C127" s="483"/>
      <c r="D127" s="483"/>
      <c r="E127" s="483"/>
      <c r="F127" s="483"/>
      <c r="G127" s="483"/>
      <c r="H127" s="483"/>
      <c r="I127" s="483"/>
      <c r="J127" s="483"/>
      <c r="K127" s="483"/>
      <c r="L127" s="483"/>
      <c r="M127" s="483"/>
      <c r="N127" s="483"/>
      <c r="O127" s="181"/>
      <c r="P127" s="483" t="s">
        <v>217</v>
      </c>
      <c r="Q127" s="483"/>
      <c r="R127" s="483"/>
      <c r="S127" s="483"/>
      <c r="T127" s="483"/>
      <c r="U127" s="483"/>
      <c r="V127" s="483"/>
      <c r="W127" s="483"/>
      <c r="X127" s="483"/>
      <c r="Y127" s="483"/>
      <c r="Z127" s="483"/>
      <c r="AA127" s="483"/>
      <c r="AB127" s="483"/>
      <c r="AC127" s="483"/>
      <c r="AD127" s="230"/>
      <c r="AK127" s="226">
        <v>22.4</v>
      </c>
      <c r="AL127">
        <f>AK127/86000*1000000</f>
        <v>260.46511627906972</v>
      </c>
    </row>
    <row r="128" spans="1:38" ht="14.45" customHeight="1">
      <c r="A128" s="483"/>
      <c r="B128" s="483"/>
      <c r="C128" s="483"/>
      <c r="D128" s="483"/>
      <c r="E128" s="483"/>
      <c r="F128" s="483"/>
      <c r="G128" s="483"/>
      <c r="H128" s="483"/>
      <c r="I128" s="483"/>
      <c r="J128" s="483"/>
      <c r="K128" s="483"/>
      <c r="L128" s="483"/>
      <c r="M128" s="483"/>
      <c r="N128" s="483"/>
      <c r="O128" s="181"/>
      <c r="P128" s="483"/>
      <c r="Q128" s="483"/>
      <c r="R128" s="483"/>
      <c r="S128" s="483"/>
      <c r="T128" s="483"/>
      <c r="U128" s="483"/>
      <c r="V128" s="483"/>
      <c r="W128" s="483"/>
      <c r="X128" s="483"/>
      <c r="Y128" s="483"/>
      <c r="Z128" s="483"/>
      <c r="AA128" s="483"/>
      <c r="AB128" s="483"/>
      <c r="AC128" s="483"/>
      <c r="AD128" s="230"/>
      <c r="AI128" t="s">
        <v>182</v>
      </c>
      <c r="AJ128" s="157">
        <v>0.43</v>
      </c>
      <c r="AK128">
        <f>AK$127*AJ128</f>
        <v>9.6319999999999997</v>
      </c>
      <c r="AL128" s="107">
        <f>AK128/86000*1000000</f>
        <v>112</v>
      </c>
    </row>
    <row r="129" spans="1:38">
      <c r="O129" s="181"/>
    </row>
    <row r="130" spans="1:38">
      <c r="A130" s="481" t="s">
        <v>209</v>
      </c>
      <c r="B130" s="482"/>
      <c r="C130" s="482"/>
      <c r="D130" s="482"/>
      <c r="E130" s="482"/>
      <c r="O130" s="181"/>
      <c r="X130" s="481" t="s">
        <v>216</v>
      </c>
      <c r="Y130" s="482"/>
      <c r="Z130" s="482"/>
      <c r="AA130" s="482"/>
      <c r="AB130" s="482"/>
      <c r="AI130" t="s">
        <v>183</v>
      </c>
      <c r="AJ130" s="157">
        <v>0.3</v>
      </c>
      <c r="AK130">
        <f>AK$127*AJ130</f>
        <v>6.72</v>
      </c>
      <c r="AL130" s="107">
        <f>AK130/86000*1000000</f>
        <v>78.139534883720927</v>
      </c>
    </row>
    <row r="131" spans="1:38">
      <c r="A131" s="8" t="s">
        <v>20</v>
      </c>
      <c r="B131" s="9">
        <v>2020</v>
      </c>
      <c r="C131" s="9">
        <v>2030</v>
      </c>
      <c r="D131" s="9">
        <v>2040</v>
      </c>
      <c r="E131" s="9">
        <v>2050</v>
      </c>
      <c r="O131" s="181"/>
      <c r="X131" s="8" t="s">
        <v>20</v>
      </c>
      <c r="Y131" s="9">
        <v>2020</v>
      </c>
      <c r="Z131" s="9">
        <v>2030</v>
      </c>
      <c r="AA131" s="9">
        <v>2040</v>
      </c>
      <c r="AB131" s="9">
        <v>2050</v>
      </c>
      <c r="AI131" t="s">
        <v>174</v>
      </c>
      <c r="AJ131" s="157">
        <v>0.1</v>
      </c>
      <c r="AK131">
        <f>AK$127*AJ131</f>
        <v>2.2399999999999998</v>
      </c>
      <c r="AL131" s="107">
        <f>AK131/86000*1000000</f>
        <v>26.046511627906973</v>
      </c>
    </row>
    <row r="132" spans="1:38">
      <c r="A132" s="124" t="s">
        <v>15</v>
      </c>
      <c r="B132" s="249">
        <f>B35*'Init. énergie'!$M4*10^-6</f>
        <v>6.1222742263570664</v>
      </c>
      <c r="C132" s="249">
        <f>C35*'Init. énergie'!$M4*10^-6</f>
        <v>4.4618691743810457</v>
      </c>
      <c r="D132" s="249">
        <f>D35*'Init. énergie'!$M4*10^-6</f>
        <v>3.6654336221406592</v>
      </c>
      <c r="E132" s="249">
        <f>E35*'Init. énergie'!$M4*10^-6</f>
        <v>2.9145464716030243</v>
      </c>
      <c r="O132" s="181"/>
      <c r="X132" s="124" t="s">
        <v>15</v>
      </c>
      <c r="Y132" s="283">
        <f>Y35*'Init. énergie'!M4*10^-6</f>
        <v>6.1222742263570664</v>
      </c>
      <c r="Z132" s="283">
        <f>Z35*'Init. énergie'!N4*10^-6</f>
        <v>0.448596976205411</v>
      </c>
      <c r="AA132" s="283">
        <f>AA35*'Init. énergie'!O4*10^-6</f>
        <v>0</v>
      </c>
      <c r="AB132" s="283">
        <f>AB35*'Init. énergie'!P4*10^-6</f>
        <v>0</v>
      </c>
      <c r="AI132" t="s">
        <v>184</v>
      </c>
      <c r="AJ132" s="157">
        <v>0.09</v>
      </c>
      <c r="AK132">
        <f>AK$127*AJ132</f>
        <v>2.016</v>
      </c>
      <c r="AL132" s="107">
        <f>AK132/86000*1000000</f>
        <v>23.441860465116278</v>
      </c>
    </row>
    <row r="133" spans="1:38">
      <c r="A133" s="124" t="s">
        <v>16</v>
      </c>
      <c r="B133" s="249">
        <f>B36*'Init. énergie'!$M5*10^-6</f>
        <v>14.924105214138644</v>
      </c>
      <c r="C133" s="249">
        <f>C36*'Init. énergie'!$M5*10^-6</f>
        <v>12.129712419996673</v>
      </c>
      <c r="D133" s="249">
        <f>D36*'Init. énergie'!$M5*10^-6</f>
        <v>11.159936537700665</v>
      </c>
      <c r="E133" s="249">
        <f>E36*'Init. énergie'!$M5*10^-6</f>
        <v>10.048325325998642</v>
      </c>
      <c r="O133" s="181"/>
      <c r="X133" s="124" t="s">
        <v>16</v>
      </c>
      <c r="Y133" s="283">
        <f>Y36*'Init. énergie'!M5*10^-6</f>
        <v>14.951382258696302</v>
      </c>
      <c r="Z133" s="283">
        <f>Z36*'Init. énergie'!N5*10^-6</f>
        <v>10.502074793447575</v>
      </c>
      <c r="AA133" s="283">
        <f>AA36*'Init. énergie'!O5*10^-6</f>
        <v>5.3913464143153398</v>
      </c>
      <c r="AB133" s="283">
        <f>AB36*'Init. énergie'!P5*10^-6</f>
        <v>1.6058812040202335</v>
      </c>
      <c r="AI133" t="s">
        <v>185</v>
      </c>
      <c r="AJ133" s="157">
        <v>0.05</v>
      </c>
      <c r="AK133">
        <f>AK$127*AJ133</f>
        <v>1.1199999999999999</v>
      </c>
      <c r="AL133" s="107">
        <f>AK133/86000*1000000</f>
        <v>13.023255813953487</v>
      </c>
    </row>
    <row r="134" spans="1:38">
      <c r="A134" s="124" t="s">
        <v>21</v>
      </c>
      <c r="B134" s="249">
        <f>B37*'Init. énergie'!$M6*10^-6</f>
        <v>1.3434113209014595</v>
      </c>
      <c r="C134" s="249">
        <f>C37*'Init. énergie'!$M6*10^-6</f>
        <v>1.313094947256922</v>
      </c>
      <c r="D134" s="249">
        <f>D37*'Init. énergie'!$M6*10^-6</f>
        <v>1.2458307751643554</v>
      </c>
      <c r="E134" s="249">
        <f>E37*'Init. énergie'!$M6*10^-6</f>
        <v>1.1210131126474054</v>
      </c>
      <c r="O134" s="181"/>
      <c r="X134" s="124" t="s">
        <v>21</v>
      </c>
      <c r="Y134" s="283">
        <f>Y37*'Init. énergie'!M6*10^-6</f>
        <v>1.3434113209014593</v>
      </c>
      <c r="Z134" s="283">
        <f>Z37*'Init. énergie'!N6*10^-6</f>
        <v>2.1566618341517052</v>
      </c>
      <c r="AA134" s="283">
        <f>AA37*'Init. énergie'!O6*10^-6</f>
        <v>1.5418811442479088</v>
      </c>
      <c r="AB134" s="283">
        <f>AB37*'Init. énergie'!P6*10^-6</f>
        <v>0.93794165418472197</v>
      </c>
      <c r="AI134" t="s">
        <v>186</v>
      </c>
      <c r="AJ134" s="157">
        <v>0.04</v>
      </c>
      <c r="AK134">
        <f>AK$127*AJ134</f>
        <v>0.89599999999999991</v>
      </c>
      <c r="AL134" s="107">
        <f>AK134/86000*1000000</f>
        <v>10.41860465116279</v>
      </c>
    </row>
    <row r="135" spans="1:38">
      <c r="A135" s="124" t="s">
        <v>22</v>
      </c>
      <c r="B135" s="249">
        <f>B38*'Init. énergie'!$M7*10^-6</f>
        <v>0.34481092418623072</v>
      </c>
      <c r="C135" s="249">
        <f>C38*'Init. énergie'!$M7*10^-6</f>
        <v>0.29701700232998635</v>
      </c>
      <c r="D135" s="249">
        <f>D38*'Init. énergie'!$M7*10^-6</f>
        <v>0.28295246095858384</v>
      </c>
      <c r="E135" s="249">
        <f>E38*'Init. énergie'!$M7*10^-6</f>
        <v>0.26257537232669625</v>
      </c>
      <c r="O135" s="181"/>
      <c r="X135" s="124" t="s">
        <v>22</v>
      </c>
      <c r="Y135" s="283">
        <f>Y38*'Init. énergie'!M7*10^-6</f>
        <v>0.34481092418623083</v>
      </c>
      <c r="Z135" s="283">
        <f>Z38*'Init. énergie'!N7*10^-6</f>
        <v>0.20689645717329705</v>
      </c>
      <c r="AA135" s="283">
        <f>AA38*'Init. énergie'!O7*10^-6</f>
        <v>0.11346507517233954</v>
      </c>
      <c r="AB135" s="283">
        <f>AB38*'Init. énergie'!P7*10^-6</f>
        <v>1.1609808451329539E-2</v>
      </c>
    </row>
    <row r="136" spans="1:38">
      <c r="A136" s="124" t="s">
        <v>42</v>
      </c>
      <c r="B136" s="249">
        <f>B39*'Init. énergie'!$M8*10^-6</f>
        <v>0</v>
      </c>
      <c r="C136" s="249">
        <f>C39*'Init. énergie'!$M8*10^-6</f>
        <v>0</v>
      </c>
      <c r="D136" s="249">
        <f>D39*'Init. énergie'!$M8*10^-6</f>
        <v>0</v>
      </c>
      <c r="E136" s="249">
        <f>E39*'Init. énergie'!$M8*10^-6</f>
        <v>0</v>
      </c>
      <c r="O136" s="181"/>
      <c r="X136" s="124" t="s">
        <v>42</v>
      </c>
      <c r="Y136" s="283">
        <f>Y39*'Init. énergie'!M8*10^-6</f>
        <v>0</v>
      </c>
      <c r="Z136" s="283">
        <f>Z39*'Init. énergie'!N8*10^-6</f>
        <v>0</v>
      </c>
      <c r="AA136" s="283">
        <f>AA39*'Init. énergie'!O8*10^-6</f>
        <v>0</v>
      </c>
      <c r="AB136" s="283">
        <f>AB39*'Init. énergie'!P8*10^-6</f>
        <v>0</v>
      </c>
      <c r="AI136" t="s">
        <v>187</v>
      </c>
      <c r="AJ136" s="157">
        <f>SUM(AJ130:AJ134)</f>
        <v>0.58000000000000007</v>
      </c>
      <c r="AK136" s="107">
        <f t="shared" ref="AK136" si="23">SUM(AK130:AK134)</f>
        <v>12.991999999999997</v>
      </c>
      <c r="AL136" s="107">
        <f>SUM(AL130:AL134)</f>
        <v>151.06976744186045</v>
      </c>
    </row>
    <row r="137" spans="1:38">
      <c r="A137" s="124" t="s">
        <v>200</v>
      </c>
      <c r="B137" s="249">
        <f>B40*'Init. énergie'!$M9*10^-6</f>
        <v>12.068731428839392</v>
      </c>
      <c r="C137" s="249">
        <f>C40*'Init. énergie'!$M9*10^-6</f>
        <v>12.609531901296224</v>
      </c>
      <c r="D137" s="249">
        <f>D40*'Init. énergie'!$M9*10^-6</f>
        <v>14.361287755192077</v>
      </c>
      <c r="E137" s="249">
        <f>E40*'Init. énergie'!$M9*10^-6</f>
        <v>16.671340731540631</v>
      </c>
      <c r="O137" s="181"/>
      <c r="X137" s="124" t="s">
        <v>200</v>
      </c>
      <c r="Y137" s="283">
        <f>Y40*'Init. énergie'!M9*10^-6</f>
        <v>11.507363668852864</v>
      </c>
      <c r="Z137" s="283">
        <f>Z40*'Init. énergie'!N9*10^-6</f>
        <v>9.4689455564528568</v>
      </c>
      <c r="AA137" s="283">
        <f>AA40*'Init. énergie'!O9*10^-6</f>
        <v>6.3043132905395689</v>
      </c>
      <c r="AB137" s="283">
        <f>AB40*'Init. énergie'!P9*10^-6</f>
        <v>6.9385177871806825</v>
      </c>
    </row>
    <row r="138" spans="1:38">
      <c r="A138" s="12" t="s">
        <v>17</v>
      </c>
      <c r="B138" s="250">
        <f>SUM(B132:B137)</f>
        <v>34.803333114422792</v>
      </c>
      <c r="C138" s="250">
        <f t="shared" ref="C138:E138" si="24">SUM(C132:C137)</f>
        <v>30.811225445260852</v>
      </c>
      <c r="D138" s="250">
        <f t="shared" si="24"/>
        <v>30.715441151156337</v>
      </c>
      <c r="E138" s="250">
        <f t="shared" si="24"/>
        <v>31.017801014116401</v>
      </c>
      <c r="O138" s="181"/>
      <c r="X138" s="12" t="s">
        <v>17</v>
      </c>
      <c r="Y138" s="284">
        <f>SUM(Y132:Y137)</f>
        <v>34.269242398993924</v>
      </c>
      <c r="Z138" s="284">
        <f>SUM(Z132:Z137)</f>
        <v>22.783175617430846</v>
      </c>
      <c r="AA138" s="284">
        <f t="shared" ref="AA138:AB138" si="25">SUM(AA132:AA137)</f>
        <v>13.351005924275157</v>
      </c>
      <c r="AB138" s="284">
        <f t="shared" si="25"/>
        <v>9.4939504538369679</v>
      </c>
    </row>
    <row r="139" spans="1:38">
      <c r="A139" s="179" t="s">
        <v>210</v>
      </c>
      <c r="B139" s="252">
        <f>SUM(B132:B136)</f>
        <v>22.734601685583399</v>
      </c>
      <c r="C139" s="252">
        <f t="shared" ref="C139:E139" si="26">SUM(C132:C136)</f>
        <v>18.201693543964627</v>
      </c>
      <c r="D139" s="252">
        <f t="shared" si="26"/>
        <v>16.354153395964261</v>
      </c>
      <c r="E139" s="252">
        <f t="shared" si="26"/>
        <v>14.346460282575768</v>
      </c>
      <c r="O139" s="181"/>
      <c r="X139" s="179" t="s">
        <v>210</v>
      </c>
      <c r="Y139" s="281">
        <f>SUM(Y132:Y136)</f>
        <v>22.76187873014106</v>
      </c>
      <c r="Z139" s="284">
        <f>SUM(Z132:Z136)</f>
        <v>13.314230060977989</v>
      </c>
      <c r="AA139" s="281">
        <f t="shared" ref="AA139:AB139" si="27">SUM(AA132:AA136)</f>
        <v>7.0466926337355877</v>
      </c>
      <c r="AB139" s="281">
        <f t="shared" si="27"/>
        <v>2.555432666656285</v>
      </c>
    </row>
    <row r="140" spans="1:38" ht="18.75">
      <c r="A140" s="251"/>
      <c r="O140" s="181"/>
      <c r="X140" s="179" t="s">
        <v>288</v>
      </c>
      <c r="Y140" s="307">
        <f>Y132+Y133+Y135+Y136</f>
        <v>21.4184674092396</v>
      </c>
      <c r="Z140" s="288">
        <f t="shared" ref="Z140:AB140" si="28">Z132+Z133+Z135+Z136</f>
        <v>11.157568226826283</v>
      </c>
      <c r="AA140" s="307">
        <f t="shared" si="28"/>
        <v>5.504811489487679</v>
      </c>
      <c r="AB140" s="307">
        <f t="shared" si="28"/>
        <v>1.6174910124715631</v>
      </c>
    </row>
    <row r="141" spans="1:38">
      <c r="A141" s="308"/>
      <c r="O141" s="181"/>
      <c r="X141" s="308"/>
      <c r="Y141" s="307"/>
      <c r="Z141" s="307"/>
      <c r="AA141" s="307"/>
      <c r="AB141" s="307"/>
    </row>
    <row r="142" spans="1:38">
      <c r="A142" s="478" t="s">
        <v>98</v>
      </c>
      <c r="B142" s="479"/>
      <c r="C142" s="479"/>
      <c r="D142" s="479"/>
      <c r="E142" s="479"/>
      <c r="O142" s="181"/>
      <c r="X142" s="478" t="s">
        <v>98</v>
      </c>
      <c r="Y142" s="479"/>
      <c r="Z142" s="479"/>
      <c r="AA142" s="479"/>
      <c r="AB142" s="479"/>
    </row>
    <row r="143" spans="1:38" ht="18.75">
      <c r="A143" s="8" t="s">
        <v>179</v>
      </c>
      <c r="B143" s="224"/>
      <c r="C143" s="185">
        <f>C139/$B139-1</f>
        <v>-0.19938366215112568</v>
      </c>
      <c r="D143" s="224">
        <f t="shared" ref="D143:E143" si="29">D139/$B139-1</f>
        <v>-0.28064922261933212</v>
      </c>
      <c r="E143" s="224">
        <f t="shared" si="29"/>
        <v>-0.36895924190863527</v>
      </c>
      <c r="O143" s="181"/>
      <c r="X143" s="8" t="s">
        <v>290</v>
      </c>
      <c r="Y143" s="224"/>
      <c r="Z143" s="185">
        <f>Z140/$B139-1</f>
        <v>-0.50922526019439407</v>
      </c>
      <c r="AA143" s="224">
        <f t="shared" ref="AA143:AB143" si="30">AA139/$B139-1</f>
        <v>-0.69004547644201408</v>
      </c>
      <c r="AB143" s="224">
        <f t="shared" si="30"/>
        <v>-0.88759720966315625</v>
      </c>
    </row>
    <row r="144" spans="1:38">
      <c r="O144" s="181"/>
    </row>
    <row r="145" spans="1:30">
      <c r="O145" s="181"/>
    </row>
    <row r="146" spans="1:30">
      <c r="O146" s="181"/>
    </row>
    <row r="147" spans="1:30">
      <c r="O147" s="181"/>
    </row>
    <row r="148" spans="1:30">
      <c r="O148" s="181"/>
    </row>
    <row r="149" spans="1:30">
      <c r="A149" s="483" t="s">
        <v>224</v>
      </c>
      <c r="B149" s="483"/>
      <c r="C149" s="483"/>
      <c r="D149" s="483"/>
      <c r="E149" s="483"/>
      <c r="F149" s="483"/>
      <c r="G149" s="483"/>
      <c r="H149" s="483"/>
      <c r="I149" s="483"/>
      <c r="J149" s="483"/>
      <c r="K149" s="483"/>
      <c r="L149" s="483"/>
      <c r="M149" s="483"/>
      <c r="N149" s="483"/>
      <c r="O149" s="181"/>
      <c r="P149" s="483" t="s">
        <v>224</v>
      </c>
      <c r="Q149" s="483"/>
      <c r="R149" s="483"/>
      <c r="S149" s="483"/>
      <c r="T149" s="483"/>
      <c r="U149" s="483"/>
      <c r="V149" s="483"/>
      <c r="W149" s="483"/>
      <c r="X149" s="483"/>
      <c r="Y149" s="483"/>
      <c r="Z149" s="483"/>
      <c r="AA149" s="483"/>
      <c r="AB149" s="483"/>
      <c r="AC149" s="483"/>
    </row>
    <row r="150" spans="1:30">
      <c r="A150" s="483"/>
      <c r="B150" s="483"/>
      <c r="C150" s="483"/>
      <c r="D150" s="483"/>
      <c r="E150" s="483"/>
      <c r="F150" s="483"/>
      <c r="G150" s="483"/>
      <c r="H150" s="483"/>
      <c r="I150" s="483"/>
      <c r="J150" s="483"/>
      <c r="K150" s="483"/>
      <c r="L150" s="483"/>
      <c r="M150" s="483"/>
      <c r="N150" s="483"/>
      <c r="O150" s="181"/>
      <c r="P150" s="483"/>
      <c r="Q150" s="483"/>
      <c r="R150" s="483"/>
      <c r="S150" s="483"/>
      <c r="T150" s="483"/>
      <c r="U150" s="483"/>
      <c r="V150" s="483"/>
      <c r="W150" s="483"/>
      <c r="X150" s="483"/>
      <c r="Y150" s="483"/>
      <c r="Z150" s="483"/>
      <c r="AA150" s="483"/>
      <c r="AB150" s="483"/>
      <c r="AC150" s="483"/>
    </row>
    <row r="154" spans="1:30">
      <c r="X154" s="8" t="s">
        <v>278</v>
      </c>
      <c r="Y154" s="9">
        <v>2020</v>
      </c>
      <c r="Z154" s="9">
        <v>2030</v>
      </c>
      <c r="AA154" s="9">
        <v>2040</v>
      </c>
      <c r="AB154" s="9">
        <v>2050</v>
      </c>
      <c r="AD154" t="s">
        <v>292</v>
      </c>
    </row>
    <row r="155" spans="1:30">
      <c r="H155" s="8" t="s">
        <v>278</v>
      </c>
      <c r="I155" s="9">
        <v>2020</v>
      </c>
      <c r="J155" s="9">
        <v>2030</v>
      </c>
      <c r="K155" s="9">
        <v>2040</v>
      </c>
      <c r="L155" s="9">
        <v>2050</v>
      </c>
      <c r="M155" s="378">
        <v>2020</v>
      </c>
      <c r="N155" s="378">
        <v>2030</v>
      </c>
      <c r="O155" s="378">
        <v>2040</v>
      </c>
      <c r="P155" s="378">
        <v>2050</v>
      </c>
      <c r="X155" s="124" t="s">
        <v>15</v>
      </c>
      <c r="Y155" s="107">
        <f>'Bureaux - AMS'!H181+'CaHoREs - AMS'!H181+'Commerce - AMS'!H181+'Enseignement - AMS'!H181+'Santé social - AMS'!H181+'Sport Loisir Culture - AMS'!H181+'Transport - AMS'!H181</f>
        <v>141901.09343289433</v>
      </c>
      <c r="Z155" s="107">
        <f>'Bureaux - AMS'!I181+'CaHoREs - AMS'!I181+'Commerce - AMS'!I181+'Enseignement - AMS'!I181+'Santé social - AMS'!I181+'Sport Loisir Culture - AMS'!I181+'Transport - AMS'!I181</f>
        <v>12854.882597958662</v>
      </c>
      <c r="AA155" s="107">
        <f>'Bureaux - AMS'!J181+'CaHoREs - AMS'!J181+'Commerce - AMS'!J181+'Enseignement - AMS'!J181+'Santé social - AMS'!J181+'Sport Loisir Culture - AMS'!J181+'Transport - AMS'!J181</f>
        <v>0</v>
      </c>
      <c r="AB155" s="107">
        <f>'Bureaux - AMS'!K181+'CaHoREs - AMS'!K181+'Commerce - AMS'!K181+'Enseignement - AMS'!K181+'Santé social - AMS'!K181+'Sport Loisir Culture - AMS'!K181+'Transport - AMS'!K181</f>
        <v>0</v>
      </c>
      <c r="AD155" s="156">
        <f>Z155/Y155-1</f>
        <v>-0.90940955924319367</v>
      </c>
    </row>
    <row r="156" spans="1:30">
      <c r="H156" s="124" t="s">
        <v>15</v>
      </c>
      <c r="I156" s="107">
        <f>'Bureaux - AME'!H179+'CaHoREs - AME'!H179+'Commerce - AME'!H179+'Enseignement - AME'!H179+'Santé social - AME'!H179+'Sport Loisir Culture - AME'!H179+'Transport - AME'!H179</f>
        <v>141901.09343289433</v>
      </c>
      <c r="J156" s="107">
        <f>'Bureaux - AME'!I179+'CaHoREs - AME'!I179+'Commerce - AME'!I179+'Enseignement - AME'!I179+'Santé social - AME'!I179+'Sport Loisir Culture - AME'!I179+'Transport - AME'!I179</f>
        <v>119795.24600839353</v>
      </c>
      <c r="K156" s="107">
        <f>'Bureaux - AME'!J179+'CaHoREs - AME'!J179+'Commerce - AME'!J179+'Enseignement - AME'!J179+'Santé social - AME'!J179+'Sport Loisir Culture - AME'!J179+'Transport - AME'!J179</f>
        <v>106837.52312213337</v>
      </c>
      <c r="L156" s="107">
        <f>'Bureaux - AME'!K179+'CaHoREs - AME'!K179+'Commerce - AME'!K179+'Enseignement - AME'!K179+'Santé social - AME'!K179+'Sport Loisir Culture - AME'!K179+'Transport - AME'!K179</f>
        <v>89459.646012257595</v>
      </c>
      <c r="M156" s="379">
        <f>I156/$I$164</f>
        <v>0.14431462520428312</v>
      </c>
      <c r="N156" s="379">
        <f>J156/$J$164</f>
        <v>0.1195224482687106</v>
      </c>
      <c r="O156" s="379">
        <f>K156/$K$164</f>
        <v>0.10465905604111382</v>
      </c>
      <c r="P156" s="379">
        <f>L156/$L$164</f>
        <v>8.8623038339001689E-2</v>
      </c>
      <c r="X156" s="124" t="s">
        <v>16</v>
      </c>
      <c r="Y156" s="107">
        <f>'Bureaux - AMS'!H182+'CaHoREs - AMS'!H182+'Commerce - AMS'!H182+'Enseignement - AMS'!H182+'Santé social - AMS'!H182+'Sport Loisir Culture - AMS'!H182+'Transport - AMS'!H182</f>
        <v>454344.37842089933</v>
      </c>
      <c r="Z156" s="107">
        <f>'Bureaux - AMS'!I182+'CaHoREs - AMS'!I182+'Commerce - AMS'!I182+'Enseignement - AMS'!I182+'Santé social - AMS'!I182+'Sport Loisir Culture - AMS'!I182+'Transport - AMS'!I182</f>
        <v>375798.85805990337</v>
      </c>
      <c r="AA156" s="107">
        <f>'Bureaux - AMS'!J182+'CaHoREs - AMS'!J182+'Commerce - AMS'!J182+'Enseignement - AMS'!J182+'Santé social - AMS'!J182+'Sport Loisir Culture - AMS'!J182+'Transport - AMS'!J182</f>
        <v>221612.02081877773</v>
      </c>
      <c r="AB156" s="107">
        <f>'Bureaux - AMS'!K182+'CaHoREs - AMS'!K182+'Commerce - AMS'!K182+'Enseignement - AMS'!K182+'Santé social - AMS'!K182+'Sport Loisir Culture - AMS'!K182+'Transport - AMS'!K182</f>
        <v>65081.484843831073</v>
      </c>
      <c r="AD156" s="156">
        <f t="shared" ref="AD156:AD161" si="31">Z156/Y156-1</f>
        <v>-0.172876619787804</v>
      </c>
    </row>
    <row r="157" spans="1:30">
      <c r="H157" s="124" t="s">
        <v>16</v>
      </c>
      <c r="I157" s="107">
        <f>'Bureaux - AME'!H180+'CaHoREs - AME'!H180+'Commerce - AME'!H180+'Enseignement - AME'!H180+'Santé social - AME'!H180+'Sport Loisir Culture - AME'!H180+'Transport - AME'!H180</f>
        <v>454344.37842089933</v>
      </c>
      <c r="J157" s="107">
        <f>'Bureaux - AME'!I180+'CaHoREs - AME'!I180+'Commerce - AME'!I180+'Enseignement - AME'!I180+'Santé social - AME'!I180+'Sport Loisir Culture - AME'!I180+'Transport - AME'!I180</f>
        <v>425698.0135294536</v>
      </c>
      <c r="K157" s="107">
        <f>'Bureaux - AME'!J180+'CaHoREs - AME'!J180+'Commerce - AME'!J180+'Enseignement - AME'!J180+'Santé social - AME'!J180+'Sport Loisir Culture - AME'!J180+'Transport - AME'!J180</f>
        <v>424752.27544970828</v>
      </c>
      <c r="L157" s="107">
        <f>'Bureaux - AME'!K180+'CaHoREs - AME'!K180+'Commerce - AME'!K180+'Enseignement - AME'!K180+'Santé social - AME'!K180+'Sport Loisir Culture - AME'!K180+'Transport - AME'!K180</f>
        <v>411072.66227964632</v>
      </c>
      <c r="M157" s="379">
        <f t="shared" ref="M157:M160" si="32">I157/$I$164</f>
        <v>0.46207211727013742</v>
      </c>
      <c r="N157" s="379">
        <f t="shared" ref="N157:N160" si="33">J157/$J$164</f>
        <v>0.42472861399359713</v>
      </c>
      <c r="O157" s="379">
        <f t="shared" ref="O157:O160" si="34">K157/$K$164</f>
        <v>0.41609137783045563</v>
      </c>
      <c r="P157" s="379">
        <f>L157/$L$164</f>
        <v>0.40722839775526215</v>
      </c>
      <c r="X157" s="124" t="s">
        <v>21</v>
      </c>
      <c r="Y157" s="107">
        <f>'Bureaux - AMS'!H183+'CaHoREs - AMS'!H183+'Commerce - AMS'!H183+'Enseignement - AMS'!H183+'Santé social - AMS'!H183+'Sport Loisir Culture - AMS'!H183+'Transport - AMS'!H183</f>
        <v>71441.245547844053</v>
      </c>
      <c r="Z157" s="107">
        <f>'Bureaux - AMS'!I183+'CaHoREs - AMS'!I183+'Commerce - AMS'!I183+'Enseignement - AMS'!I183+'Santé social - AMS'!I183+'Sport Loisir Culture - AMS'!I183+'Transport - AMS'!I183</f>
        <v>187778.06218926172</v>
      </c>
      <c r="AA157" s="107">
        <f>'Bureaux - AMS'!J183+'CaHoREs - AMS'!J183+'Commerce - AMS'!J183+'Enseignement - AMS'!J183+'Santé social - AMS'!J183+'Sport Loisir Culture - AMS'!J183+'Transport - AMS'!J183</f>
        <v>227415.30910128169</v>
      </c>
      <c r="AB157" s="107">
        <f>'Bureaux - AMS'!K183+'CaHoREs - AMS'!K183+'Commerce - AMS'!K183+'Enseignement - AMS'!K183+'Santé social - AMS'!K183+'Sport Loisir Culture - AMS'!K183+'Transport - AMS'!K183</f>
        <v>236382.27092098337</v>
      </c>
      <c r="AD157" s="156">
        <f t="shared" si="31"/>
        <v>1.6284264887782105</v>
      </c>
    </row>
    <row r="158" spans="1:30">
      <c r="H158" s="124" t="s">
        <v>21</v>
      </c>
      <c r="I158" s="107">
        <f>'Bureaux - AME'!H181+'CaHoREs - AME'!H181+'Commerce - AME'!H181+'Enseignement - AME'!H181+'Santé social - AME'!H181+'Sport Loisir Culture - AME'!H181+'Transport - AME'!H181</f>
        <v>71441.245547844053</v>
      </c>
      <c r="J158" s="107">
        <f>'Bureaux - AME'!I181+'CaHoREs - AME'!I181+'Commerce - AME'!I181+'Enseignement - AME'!I181+'Santé social - AME'!I181+'Sport Loisir Culture - AME'!I181+'Transport - AME'!I181</f>
        <v>81560.511200861423</v>
      </c>
      <c r="K158" s="107">
        <f>'Bureaux - AME'!J181+'CaHoREs - AME'!J181+'Commerce - AME'!J181+'Enseignement - AME'!J181+'Santé social - AME'!J181+'Sport Loisir Culture - AME'!J181+'Transport - AME'!J181</f>
        <v>82050.115232573749</v>
      </c>
      <c r="L158" s="107">
        <f>'Bureaux - AME'!K181+'CaHoREs - AME'!K181+'Commerce - AME'!K181+'Enseignement - AME'!K181+'Santé social - AME'!K181+'Sport Loisir Culture - AME'!K181+'Transport - AME'!K181</f>
        <v>77571.216481423311</v>
      </c>
      <c r="M158" s="379">
        <f t="shared" si="32"/>
        <v>7.2656357508900593E-2</v>
      </c>
      <c r="N158" s="379">
        <f t="shared" si="33"/>
        <v>8.1374781601028887E-2</v>
      </c>
      <c r="O158" s="379">
        <f t="shared" si="34"/>
        <v>8.0377074995355902E-2</v>
      </c>
      <c r="P158" s="379">
        <f>L158/$L$164</f>
        <v>7.6845786884672362E-2</v>
      </c>
      <c r="X158" s="124" t="s">
        <v>22</v>
      </c>
      <c r="Y158" s="107">
        <f>'Bureaux - AMS'!H184+'CaHoREs - AMS'!H184+'Commerce - AMS'!H184+'Enseignement - AMS'!H184+'Santé social - AMS'!H184+'Sport Loisir Culture - AMS'!H184+'Transport - AMS'!H184</f>
        <v>14072.698497935504</v>
      </c>
      <c r="Z158" s="107">
        <f>'Bureaux - AMS'!I184+'CaHoREs - AMS'!I184+'Commerce - AMS'!I184+'Enseignement - AMS'!I184+'Santé social - AMS'!I184+'Sport Loisir Culture - AMS'!I184+'Transport - AMS'!I184</f>
        <v>10239.909292832006</v>
      </c>
      <c r="AA158" s="107">
        <f>'Bureaux - AMS'!J184+'CaHoREs - AMS'!J184+'Commerce - AMS'!J184+'Enseignement - AMS'!J184+'Santé social - AMS'!J184+'Sport Loisir Culture - AMS'!J184+'Transport - AMS'!J184</f>
        <v>6168.4832918836091</v>
      </c>
      <c r="AB158" s="107">
        <f>'Bureaux - AMS'!K184+'CaHoREs - AMS'!K184+'Commerce - AMS'!K184+'Enseignement - AMS'!K184+'Santé social - AMS'!K184+'Sport Loisir Culture - AMS'!K184+'Transport - AMS'!K184</f>
        <v>723.61470960254644</v>
      </c>
      <c r="AD158" s="156">
        <f t="shared" si="31"/>
        <v>-0.2723563789607073</v>
      </c>
    </row>
    <row r="159" spans="1:30">
      <c r="H159" s="124" t="s">
        <v>22</v>
      </c>
      <c r="I159" s="107">
        <f>'Bureaux - AME'!H182+'CaHoREs - AME'!H182+'Commerce - AME'!H182+'Enseignement - AME'!H182+'Santé social - AME'!H182+'Sport Loisir Culture - AME'!H182+'Transport - AME'!H182</f>
        <v>14072.698497935502</v>
      </c>
      <c r="J159" s="107">
        <f>'Bureaux - AME'!I182+'CaHoREs - AME'!I182+'Commerce - AME'!I182+'Enseignement - AME'!I182+'Santé social - AME'!I182+'Sport Loisir Culture - AME'!I182+'Transport - AME'!I182</f>
        <v>14397.688968434337</v>
      </c>
      <c r="K159" s="107">
        <f>'Bureaux - AME'!J182+'CaHoREs - AME'!J182+'Commerce - AME'!J182+'Enseignement - AME'!J182+'Santé social - AME'!J182+'Sport Loisir Culture - AME'!J182+'Transport - AME'!J182</f>
        <v>14836.842407550766</v>
      </c>
      <c r="L159" s="107">
        <f>'Bureaux - AME'!K182+'CaHoREs - AME'!K182+'Commerce - AME'!K182+'Enseignement - AME'!K182+'Santé social - AME'!K182+'Sport Loisir Culture - AME'!K182+'Transport - AME'!K182</f>
        <v>14844.114596695159</v>
      </c>
      <c r="M159" s="379">
        <f t="shared" si="32"/>
        <v>1.4312054686899648E-2</v>
      </c>
      <c r="N159" s="379">
        <f t="shared" si="33"/>
        <v>1.4364902550457687E-2</v>
      </c>
      <c r="O159" s="379">
        <f t="shared" si="34"/>
        <v>1.4534312249357422E-2</v>
      </c>
      <c r="P159" s="379">
        <f>L159/$L$164</f>
        <v>1.4705295579094937E-2</v>
      </c>
      <c r="X159" s="124" t="s">
        <v>42</v>
      </c>
      <c r="Y159" s="107">
        <f>'Bureaux - AMS'!H185+'CaHoREs - AMS'!H185+'Commerce - AMS'!H185+'Enseignement - AMS'!H185+'Santé social - AMS'!H185+'Sport Loisir Culture - AMS'!H185+'Transport - AMS'!H185</f>
        <v>12713.837338469146</v>
      </c>
      <c r="Z159" s="107">
        <f>'Bureaux - AMS'!I185+'CaHoREs - AMS'!I185+'Commerce - AMS'!I185+'Enseignement - AMS'!I185+'Santé social - AMS'!I185+'Sport Loisir Culture - AMS'!I185+'Transport - AMS'!I185</f>
        <v>21889.569103846479</v>
      </c>
      <c r="AA159" s="107">
        <f>'Bureaux - AMS'!J185+'CaHoREs - AMS'!J185+'Commerce - AMS'!J185+'Enseignement - AMS'!J185+'Santé social - AMS'!J185+'Sport Loisir Culture - AMS'!J185+'Transport - AMS'!J185</f>
        <v>32419.239495909082</v>
      </c>
      <c r="AB159" s="107">
        <f>'Bureaux - AMS'!K185+'CaHoREs - AMS'!K185+'Commerce - AMS'!K185+'Enseignement - AMS'!K185+'Santé social - AMS'!K185+'Sport Loisir Culture - AMS'!K185+'Transport - AMS'!K185</f>
        <v>45971.32954744211</v>
      </c>
      <c r="AD159" s="156">
        <f t="shared" si="31"/>
        <v>0.72171221961552723</v>
      </c>
    </row>
    <row r="160" spans="1:30">
      <c r="H160" s="124" t="s">
        <v>42</v>
      </c>
      <c r="I160" s="107">
        <f>'Bureaux - AME'!H183+'CaHoREs - AME'!H183+'Commerce - AME'!H183+'Enseignement - AME'!H183+'Santé social - AME'!H183+'Sport Loisir Culture - AME'!H183+'Transport - AME'!H183</f>
        <v>12713.837338469146</v>
      </c>
      <c r="J160" s="107">
        <f>'Bureaux - AME'!I183+'CaHoREs - AME'!I183+'Commerce - AME'!I183+'Enseignement - AME'!I183+'Santé social - AME'!I183+'Sport Loisir Culture - AME'!I183+'Transport - AME'!I183</f>
        <v>14667.798089274911</v>
      </c>
      <c r="K160" s="107">
        <f>'Bureaux - AME'!J183+'CaHoREs - AME'!J183+'Commerce - AME'!J183+'Enseignement - AME'!J183+'Santé social - AME'!J183+'Sport Loisir Culture - AME'!J183+'Transport - AME'!J183</f>
        <v>16053.693516742846</v>
      </c>
      <c r="L160" s="107">
        <f>'Bureaux - AME'!K183+'CaHoREs - AME'!K183+'Commerce - AME'!K183+'Enseignement - AME'!K183+'Santé social - AME'!K183+'Sport Loisir Culture - AME'!K183+'Transport - AME'!K183</f>
        <v>17005.877321405918</v>
      </c>
      <c r="M160" s="379">
        <f t="shared" si="32"/>
        <v>1.2930081270142411E-2</v>
      </c>
      <c r="N160" s="379">
        <f t="shared" si="33"/>
        <v>1.4634396578795943E-2</v>
      </c>
      <c r="O160" s="379">
        <f t="shared" si="34"/>
        <v>1.5726351195122175E-2</v>
      </c>
      <c r="P160" s="379">
        <f>L160/$L$164</f>
        <v>1.6846841956392428E-2</v>
      </c>
      <c r="X160" s="124" t="s">
        <v>46</v>
      </c>
      <c r="Y160" s="107">
        <f>'Bureaux - AMS'!H186+'CaHoREs - AMS'!H186+'Commerce - AMS'!H186+'Enseignement - AMS'!H186+'Santé social - AMS'!H186+'Sport Loisir Culture - AMS'!H186+'Transport - AMS'!H186</f>
        <v>230136.8893728843</v>
      </c>
      <c r="Z160" s="107">
        <f>'Bureaux - AMS'!I186+'CaHoREs - AMS'!I186+'Commerce - AMS'!I186+'Enseignement - AMS'!I186+'Santé social - AMS'!I186+'Sport Loisir Culture - AMS'!I186+'Transport - AMS'!I186</f>
        <v>154514.92716328381</v>
      </c>
      <c r="AA160" s="107">
        <f>'Bureaux - AMS'!J186+'CaHoREs - AMS'!J186+'Commerce - AMS'!J186+'Enseignement - AMS'!J186+'Santé social - AMS'!J186+'Sport Loisir Culture - AMS'!J186+'Transport - AMS'!J186</f>
        <v>108953.71079058354</v>
      </c>
      <c r="AB160" s="107">
        <f>'Bureaux - AMS'!K186+'CaHoREs - AMS'!K186+'Commerce - AMS'!K186+'Enseignement - AMS'!K186+'Santé social - AMS'!K186+'Sport Loisir Culture - AMS'!K186+'Transport - AMS'!K186</f>
        <v>101367.12962952405</v>
      </c>
      <c r="AD160" s="156">
        <f t="shared" si="31"/>
        <v>-0.32859556942682211</v>
      </c>
    </row>
    <row r="161" spans="8:30">
      <c r="H161" s="124" t="s">
        <v>46</v>
      </c>
      <c r="I161" s="107">
        <f>'Bureaux - AME'!H184+'CaHoREs - AME'!H184+'Commerce - AME'!H184+'Enseignement - AME'!H184+'Santé social - AME'!H184+'Sport Loisir Culture - AME'!H184+'Transport - AME'!H184</f>
        <v>230136.8893728843</v>
      </c>
      <c r="J161" s="107">
        <f>'Bureaux - AME'!I184+'CaHoREs - AME'!I184+'Commerce - AME'!I184+'Enseignement - AME'!I184+'Santé social - AME'!I184+'Sport Loisir Culture - AME'!I184+'Transport - AME'!I184</f>
        <v>197786.28475220225</v>
      </c>
      <c r="K161" s="107">
        <f>'Bureaux - AME'!J184+'CaHoREs - AME'!J184+'Commerce - AME'!J184+'Enseignement - AME'!J184+'Santé social - AME'!J184+'Sport Loisir Culture - AME'!J184+'Transport - AME'!J184</f>
        <v>172616.25557423016</v>
      </c>
      <c r="L161" s="107">
        <f>'Bureaux - AME'!K184+'CaHoREs - AME'!K184+'Commerce - AME'!K184+'Enseignement - AME'!K184+'Santé social - AME'!K184+'Sport Loisir Culture - AME'!K184+'Transport - AME'!K184</f>
        <v>139920.91422536096</v>
      </c>
      <c r="M161" s="379">
        <f>(I161+I162)/I164</f>
        <v>0.29371476405963681</v>
      </c>
      <c r="N161" s="379">
        <f>(J161+J162)/$J$164</f>
        <v>0.34537485700740989</v>
      </c>
      <c r="O161" s="379">
        <f t="shared" ref="O161" si="35">(K161+K162)/K164</f>
        <v>0.36861182768859518</v>
      </c>
      <c r="P161" s="379">
        <f>(L161+L162)/$L$164</f>
        <v>0.39575063948557637</v>
      </c>
      <c r="X161" s="124" t="s">
        <v>47</v>
      </c>
      <c r="Y161" s="107">
        <f>'Bureaux - AMS'!H187+'CaHoREs - AMS'!H187+'Commerce - AMS'!H187+'Enseignement - AMS'!H187+'Santé social - AMS'!H187+'Sport Loisir Culture - AMS'!H187+'Transport - AMS'!H187</f>
        <v>58665.760521050746</v>
      </c>
      <c r="Z161" s="107">
        <f>'Bureaux - AMS'!I187+'CaHoREs - AMS'!I187+'Commerce - AMS'!I187+'Enseignement - AMS'!I187+'Santé social - AMS'!I187+'Sport Loisir Culture - AMS'!I187+'Transport - AMS'!I187</f>
        <v>234717.75133310686</v>
      </c>
      <c r="AA161" s="107">
        <f>'Bureaux - AMS'!J187+'CaHoREs - AMS'!J187+'Commerce - AMS'!J187+'Enseignement - AMS'!J187+'Santé social - AMS'!J187+'Sport Loisir Culture - AMS'!J187+'Transport - AMS'!J187</f>
        <v>400220.52002304565</v>
      </c>
      <c r="AB161" s="107">
        <f>'Bureaux - AMS'!K187+'CaHoREs - AMS'!K187+'Commerce - AMS'!K187+'Enseignement - AMS'!K187+'Santé social - AMS'!K187+'Sport Loisir Culture - AMS'!K187+'Transport - AMS'!K187</f>
        <v>515623.3766493274</v>
      </c>
      <c r="AD161" s="156">
        <f t="shared" si="31"/>
        <v>3.0009325584193913</v>
      </c>
    </row>
    <row r="162" spans="8:30">
      <c r="H162" s="124" t="s">
        <v>47</v>
      </c>
      <c r="I162" s="107">
        <f>'Bureaux - AME'!H185+'CaHoREs - AME'!H185+'Commerce - AME'!H185+'Enseignement - AME'!H185+'Santé social - AME'!H185+'Sport Loisir Culture - AME'!H185+'Transport - AME'!H185</f>
        <v>58665.760521050746</v>
      </c>
      <c r="J162" s="107">
        <f>'Bureaux - AME'!I185+'CaHoREs - AME'!I185+'Commerce - AME'!I185+'Enseignement - AME'!I185+'Santé social - AME'!I185+'Sport Loisir Culture - AME'!I185+'Transport - AME'!I185</f>
        <v>148376.85497280321</v>
      </c>
      <c r="K162" s="107">
        <f>'Bureaux - AME'!J185+'CaHoREs - AME'!J185+'Commerce - AME'!J185+'Enseignement - AME'!J185+'Santé social - AME'!J185+'Sport Loisir Culture - AME'!J185+'Transport - AME'!J185</f>
        <v>203668.18796500482</v>
      </c>
      <c r="L162" s="107">
        <f>'Bureaux - AME'!K185+'CaHoREs - AME'!K185+'Commerce - AME'!K185+'Enseignement - AME'!K185+'Santé social - AME'!K185+'Sport Loisir Culture - AME'!K185+'Transport - AME'!K185</f>
        <v>259565.63894468066</v>
      </c>
      <c r="M162" s="156"/>
      <c r="X162" s="415" t="s">
        <v>419</v>
      </c>
      <c r="Y162" s="414"/>
      <c r="Z162" s="417">
        <f>Z161-Z163-Z164</f>
        <v>199080.07794454347</v>
      </c>
      <c r="AA162" s="417">
        <f t="shared" ref="AA162:AB162" si="36">AA161-AA163-AA164</f>
        <v>314211.88708725641</v>
      </c>
      <c r="AB162" s="417">
        <f t="shared" si="36"/>
        <v>373011.29277357034</v>
      </c>
      <c r="AD162" s="156"/>
    </row>
    <row r="163" spans="8:30">
      <c r="X163" s="415" t="s">
        <v>416</v>
      </c>
      <c r="Y163" s="414"/>
      <c r="Z163" s="416">
        <f>AG65*1000/(Z65*$AF$57)*Z161</f>
        <v>33290.495875232329</v>
      </c>
      <c r="AA163" s="416">
        <f t="shared" ref="AA163:AB163" si="37">AH65*1000/(AA65*$AF$57)*AA161</f>
        <v>78004.222535328314</v>
      </c>
      <c r="AB163" s="416">
        <f t="shared" si="37"/>
        <v>121987.14880978398</v>
      </c>
      <c r="AC163" s="156"/>
      <c r="AD163" s="156">
        <f>Z166/Y166-1</f>
        <v>1.476498769264234E-2</v>
      </c>
    </row>
    <row r="164" spans="8:30">
      <c r="H164" s="12" t="s">
        <v>17</v>
      </c>
      <c r="I164" s="254">
        <f>SUM(I156:I162)</f>
        <v>983275.90313197742</v>
      </c>
      <c r="J164" s="254">
        <f t="shared" ref="J164:L164" si="38">SUM(J156:J162)</f>
        <v>1002282.3975214232</v>
      </c>
      <c r="K164" s="254">
        <f t="shared" si="38"/>
        <v>1020814.8932679439</v>
      </c>
      <c r="L164" s="254">
        <f t="shared" si="38"/>
        <v>1009440.06986147</v>
      </c>
      <c r="X164" s="415" t="s">
        <v>415</v>
      </c>
      <c r="Y164" s="414"/>
      <c r="Z164" s="417">
        <f>Z161*AG55</f>
        <v>2347.1775133310689</v>
      </c>
      <c r="AA164" s="417">
        <f t="shared" ref="AA164:AB164" si="39">AA161*AH55</f>
        <v>8004.4104004609135</v>
      </c>
      <c r="AB164" s="417">
        <f t="shared" si="39"/>
        <v>20624.935065973095</v>
      </c>
    </row>
    <row r="166" spans="8:30">
      <c r="X166" s="12" t="s">
        <v>17</v>
      </c>
      <c r="Y166" s="254">
        <f>SUM(Y155:Y161)</f>
        <v>983275.90313197742</v>
      </c>
      <c r="Z166" s="254">
        <f>SUM(Z155:Z161)</f>
        <v>997793.95974019286</v>
      </c>
      <c r="AA166" s="254">
        <f>SUM(AA155:AA161)</f>
        <v>996789.28352148132</v>
      </c>
      <c r="AB166" s="254">
        <f>SUM(AB155:AB161)</f>
        <v>965149.20630071056</v>
      </c>
    </row>
    <row r="169" spans="8:30">
      <c r="X169" s="8" t="s">
        <v>407</v>
      </c>
      <c r="Y169" s="9">
        <v>2020</v>
      </c>
      <c r="Z169" s="9">
        <v>2030</v>
      </c>
      <c r="AA169" s="9">
        <v>2040</v>
      </c>
      <c r="AB169" s="9">
        <v>2050</v>
      </c>
    </row>
    <row r="170" spans="8:30">
      <c r="X170" s="124" t="s">
        <v>15</v>
      </c>
      <c r="Y170" s="397">
        <f t="shared" ref="Y170:AB175" si="40">Y155/(10^3)</f>
        <v>141.90109343289433</v>
      </c>
      <c r="Z170" s="397">
        <f t="shared" si="40"/>
        <v>12.854882597958662</v>
      </c>
      <c r="AA170" s="397">
        <f t="shared" si="40"/>
        <v>0</v>
      </c>
      <c r="AB170" s="397">
        <f t="shared" si="40"/>
        <v>0</v>
      </c>
    </row>
    <row r="171" spans="8:30">
      <c r="X171" s="124" t="s">
        <v>424</v>
      </c>
      <c r="Y171" s="397">
        <f t="shared" si="40"/>
        <v>454.34437842089932</v>
      </c>
      <c r="Z171" s="397">
        <f t="shared" si="40"/>
        <v>375.79885805990335</v>
      </c>
      <c r="AA171" s="397">
        <f t="shared" si="40"/>
        <v>221.61202081877772</v>
      </c>
      <c r="AB171" s="397">
        <f t="shared" si="40"/>
        <v>65.081484843831078</v>
      </c>
    </row>
    <row r="172" spans="8:30">
      <c r="X172" s="124" t="s">
        <v>21</v>
      </c>
      <c r="Y172" s="397">
        <f t="shared" si="40"/>
        <v>71.441245547844048</v>
      </c>
      <c r="Z172" s="397">
        <f t="shared" si="40"/>
        <v>187.77806218926173</v>
      </c>
      <c r="AA172" s="397">
        <f t="shared" si="40"/>
        <v>227.41530910128168</v>
      </c>
      <c r="AB172" s="397">
        <f t="shared" si="40"/>
        <v>236.38227092098336</v>
      </c>
    </row>
    <row r="173" spans="8:30">
      <c r="X173" s="124" t="s">
        <v>22</v>
      </c>
      <c r="Y173" s="397">
        <f t="shared" si="40"/>
        <v>14.072698497935503</v>
      </c>
      <c r="Z173" s="397">
        <f t="shared" si="40"/>
        <v>10.239909292832007</v>
      </c>
      <c r="AA173" s="397">
        <f t="shared" si="40"/>
        <v>6.168483291883609</v>
      </c>
      <c r="AB173" s="397">
        <f t="shared" si="40"/>
        <v>0.72361470960254648</v>
      </c>
    </row>
    <row r="174" spans="8:30">
      <c r="X174" s="124" t="s">
        <v>42</v>
      </c>
      <c r="Y174" s="397">
        <f t="shared" si="40"/>
        <v>12.713837338469146</v>
      </c>
      <c r="Z174" s="397">
        <f t="shared" si="40"/>
        <v>21.88956910384648</v>
      </c>
      <c r="AA174" s="397">
        <f t="shared" si="40"/>
        <v>32.419239495909082</v>
      </c>
      <c r="AB174" s="397">
        <f t="shared" si="40"/>
        <v>45.97132954744211</v>
      </c>
    </row>
    <row r="175" spans="8:30">
      <c r="X175" s="124" t="s">
        <v>46</v>
      </c>
      <c r="Y175" s="397">
        <f t="shared" si="40"/>
        <v>230.1368893728843</v>
      </c>
      <c r="Z175" s="397">
        <f t="shared" si="40"/>
        <v>154.5149271632838</v>
      </c>
      <c r="AA175" s="397">
        <f t="shared" si="40"/>
        <v>108.95371079058354</v>
      </c>
      <c r="AB175" s="397">
        <f t="shared" si="40"/>
        <v>101.36712962952404</v>
      </c>
    </row>
    <row r="176" spans="8:30">
      <c r="X176" s="124" t="s">
        <v>47</v>
      </c>
      <c r="Y176" s="397">
        <f>Y161/(10^3)</f>
        <v>58.66576052105075</v>
      </c>
      <c r="Z176" s="397">
        <f>Z161/(10^3)</f>
        <v>234.71775133310686</v>
      </c>
      <c r="AA176" s="397">
        <f t="shared" ref="AA176:AB176" si="41">AA161/(10^3)</f>
        <v>400.22052002304565</v>
      </c>
      <c r="AB176" s="397">
        <f t="shared" si="41"/>
        <v>515.62337664932738</v>
      </c>
    </row>
    <row r="177" spans="24:28">
      <c r="X177" s="415" t="s">
        <v>419</v>
      </c>
      <c r="Y177" s="418">
        <f>Y176</f>
        <v>58.66576052105075</v>
      </c>
      <c r="Z177" s="418">
        <f t="shared" ref="Z177:AB179" si="42">Z162/(10^3)</f>
        <v>199.08007794454346</v>
      </c>
      <c r="AA177" s="418">
        <f t="shared" si="42"/>
        <v>314.2118870872564</v>
      </c>
      <c r="AB177" s="418">
        <f t="shared" si="42"/>
        <v>373.01129277357035</v>
      </c>
    </row>
    <row r="178" spans="24:28">
      <c r="X178" s="415" t="s">
        <v>416</v>
      </c>
      <c r="Y178" s="413"/>
      <c r="Z178" s="418">
        <f t="shared" si="42"/>
        <v>33.290495875232331</v>
      </c>
      <c r="AA178" s="418">
        <f t="shared" si="42"/>
        <v>78.00422253532831</v>
      </c>
      <c r="AB178" s="418">
        <f t="shared" si="42"/>
        <v>121.98714880978397</v>
      </c>
    </row>
    <row r="179" spans="24:28">
      <c r="X179" s="415" t="s">
        <v>415</v>
      </c>
      <c r="Y179" s="413"/>
      <c r="Z179" s="418">
        <f t="shared" si="42"/>
        <v>2.3471775133310691</v>
      </c>
      <c r="AA179" s="418">
        <f t="shared" si="42"/>
        <v>8.0044104004609142</v>
      </c>
      <c r="AB179" s="418">
        <f t="shared" si="42"/>
        <v>20.624935065973094</v>
      </c>
    </row>
    <row r="181" spans="24:28">
      <c r="X181" s="12" t="s">
        <v>17</v>
      </c>
      <c r="Y181" s="254">
        <f>SUM(Y170:Y176)</f>
        <v>983.27590313197732</v>
      </c>
      <c r="Z181" s="254">
        <f>SUM(Z170:Z176)</f>
        <v>997.7939597401928</v>
      </c>
      <c r="AA181" s="254">
        <f t="shared" ref="AA181:AB181" si="43">SUM(AA170:AA176)</f>
        <v>996.78928352148125</v>
      </c>
      <c r="AB181" s="254">
        <f t="shared" si="43"/>
        <v>965.14920630071049</v>
      </c>
    </row>
    <row r="183" spans="24:28">
      <c r="Y183" s="156">
        <f>Y170/Y$181</f>
        <v>0.14431462520428315</v>
      </c>
      <c r="Z183" s="156">
        <f t="shared" ref="Z183:AB183" si="44">Z170/Z$181</f>
        <v>1.2883303684566137E-2</v>
      </c>
      <c r="AA183" s="156">
        <f t="shared" si="44"/>
        <v>0</v>
      </c>
      <c r="AB183" s="156">
        <f t="shared" si="44"/>
        <v>0</v>
      </c>
    </row>
    <row r="184" spans="24:28">
      <c r="Y184" s="156">
        <f t="shared" ref="Y184:AB192" si="45">Y171/Y$181</f>
        <v>0.46207211727013742</v>
      </c>
      <c r="Z184" s="156">
        <f t="shared" si="45"/>
        <v>0.37662971838169323</v>
      </c>
      <c r="AA184" s="156">
        <f t="shared" si="45"/>
        <v>0.22232584607637576</v>
      </c>
      <c r="AB184" s="156">
        <f t="shared" si="45"/>
        <v>6.7431527083029796E-2</v>
      </c>
    </row>
    <row r="185" spans="24:28">
      <c r="Y185" s="156">
        <f t="shared" si="45"/>
        <v>7.2656357508900593E-2</v>
      </c>
      <c r="Z185" s="156">
        <f t="shared" si="45"/>
        <v>0.18819322401806851</v>
      </c>
      <c r="AA185" s="156">
        <f t="shared" si="45"/>
        <v>0.22814782708925541</v>
      </c>
      <c r="AB185" s="156">
        <f t="shared" si="45"/>
        <v>0.24491785247071321</v>
      </c>
    </row>
    <row r="186" spans="24:28">
      <c r="Y186" s="156">
        <f t="shared" si="45"/>
        <v>1.4312054686899651E-2</v>
      </c>
      <c r="Z186" s="156">
        <f t="shared" si="45"/>
        <v>1.0262548888849048E-2</v>
      </c>
      <c r="AA186" s="156">
        <f t="shared" si="45"/>
        <v>6.1883523367059507E-3</v>
      </c>
      <c r="AB186" s="156">
        <f t="shared" si="45"/>
        <v>7.4974387885171263E-4</v>
      </c>
    </row>
    <row r="187" spans="24:28">
      <c r="Y187" s="156">
        <f t="shared" si="45"/>
        <v>1.2930081270142413E-2</v>
      </c>
      <c r="Z187" s="156">
        <f t="shared" si="45"/>
        <v>2.1937965138159505E-2</v>
      </c>
      <c r="AA187" s="156">
        <f t="shared" si="45"/>
        <v>3.2523663759082173E-2</v>
      </c>
      <c r="AB187" s="156">
        <f t="shared" si="45"/>
        <v>4.7631318813019748E-2</v>
      </c>
    </row>
    <row r="188" spans="24:28">
      <c r="Y188" s="156">
        <f t="shared" si="45"/>
        <v>0.23405118404696107</v>
      </c>
      <c r="Z188" s="156">
        <f t="shared" si="45"/>
        <v>0.15485654694032888</v>
      </c>
      <c r="AA188" s="156">
        <f t="shared" si="45"/>
        <v>0.1093046570541662</v>
      </c>
      <c r="AB188" s="156">
        <f t="shared" si="45"/>
        <v>0.10502741852531887</v>
      </c>
    </row>
    <row r="189" spans="24:28">
      <c r="Y189" s="156"/>
      <c r="Z189" s="156"/>
      <c r="AA189" s="156"/>
      <c r="AB189" s="156"/>
    </row>
    <row r="190" spans="24:28">
      <c r="Y190" s="156">
        <f t="shared" si="45"/>
        <v>5.9663580012675764E-2</v>
      </c>
      <c r="Z190" s="156">
        <f t="shared" si="45"/>
        <v>0.19952022759927335</v>
      </c>
      <c r="AA190" s="156">
        <f t="shared" si="45"/>
        <v>0.31522398192043261</v>
      </c>
      <c r="AB190" s="156">
        <f t="shared" si="45"/>
        <v>0.38648044295997858</v>
      </c>
    </row>
    <row r="191" spans="24:28">
      <c r="Y191" s="156">
        <f t="shared" si="45"/>
        <v>0</v>
      </c>
      <c r="Z191" s="156">
        <f t="shared" si="45"/>
        <v>3.3364098419578089E-2</v>
      </c>
      <c r="AA191" s="156">
        <f t="shared" si="45"/>
        <v>7.8255478690293603E-2</v>
      </c>
      <c r="AB191" s="156">
        <f t="shared" si="45"/>
        <v>0.12639201069992548</v>
      </c>
    </row>
    <row r="192" spans="24:28">
      <c r="Y192" s="156">
        <f t="shared" si="45"/>
        <v>0</v>
      </c>
      <c r="Z192" s="156">
        <f t="shared" si="45"/>
        <v>2.3523669294833482E-3</v>
      </c>
      <c r="AA192" s="156">
        <f t="shared" si="45"/>
        <v>8.030193073688293E-3</v>
      </c>
      <c r="AB192" s="156">
        <f t="shared" si="45"/>
        <v>2.1369685569162668E-2</v>
      </c>
    </row>
  </sheetData>
  <mergeCells count="36">
    <mergeCell ref="A142:E142"/>
    <mergeCell ref="X142:AB142"/>
    <mergeCell ref="A149:N150"/>
    <mergeCell ref="P149:AC150"/>
    <mergeCell ref="AE62:AH63"/>
    <mergeCell ref="A122:E122"/>
    <mergeCell ref="X122:AB122"/>
    <mergeCell ref="A127:N128"/>
    <mergeCell ref="P127:AC128"/>
    <mergeCell ref="A130:E130"/>
    <mergeCell ref="X130:AB130"/>
    <mergeCell ref="A91:E91"/>
    <mergeCell ref="X91:AB91"/>
    <mergeCell ref="A106:N107"/>
    <mergeCell ref="P106:AC107"/>
    <mergeCell ref="AD37:AK37"/>
    <mergeCell ref="A112:E112"/>
    <mergeCell ref="X112:AB112"/>
    <mergeCell ref="A55:E55"/>
    <mergeCell ref="X55:AB55"/>
    <mergeCell ref="A67:E67"/>
    <mergeCell ref="A79:E79"/>
    <mergeCell ref="X79:AB79"/>
    <mergeCell ref="AE52:AH53"/>
    <mergeCell ref="A49:N50"/>
    <mergeCell ref="P49:AC50"/>
    <mergeCell ref="A27:E27"/>
    <mergeCell ref="X27:AB27"/>
    <mergeCell ref="A33:E33"/>
    <mergeCell ref="X33:AB33"/>
    <mergeCell ref="A1:N2"/>
    <mergeCell ref="P1:AC2"/>
    <mergeCell ref="A3:N4"/>
    <mergeCell ref="P3:AC4"/>
    <mergeCell ref="B7:F7"/>
    <mergeCell ref="Y7:AC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2:T50"/>
  <sheetViews>
    <sheetView zoomScaleNormal="100" workbookViewId="0">
      <selection activeCell="E17" sqref="E17"/>
    </sheetView>
  </sheetViews>
  <sheetFormatPr baseColWidth="10" defaultRowHeight="15"/>
  <cols>
    <col min="2" max="2" width="29.28515625" customWidth="1"/>
    <col min="3" max="3" width="11" bestFit="1" customWidth="1"/>
    <col min="4" max="6" width="12.42578125" bestFit="1" customWidth="1"/>
    <col min="8" max="8" width="22.85546875" customWidth="1"/>
    <col min="13" max="13" width="15.5703125" customWidth="1"/>
    <col min="18" max="18" width="11.42578125" bestFit="1" customWidth="1"/>
  </cols>
  <sheetData>
    <row r="2" spans="2:20">
      <c r="B2" s="16" t="s">
        <v>322</v>
      </c>
      <c r="H2" s="114" t="s">
        <v>54</v>
      </c>
      <c r="I2" s="109"/>
      <c r="J2" s="109"/>
      <c r="K2" s="110"/>
      <c r="M2" s="16" t="s">
        <v>118</v>
      </c>
    </row>
    <row r="3" spans="2:20">
      <c r="C3" t="s">
        <v>49</v>
      </c>
      <c r="D3">
        <v>2030</v>
      </c>
      <c r="E3">
        <v>2040</v>
      </c>
      <c r="F3">
        <v>2050</v>
      </c>
      <c r="I3" t="s">
        <v>5</v>
      </c>
      <c r="J3" t="s">
        <v>6</v>
      </c>
      <c r="K3" t="s">
        <v>7</v>
      </c>
      <c r="M3" t="s">
        <v>49</v>
      </c>
      <c r="N3">
        <v>2030</v>
      </c>
      <c r="O3">
        <v>2040</v>
      </c>
      <c r="P3">
        <v>2050</v>
      </c>
    </row>
    <row r="4" spans="2:20">
      <c r="B4" t="s">
        <v>50</v>
      </c>
      <c r="C4" s="340">
        <v>287333.79208712652</v>
      </c>
      <c r="D4" s="340">
        <v>275542.16930259287</v>
      </c>
      <c r="E4" s="340">
        <v>276002.30290954426</v>
      </c>
      <c r="F4" s="340">
        <v>269746.67371113005</v>
      </c>
      <c r="H4" t="s">
        <v>50</v>
      </c>
      <c r="I4" s="342">
        <v>2.16E-3</v>
      </c>
      <c r="J4" s="342">
        <v>2.16E-3</v>
      </c>
      <c r="K4" s="342">
        <v>2.16E-3</v>
      </c>
      <c r="M4" t="s">
        <v>50</v>
      </c>
      <c r="N4" s="187">
        <f>IF(D4&gt;C4,D4-C4,0)+C4*I4*10</f>
        <v>6206.4099090819327</v>
      </c>
      <c r="O4" s="187">
        <f t="shared" ref="O4:P11" si="0">IF(E4&gt;D4,E4-D4,0)+D4*J4*10</f>
        <v>6411.8444638873989</v>
      </c>
      <c r="P4" s="187">
        <f t="shared" si="0"/>
        <v>5961.6497428461562</v>
      </c>
      <c r="R4" s="116"/>
      <c r="S4" s="186"/>
      <c r="T4" s="115"/>
    </row>
    <row r="5" spans="2:20">
      <c r="B5" t="s">
        <v>39</v>
      </c>
      <c r="C5" s="340">
        <v>67243.869415029592</v>
      </c>
      <c r="D5" s="340">
        <v>69861.541094581538</v>
      </c>
      <c r="E5" s="340">
        <v>70897.601389922653</v>
      </c>
      <c r="F5" s="340">
        <v>70213.18201763797</v>
      </c>
      <c r="H5" t="s">
        <v>39</v>
      </c>
      <c r="I5" s="342">
        <v>2.8800000000000002E-3</v>
      </c>
      <c r="J5" s="342">
        <v>2.8800000000000002E-3</v>
      </c>
      <c r="K5" s="342">
        <v>2.8800000000000002E-3</v>
      </c>
      <c r="M5" s="344" t="s">
        <v>39</v>
      </c>
      <c r="N5" s="187">
        <f t="shared" ref="N5:N11" si="1">IF(D5&gt;C5,D5-C5,0)+C5*I5*10</f>
        <v>4554.2951187047984</v>
      </c>
      <c r="O5" s="187">
        <f t="shared" si="0"/>
        <v>3048.0726788650627</v>
      </c>
      <c r="P5" s="187">
        <f t="shared" si="0"/>
        <v>2041.8509200297726</v>
      </c>
      <c r="R5" s="115"/>
      <c r="S5" s="115"/>
      <c r="T5" s="115"/>
    </row>
    <row r="6" spans="2:20">
      <c r="B6" t="s">
        <v>3</v>
      </c>
      <c r="C6" s="340">
        <v>184229.64520786435</v>
      </c>
      <c r="D6" s="340">
        <v>188845.72076800707</v>
      </c>
      <c r="E6" s="340">
        <v>189052.81684560882</v>
      </c>
      <c r="F6" s="340">
        <v>184659.28455413607</v>
      </c>
      <c r="H6" t="s">
        <v>3</v>
      </c>
      <c r="I6" s="342">
        <v>4.64E-3</v>
      </c>
      <c r="J6" s="342">
        <v>4.64E-3</v>
      </c>
      <c r="K6" s="342">
        <v>4.64E-3</v>
      </c>
      <c r="M6" s="344" t="s">
        <v>3</v>
      </c>
      <c r="N6" s="187">
        <f t="shared" si="1"/>
        <v>13164.331097787628</v>
      </c>
      <c r="O6" s="187">
        <f t="shared" si="0"/>
        <v>8969.5375212372728</v>
      </c>
      <c r="P6" s="187">
        <f t="shared" si="0"/>
        <v>8772.0507016362499</v>
      </c>
      <c r="R6" s="115"/>
      <c r="S6" s="115"/>
      <c r="T6" s="115"/>
    </row>
    <row r="7" spans="2:20">
      <c r="B7" t="s">
        <v>51</v>
      </c>
      <c r="C7" s="340">
        <v>167106.71056882737</v>
      </c>
      <c r="D7" s="340">
        <v>169584.88458817467</v>
      </c>
      <c r="E7" s="340">
        <v>168013.17910700393</v>
      </c>
      <c r="F7" s="340">
        <v>162344.01055748833</v>
      </c>
      <c r="H7" t="s">
        <v>51</v>
      </c>
      <c r="I7" s="342">
        <v>2.0122074695686078E-3</v>
      </c>
      <c r="J7" s="342">
        <v>2.0122074695686078E-3</v>
      </c>
      <c r="K7" s="342">
        <v>2.0122074695686078E-3</v>
      </c>
      <c r="M7" s="344" t="s">
        <v>51</v>
      </c>
      <c r="N7" s="187">
        <f t="shared" si="1"/>
        <v>5840.7077315636325</v>
      </c>
      <c r="O7" s="187">
        <f t="shared" si="0"/>
        <v>3412.3997149425531</v>
      </c>
      <c r="P7" s="187">
        <f t="shared" si="0"/>
        <v>3380.7737398508161</v>
      </c>
      <c r="R7" s="115"/>
      <c r="S7" s="115"/>
      <c r="T7" s="115"/>
    </row>
    <row r="8" spans="2:20">
      <c r="C8" s="340">
        <v>0</v>
      </c>
      <c r="D8" s="340">
        <v>0</v>
      </c>
      <c r="E8" s="340">
        <v>0</v>
      </c>
      <c r="F8" s="340">
        <v>0</v>
      </c>
      <c r="I8" s="342">
        <v>2E-3</v>
      </c>
      <c r="J8" s="342">
        <v>2E-3</v>
      </c>
      <c r="K8" s="342">
        <v>2E-3</v>
      </c>
      <c r="M8" t="s">
        <v>1</v>
      </c>
      <c r="N8" s="187">
        <f t="shared" si="1"/>
        <v>0</v>
      </c>
      <c r="O8" s="187">
        <f t="shared" si="0"/>
        <v>0</v>
      </c>
      <c r="P8" s="187">
        <f t="shared" si="0"/>
        <v>0</v>
      </c>
      <c r="R8" s="115"/>
      <c r="S8" s="115"/>
      <c r="T8" s="115"/>
    </row>
    <row r="9" spans="2:20">
      <c r="B9" t="s">
        <v>52</v>
      </c>
      <c r="C9" s="340">
        <v>179200</v>
      </c>
      <c r="D9" s="340">
        <v>197026.5997265706</v>
      </c>
      <c r="E9" s="340">
        <v>210960.15652501237</v>
      </c>
      <c r="F9" s="340">
        <v>219828.9365343824</v>
      </c>
      <c r="H9" t="s">
        <v>52</v>
      </c>
      <c r="I9" s="342">
        <v>2.5858544720225763E-3</v>
      </c>
      <c r="J9" s="342">
        <v>2.5858544720225763E-3</v>
      </c>
      <c r="K9" s="342">
        <v>2.5858544720225763E-3</v>
      </c>
      <c r="M9" s="344" t="s">
        <v>52</v>
      </c>
      <c r="N9" s="187">
        <f t="shared" si="1"/>
        <v>22460.450940435054</v>
      </c>
      <c r="O9" s="187">
        <f t="shared" si="0"/>
        <v>19028.37793854532</v>
      </c>
      <c r="P9" s="187">
        <f t="shared" si="0"/>
        <v>14323.902651057895</v>
      </c>
      <c r="R9" s="115"/>
      <c r="S9" s="115"/>
      <c r="T9" s="115"/>
    </row>
    <row r="10" spans="2:20">
      <c r="B10" t="s">
        <v>44</v>
      </c>
      <c r="C10" s="340">
        <v>56508.434021496723</v>
      </c>
      <c r="D10" s="340">
        <v>58708.196299912575</v>
      </c>
      <c r="E10" s="340">
        <v>59578.850314187497</v>
      </c>
      <c r="F10" s="340">
        <v>59003.698002486381</v>
      </c>
      <c r="H10" t="s">
        <v>44</v>
      </c>
      <c r="I10" s="342">
        <v>2.0122074695686078E-3</v>
      </c>
      <c r="J10" s="342">
        <v>2.0122074695686078E-3</v>
      </c>
      <c r="K10" s="342">
        <v>2.0122074695686078E-3</v>
      </c>
      <c r="M10" s="344" t="s">
        <v>44</v>
      </c>
      <c r="N10" s="187">
        <f t="shared" si="1"/>
        <v>3336.8292087326572</v>
      </c>
      <c r="O10" s="187">
        <f t="shared" si="0"/>
        <v>2051.9847254707638</v>
      </c>
      <c r="P10" s="187">
        <f t="shared" si="0"/>
        <v>1198.8500763051807</v>
      </c>
      <c r="R10" s="115"/>
      <c r="S10" s="115"/>
      <c r="T10" s="115"/>
    </row>
    <row r="11" spans="2:20">
      <c r="B11" t="s">
        <v>4</v>
      </c>
      <c r="C11" s="340">
        <v>41814.604215450461</v>
      </c>
      <c r="D11" s="340">
        <v>43442.364577824766</v>
      </c>
      <c r="E11" s="340">
        <v>44086.623326910783</v>
      </c>
      <c r="F11" s="340">
        <v>43661.027277509813</v>
      </c>
      <c r="H11" t="s">
        <v>4</v>
      </c>
      <c r="I11" s="342">
        <v>2.5999999999999999E-3</v>
      </c>
      <c r="J11" s="342">
        <v>2.5999999999999999E-3</v>
      </c>
      <c r="K11" s="342">
        <v>2.5999999999999999E-3</v>
      </c>
      <c r="M11" s="344" t="s">
        <v>4</v>
      </c>
      <c r="N11" s="187">
        <f t="shared" si="1"/>
        <v>2714.940071976017</v>
      </c>
      <c r="O11" s="187">
        <f t="shared" si="0"/>
        <v>1773.7602281094607</v>
      </c>
      <c r="P11" s="187">
        <f t="shared" si="0"/>
        <v>1146.2522064996804</v>
      </c>
      <c r="R11" s="115"/>
      <c r="S11" s="115"/>
      <c r="T11" s="115"/>
    </row>
    <row r="12" spans="2:20" ht="30">
      <c r="B12" s="16" t="s">
        <v>53</v>
      </c>
      <c r="C12" s="341">
        <f>SUM(C4:C11)</f>
        <v>983437.0555157949</v>
      </c>
      <c r="D12" s="341">
        <f>SUM(D4:D11)</f>
        <v>1003011.4763576639</v>
      </c>
      <c r="E12" s="341">
        <f>SUM(E4:E11)</f>
        <v>1018591.5304181903</v>
      </c>
      <c r="F12" s="341">
        <f>SUM(F4:F11)</f>
        <v>1009456.812654771</v>
      </c>
      <c r="H12" s="343" t="s">
        <v>119</v>
      </c>
      <c r="I12" s="108">
        <f>SUMPRODUCT(C4:C11,I4:I11)</f>
        <v>2691.1920451879</v>
      </c>
      <c r="J12" s="108">
        <f>SUMPRODUCT(D4:D11,J4:J11)</f>
        <v>2754.4217729360867</v>
      </c>
      <c r="K12" s="108">
        <f>SUMPRODUCT(E4:E11,K4:K11)</f>
        <v>2795.6550028855713</v>
      </c>
      <c r="M12" s="345" t="s">
        <v>53</v>
      </c>
      <c r="N12" s="108">
        <f>SUM(N4:N11)</f>
        <v>58277.964078281715</v>
      </c>
      <c r="O12" s="108">
        <f>SUM(O4:O11)</f>
        <v>44695.977271057833</v>
      </c>
      <c r="P12" s="108">
        <f>SUM(P4:P11)</f>
        <v>36825.330038225744</v>
      </c>
      <c r="R12" s="116"/>
      <c r="S12" s="116"/>
      <c r="T12" s="116"/>
    </row>
    <row r="13" spans="2:20">
      <c r="D13" s="254">
        <f>(D12-C12)/10</f>
        <v>1957.4420841868966</v>
      </c>
      <c r="E13" s="254">
        <f>(E12-D12)/10</f>
        <v>1558.0054060526425</v>
      </c>
      <c r="F13" s="254">
        <f>(F12-E12)/10</f>
        <v>-913.47177634192633</v>
      </c>
      <c r="M13" s="344" t="s">
        <v>211</v>
      </c>
      <c r="N13" s="187">
        <f>N12/10</f>
        <v>5827.7964078281711</v>
      </c>
      <c r="O13" s="187">
        <f>O12/10</f>
        <v>4469.5977271057836</v>
      </c>
      <c r="P13" s="187">
        <f>P12/10</f>
        <v>3682.5330038225743</v>
      </c>
    </row>
    <row r="14" spans="2:20">
      <c r="C14" s="107"/>
      <c r="N14" s="346">
        <f>N13/D12</f>
        <v>5.8102988302698513E-3</v>
      </c>
      <c r="O14" s="346">
        <f>O13/E12</f>
        <v>4.3880177614188066E-3</v>
      </c>
      <c r="P14" s="346">
        <f>P13/F12</f>
        <v>3.6480342275742126E-3</v>
      </c>
    </row>
    <row r="15" spans="2:20">
      <c r="C15" s="186"/>
      <c r="N15" s="107"/>
      <c r="O15" s="107"/>
      <c r="P15" s="107"/>
    </row>
    <row r="16" spans="2:20">
      <c r="N16" s="107"/>
      <c r="O16" s="107"/>
      <c r="P16" s="107"/>
    </row>
    <row r="17" spans="2:16">
      <c r="B17" t="s">
        <v>399</v>
      </c>
      <c r="C17" s="118"/>
      <c r="D17" s="118"/>
      <c r="E17" s="118"/>
      <c r="F17" s="118"/>
      <c r="G17" s="118"/>
      <c r="N17" s="107"/>
      <c r="O17" s="107"/>
      <c r="P17" s="107"/>
    </row>
    <row r="18" spans="2:16">
      <c r="B18" s="16" t="s">
        <v>398</v>
      </c>
      <c r="C18" s="118"/>
      <c r="D18" s="118"/>
      <c r="E18" s="118"/>
      <c r="F18" s="118"/>
      <c r="G18" s="118"/>
      <c r="H18" s="114" t="s">
        <v>54</v>
      </c>
      <c r="M18" s="16" t="s">
        <v>55</v>
      </c>
      <c r="N18" s="107"/>
      <c r="O18" s="107"/>
      <c r="P18" s="107"/>
    </row>
    <row r="19" spans="2:16">
      <c r="C19" s="118" t="s">
        <v>49</v>
      </c>
      <c r="D19" s="118">
        <v>2030</v>
      </c>
      <c r="E19" s="118">
        <v>2040</v>
      </c>
      <c r="F19" s="118">
        <v>2050</v>
      </c>
      <c r="G19" s="118"/>
      <c r="I19" t="s">
        <v>5</v>
      </c>
      <c r="J19" t="s">
        <v>6</v>
      </c>
      <c r="K19" t="s">
        <v>7</v>
      </c>
      <c r="M19" t="s">
        <v>49</v>
      </c>
      <c r="N19" s="118">
        <v>2030</v>
      </c>
      <c r="O19" s="118">
        <v>2040</v>
      </c>
      <c r="P19" s="118">
        <v>2050</v>
      </c>
    </row>
    <row r="20" spans="2:16">
      <c r="B20" t="s">
        <v>50</v>
      </c>
      <c r="C20" s="315">
        <v>287333.79208712652</v>
      </c>
      <c r="D20" s="316">
        <v>274114.5318987302</v>
      </c>
      <c r="E20" s="316">
        <v>260363.23380433657</v>
      </c>
      <c r="F20" s="316">
        <v>238873.30956649425</v>
      </c>
      <c r="G20" s="118"/>
      <c r="H20" t="s">
        <v>50</v>
      </c>
      <c r="I20" s="113">
        <v>2.16E-3</v>
      </c>
      <c r="J20" s="113">
        <v>2.16E-3</v>
      </c>
      <c r="K20" s="113">
        <v>2.16E-3</v>
      </c>
      <c r="M20" s="111" t="s">
        <v>50</v>
      </c>
      <c r="N20" s="107">
        <f>IF(D20&gt;C20,D20-C20,0)+C20*I20*10</f>
        <v>6206.4099090819327</v>
      </c>
      <c r="O20" s="107">
        <f t="shared" ref="O20:P20" si="2">IF(E20&gt;D20,E20-D20,0)+D20*J20*10</f>
        <v>5920.8738890125724</v>
      </c>
      <c r="P20" s="107">
        <f t="shared" si="2"/>
        <v>5623.8458501736704</v>
      </c>
    </row>
    <row r="21" spans="2:16">
      <c r="B21" t="s">
        <v>39</v>
      </c>
      <c r="C21" s="315">
        <v>67243.869415029592</v>
      </c>
      <c r="D21" s="316">
        <v>69499.574904758236</v>
      </c>
      <c r="E21" s="316">
        <v>70400.361355721587</v>
      </c>
      <c r="F21" s="316">
        <v>68894.249503047919</v>
      </c>
      <c r="G21" s="118"/>
      <c r="H21" t="s">
        <v>39</v>
      </c>
      <c r="I21" s="113">
        <v>2.8800000000000002E-3</v>
      </c>
      <c r="J21" s="113">
        <v>2.8800000000000002E-3</v>
      </c>
      <c r="K21" s="113">
        <v>2.8800000000000002E-3</v>
      </c>
      <c r="M21" s="112" t="s">
        <v>39</v>
      </c>
      <c r="N21" s="107">
        <f t="shared" ref="N21:N27" si="3">IF(D21&gt;C21,D21-C21,0)+C21*I21*10</f>
        <v>4192.3289288814958</v>
      </c>
      <c r="O21" s="107">
        <f t="shared" ref="O21:O27" si="4">IF(E21&gt;D21,E21-D21,0)+D21*J21*10</f>
        <v>2902.374208220388</v>
      </c>
      <c r="P21" s="107">
        <f t="shared" ref="P21:P27" si="5">IF(F21&gt;E21,F21-E21,0)+E21*K21*10</f>
        <v>2027.5304070447819</v>
      </c>
    </row>
    <row r="22" spans="2:16">
      <c r="B22" t="s">
        <v>3</v>
      </c>
      <c r="C22" s="315">
        <v>184229.64520786435</v>
      </c>
      <c r="D22" s="316">
        <v>187867.27447352451</v>
      </c>
      <c r="E22" s="316">
        <v>187726.8956963571</v>
      </c>
      <c r="F22" s="316">
        <v>181190.51804162841</v>
      </c>
      <c r="G22" s="118"/>
      <c r="H22" t="s">
        <v>3</v>
      </c>
      <c r="I22" s="113">
        <v>4.64E-3</v>
      </c>
      <c r="J22" s="113">
        <v>4.64E-3</v>
      </c>
      <c r="K22" s="113">
        <v>4.64E-3</v>
      </c>
      <c r="M22" s="112" t="s">
        <v>3</v>
      </c>
      <c r="N22" s="107">
        <f t="shared" si="3"/>
        <v>12185.884803305064</v>
      </c>
      <c r="O22" s="107">
        <f t="shared" si="4"/>
        <v>8717.0415355715377</v>
      </c>
      <c r="P22" s="107">
        <f t="shared" si="5"/>
        <v>8710.5279603109702</v>
      </c>
    </row>
    <row r="23" spans="2:16">
      <c r="B23" t="s">
        <v>51</v>
      </c>
      <c r="C23" s="315">
        <v>167106.71056882737</v>
      </c>
      <c r="D23" s="316">
        <v>168706.2324204118</v>
      </c>
      <c r="E23" s="316">
        <v>166834.81937003729</v>
      </c>
      <c r="F23" s="316">
        <v>159294.42944009311</v>
      </c>
      <c r="G23" s="118"/>
      <c r="H23" t="s">
        <v>51</v>
      </c>
      <c r="I23" s="113">
        <v>2.0122074695686078E-3</v>
      </c>
      <c r="J23" s="113">
        <v>2.0122074695686078E-3</v>
      </c>
      <c r="K23" s="113">
        <v>2.0122074695686078E-3</v>
      </c>
      <c r="M23" s="112" t="s">
        <v>51</v>
      </c>
      <c r="N23" s="107">
        <f t="shared" si="3"/>
        <v>4962.05556380077</v>
      </c>
      <c r="O23" s="107">
        <f t="shared" si="4"/>
        <v>3394.7194103913025</v>
      </c>
      <c r="P23" s="107">
        <f t="shared" si="5"/>
        <v>3357.062697205185</v>
      </c>
    </row>
    <row r="24" spans="2:16">
      <c r="C24" s="315">
        <v>0</v>
      </c>
      <c r="D24" s="316">
        <v>0</v>
      </c>
      <c r="E24" s="316">
        <v>0</v>
      </c>
      <c r="F24" s="316">
        <v>0</v>
      </c>
      <c r="G24" s="118"/>
      <c r="I24" s="113">
        <v>2E-3</v>
      </c>
      <c r="J24" s="113">
        <v>2E-3</v>
      </c>
      <c r="K24" s="113">
        <v>2E-3</v>
      </c>
      <c r="M24" t="s">
        <v>1</v>
      </c>
      <c r="N24" s="107">
        <f t="shared" si="3"/>
        <v>0</v>
      </c>
      <c r="O24" s="107">
        <f t="shared" si="4"/>
        <v>0</v>
      </c>
      <c r="P24" s="107">
        <f t="shared" si="5"/>
        <v>0</v>
      </c>
    </row>
    <row r="25" spans="2:16">
      <c r="B25" t="s">
        <v>52</v>
      </c>
      <c r="C25" s="315">
        <v>179200</v>
      </c>
      <c r="D25" s="316">
        <v>196005.76671201803</v>
      </c>
      <c r="E25" s="316">
        <v>209480.58833950156</v>
      </c>
      <c r="F25" s="316">
        <v>215699.51918408886</v>
      </c>
      <c r="G25" s="118"/>
      <c r="H25" t="s">
        <v>52</v>
      </c>
      <c r="I25" s="113">
        <v>2.5858544720225763E-3</v>
      </c>
      <c r="J25" s="113">
        <v>2.5858544720225763E-3</v>
      </c>
      <c r="K25" s="113">
        <v>2.5858544720225763E-3</v>
      </c>
      <c r="M25" s="112" t="s">
        <v>52</v>
      </c>
      <c r="N25" s="107">
        <f t="shared" si="3"/>
        <v>21439.617925882485</v>
      </c>
      <c r="O25" s="107">
        <f t="shared" si="4"/>
        <v>18543.245511428384</v>
      </c>
      <c r="P25" s="107">
        <f t="shared" si="5"/>
        <v>11635.794006183507</v>
      </c>
    </row>
    <row r="26" spans="2:16">
      <c r="B26" t="s">
        <v>44</v>
      </c>
      <c r="C26" s="315">
        <v>56508.434021496723</v>
      </c>
      <c r="D26" s="316">
        <v>58404.017751985768</v>
      </c>
      <c r="E26" s="316">
        <v>59160.994293855387</v>
      </c>
      <c r="F26" s="316">
        <v>57895.332115337398</v>
      </c>
      <c r="G26" s="118"/>
      <c r="H26" t="s">
        <v>44</v>
      </c>
      <c r="I26" s="113">
        <v>2.0122074695686078E-3</v>
      </c>
      <c r="J26" s="113">
        <v>2.0122074695686078E-3</v>
      </c>
      <c r="K26" s="113">
        <v>2.0122074695686078E-3</v>
      </c>
      <c r="M26" s="112" t="s">
        <v>44</v>
      </c>
      <c r="N26" s="107">
        <f t="shared" si="3"/>
        <v>3032.6506608058498</v>
      </c>
      <c r="O26" s="107">
        <f t="shared" si="4"/>
        <v>1932.1865496032522</v>
      </c>
      <c r="P26" s="107">
        <f t="shared" si="5"/>
        <v>1190.4419462520159</v>
      </c>
    </row>
    <row r="27" spans="2:16">
      <c r="B27" s="158" t="s">
        <v>4</v>
      </c>
      <c r="C27" s="315">
        <v>41814.604215450461</v>
      </c>
      <c r="D27" s="315">
        <v>43217.281263933044</v>
      </c>
      <c r="E27" s="315">
        <v>43777.42197649672</v>
      </c>
      <c r="F27" s="315">
        <v>42840.868628636097</v>
      </c>
      <c r="G27" s="118"/>
      <c r="H27" s="394" t="s">
        <v>4</v>
      </c>
      <c r="I27" s="113">
        <v>2.5999999999999999E-3</v>
      </c>
      <c r="J27" s="113">
        <v>2.5999999999999999E-3</v>
      </c>
      <c r="K27" s="113">
        <v>2.5999999999999999E-3</v>
      </c>
      <c r="M27" s="112" t="s">
        <v>4</v>
      </c>
      <c r="N27" s="107">
        <f t="shared" si="3"/>
        <v>2489.8567580842946</v>
      </c>
      <c r="O27" s="107">
        <f t="shared" si="4"/>
        <v>1683.7900254259353</v>
      </c>
      <c r="P27" s="107">
        <f t="shared" si="5"/>
        <v>1138.2129713889146</v>
      </c>
    </row>
    <row r="28" spans="2:16" ht="30">
      <c r="B28" s="16" t="s">
        <v>53</v>
      </c>
      <c r="C28" s="119">
        <v>983437.0555157949</v>
      </c>
      <c r="D28" s="119">
        <v>997814.67942536168</v>
      </c>
      <c r="E28" s="119">
        <v>997744.31483630615</v>
      </c>
      <c r="F28" s="119">
        <v>964688.22647932591</v>
      </c>
      <c r="G28" s="118"/>
      <c r="H28" s="253" t="s">
        <v>119</v>
      </c>
      <c r="I28" s="108">
        <v>2691.1920451879</v>
      </c>
      <c r="J28" s="108">
        <v>2754.4217729360867</v>
      </c>
      <c r="K28" s="108">
        <v>2795.6550028855713</v>
      </c>
      <c r="M28" s="117" t="s">
        <v>53</v>
      </c>
      <c r="N28" s="108">
        <f>SUM(N20:N27)</f>
        <v>54508.804549841887</v>
      </c>
      <c r="O28" s="108">
        <f>SUM(O20:O27)</f>
        <v>43094.231129653381</v>
      </c>
      <c r="P28" s="108">
        <f>SUM(P20:P27)</f>
        <v>33683.415838559042</v>
      </c>
    </row>
    <row r="29" spans="2:16">
      <c r="C29" s="118"/>
      <c r="D29" s="107"/>
      <c r="E29" s="107"/>
      <c r="F29" s="107"/>
      <c r="G29" s="118"/>
      <c r="M29" s="112" t="s">
        <v>211</v>
      </c>
      <c r="N29" s="107">
        <f>N28/10</f>
        <v>5450.8804549841889</v>
      </c>
      <c r="O29" s="107">
        <f t="shared" ref="O29:P29" si="6">O28/10</f>
        <v>4309.4231129653381</v>
      </c>
      <c r="P29" s="107">
        <f t="shared" si="6"/>
        <v>3368.341583855904</v>
      </c>
    </row>
    <row r="30" spans="2:16">
      <c r="C30" s="118"/>
      <c r="D30" s="118"/>
      <c r="E30" s="118"/>
      <c r="F30" s="118"/>
      <c r="G30" s="118"/>
      <c r="N30" s="186">
        <f>N29/D28</f>
        <v>5.4628184645703287E-3</v>
      </c>
      <c r="O30" s="186">
        <f t="shared" ref="O30:P30" si="7">O29/E28</f>
        <v>4.3191657911599915E-3</v>
      </c>
      <c r="P30" s="186">
        <f t="shared" si="7"/>
        <v>3.4916374963430636E-3</v>
      </c>
    </row>
    <row r="31" spans="2:16">
      <c r="C31" s="118"/>
      <c r="D31" s="118"/>
      <c r="E31" s="118"/>
      <c r="F31" s="118"/>
      <c r="G31" s="118"/>
    </row>
    <row r="34" spans="2:3">
      <c r="B34" t="s">
        <v>116</v>
      </c>
    </row>
    <row r="35" spans="2:3">
      <c r="B35" t="s">
        <v>117</v>
      </c>
    </row>
    <row r="41" spans="2:3">
      <c r="B41" s="16" t="s">
        <v>222</v>
      </c>
      <c r="C41" s="16">
        <v>2020</v>
      </c>
    </row>
    <row r="42" spans="2:3">
      <c r="B42" t="s">
        <v>50</v>
      </c>
      <c r="C42" s="107">
        <v>239113.67300849396</v>
      </c>
    </row>
    <row r="43" spans="2:3">
      <c r="B43" t="s">
        <v>39</v>
      </c>
      <c r="C43" s="107">
        <v>67389.90174661066</v>
      </c>
    </row>
    <row r="44" spans="2:3">
      <c r="B44" t="s">
        <v>3</v>
      </c>
      <c r="C44" s="107">
        <v>215959</v>
      </c>
    </row>
    <row r="45" spans="2:3">
      <c r="B45" t="s">
        <v>51</v>
      </c>
      <c r="C45" s="107">
        <v>190850</v>
      </c>
    </row>
    <row r="46" spans="2:3">
      <c r="B46" t="s">
        <v>221</v>
      </c>
      <c r="C46" s="107">
        <v>72592</v>
      </c>
    </row>
    <row r="47" spans="2:3">
      <c r="B47" t="s">
        <v>52</v>
      </c>
      <c r="C47" s="107">
        <v>118445.13907375958</v>
      </c>
    </row>
    <row r="48" spans="2:3">
      <c r="B48" t="s">
        <v>44</v>
      </c>
      <c r="C48" s="107">
        <v>74481</v>
      </c>
    </row>
    <row r="49" spans="2:3">
      <c r="B49" t="s">
        <v>4</v>
      </c>
      <c r="C49" s="107">
        <v>25839.303197908266</v>
      </c>
    </row>
    <row r="50" spans="2:3">
      <c r="C50" s="254">
        <f>SUM(C42:C49)</f>
        <v>1004670.0170267724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  <pageSetUpPr fitToPage="1"/>
  </sheetPr>
  <dimension ref="A1:GB1595"/>
  <sheetViews>
    <sheetView showGridLines="0" topLeftCell="A90" zoomScale="121" zoomScaleNormal="121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7" si="0">H34</f>
        <v>287333.79208712652</v>
      </c>
      <c r="I7" s="10">
        <f t="shared" si="0"/>
        <v>275542.16930259287</v>
      </c>
      <c r="J7" s="10">
        <f t="shared" si="0"/>
        <v>276002.30290954426</v>
      </c>
      <c r="K7" s="10">
        <f t="shared" si="0"/>
        <v>269746.67371113005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6206.4099090819327</v>
      </c>
      <c r="J8" s="76">
        <f t="shared" ref="J8:K8" si="1">J35</f>
        <v>6411.8444638873989</v>
      </c>
      <c r="K8" s="76">
        <f t="shared" si="1"/>
        <v>5961.6497428461562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>H36</f>
        <v>287333.79208712652</v>
      </c>
      <c r="I9" s="96">
        <f t="shared" ref="I9:K9" si="2">I36</f>
        <v>269335.75939351093</v>
      </c>
      <c r="J9" s="96">
        <f t="shared" si="2"/>
        <v>269590.45844565687</v>
      </c>
      <c r="K9" s="96">
        <f t="shared" si="2"/>
        <v>263785.0239682839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3705.16846907939</v>
      </c>
      <c r="I13" s="86">
        <f t="shared" ref="I13:K13" si="3">I133+I167</f>
        <v>2535.2488876939278</v>
      </c>
      <c r="J13" s="86">
        <f t="shared" si="3"/>
        <v>1849.6380122881747</v>
      </c>
      <c r="K13" s="86">
        <f t="shared" si="3"/>
        <v>1270.1720577734352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4" si="4">H134+H168</f>
        <v>17519.297184247305</v>
      </c>
      <c r="I14" s="86">
        <f t="shared" si="4"/>
        <v>14064.468612966739</v>
      </c>
      <c r="J14" s="86">
        <f t="shared" si="4"/>
        <v>12178.540690198633</v>
      </c>
      <c r="K14" s="86">
        <f t="shared" si="4"/>
        <v>10558.976644641007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ref="H15:J15" si="5">H135+H169</f>
        <v>2766.1150896935142</v>
      </c>
      <c r="I15" s="86">
        <f>I135+I169</f>
        <v>2535.3244043351169</v>
      </c>
      <c r="J15" s="86">
        <f t="shared" si="5"/>
        <v>2323.5713690795424</v>
      </c>
      <c r="K15" s="86">
        <f>K135+K169</f>
        <v>2055.4151584710185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ref="H16:K16" si="6">H136+H170</f>
        <v>394.01187233155542</v>
      </c>
      <c r="I16" s="86">
        <f t="shared" si="6"/>
        <v>302.77797812911427</v>
      </c>
      <c r="J16" s="86">
        <f t="shared" si="6"/>
        <v>255.44488197166822</v>
      </c>
      <c r="K16" s="86">
        <f t="shared" si="6"/>
        <v>212.45280019903859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ref="H17:K17" si="7">H137+H171</f>
        <v>411.65001129323497</v>
      </c>
      <c r="I17" s="86">
        <f t="shared" si="7"/>
        <v>427.87867337585004</v>
      </c>
      <c r="J17" s="86">
        <f t="shared" si="7"/>
        <v>464.91367483614022</v>
      </c>
      <c r="K17" s="86">
        <f t="shared" si="7"/>
        <v>489.59611720793072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ref="H18:K18" si="8">H138+H172</f>
        <v>6418.4622476422319</v>
      </c>
      <c r="I18" s="86">
        <f t="shared" si="8"/>
        <v>4703.0267969750648</v>
      </c>
      <c r="J18" s="86">
        <f t="shared" si="8"/>
        <v>3735.1156579025806</v>
      </c>
      <c r="K18" s="86">
        <f t="shared" si="8"/>
        <v>2905.3549191243555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ref="H19:K19" si="9">H139+H173</f>
        <v>1152.0826387608718</v>
      </c>
      <c r="I19" s="86">
        <f t="shared" si="9"/>
        <v>1595.5654718999112</v>
      </c>
      <c r="J19" s="86">
        <f t="shared" si="9"/>
        <v>2205.5392330518689</v>
      </c>
      <c r="K19" s="86">
        <f t="shared" si="9"/>
        <v>2444.3126962431202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32366.787513048101</v>
      </c>
      <c r="I20" s="13">
        <f t="shared" ref="I20:K20" si="10">SUM(I13:I19)</f>
        <v>26164.290825375723</v>
      </c>
      <c r="J20" s="13">
        <f t="shared" si="10"/>
        <v>23012.763519328611</v>
      </c>
      <c r="K20" s="13">
        <f t="shared" si="10"/>
        <v>19936.280393659905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-0.32041259699421187</v>
      </c>
      <c r="J23" s="177">
        <f t="shared" ref="J23:K23" si="11">J118/$G118-1</f>
        <v>-0.46050719450621191</v>
      </c>
      <c r="K23" s="177">
        <f t="shared" si="11"/>
        <v>-0.56392916588473696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-0.15599986982439595</v>
      </c>
      <c r="J24" s="177">
        <f t="shared" ref="J24:K24" si="12">J129/$G129-1</f>
        <v>-0.22698864069543323</v>
      </c>
      <c r="K24" s="177">
        <f t="shared" si="12"/>
        <v>-0.31365816772371424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287333.79208712652</v>
      </c>
      <c r="H34" s="125">
        <f>'Init. parc'!C4</f>
        <v>287333.79208712652</v>
      </c>
      <c r="I34" s="125">
        <f>'Init. parc'!D4</f>
        <v>275542.16930259287</v>
      </c>
      <c r="J34" s="125">
        <f>'Init. parc'!E4</f>
        <v>276002.30290954426</v>
      </c>
      <c r="K34" s="125">
        <f>'Init. parc'!F4</f>
        <v>269746.67371113005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115</v>
      </c>
      <c r="F35" s="55"/>
      <c r="G35" s="184"/>
      <c r="H35" s="125">
        <v>0</v>
      </c>
      <c r="I35" s="125">
        <f>'Init. parc'!N4</f>
        <v>6206.4099090819327</v>
      </c>
      <c r="J35" s="125">
        <f>'Init. parc'!O4</f>
        <v>6411.8444638873989</v>
      </c>
      <c r="K35" s="125">
        <f>'Init. parc'!P4</f>
        <v>5961.6497428461562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114</v>
      </c>
      <c r="F36" s="55"/>
      <c r="G36" s="184">
        <f>G34-G35</f>
        <v>287333.79208712652</v>
      </c>
      <c r="H36" s="125">
        <f>H34-H35</f>
        <v>287333.79208712652</v>
      </c>
      <c r="I36" s="125">
        <f>I34-I35</f>
        <v>269335.75939351093</v>
      </c>
      <c r="J36" s="125">
        <f>J34-J35</f>
        <v>269590.45844565687</v>
      </c>
      <c r="K36" s="125">
        <f>K34-K35</f>
        <v>263785.0239682839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0.09</v>
      </c>
      <c r="H45" s="55">
        <f>'Init. énergie'!B3</f>
        <v>0.09</v>
      </c>
      <c r="I45" s="311">
        <f>H45+((K45-H45)/3)</f>
        <v>7.3333333333333334E-2</v>
      </c>
      <c r="J45" s="311">
        <f>H45+((K45-H45)/3*2)</f>
        <v>5.6666666666666664E-2</v>
      </c>
      <c r="K45" s="311">
        <v>0.04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13">H46</f>
        <v>0.42499999999999999</v>
      </c>
      <c r="H46" s="55">
        <f>'Init. énergie'!B4</f>
        <v>0.42499999999999999</v>
      </c>
      <c r="I46" s="311">
        <f t="shared" ref="I46:I50" si="14">H46+((K46-H46)/3)</f>
        <v>0.39666666666666667</v>
      </c>
      <c r="J46" s="311">
        <f t="shared" ref="J46:J50" si="15">H46+((K46-H46)/3*2)</f>
        <v>0.36833333333333335</v>
      </c>
      <c r="K46" s="311">
        <v>0.34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13"/>
        <v>0.08</v>
      </c>
      <c r="H47" s="55">
        <f>'Init. énergie'!B5</f>
        <v>0.08</v>
      </c>
      <c r="I47" s="311">
        <v>0.1</v>
      </c>
      <c r="J47" s="311">
        <v>0.1</v>
      </c>
      <c r="K47" s="311">
        <v>0.09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13"/>
        <v>1.2999999999999999E-2</v>
      </c>
      <c r="H48" s="55">
        <f>'Init. énergie'!B6</f>
        <v>1.2999999999999999E-2</v>
      </c>
      <c r="I48" s="311">
        <f t="shared" si="14"/>
        <v>1.2E-2</v>
      </c>
      <c r="J48" s="311">
        <f t="shared" si="15"/>
        <v>1.0999999999999999E-2</v>
      </c>
      <c r="K48" s="311">
        <v>0.01</v>
      </c>
      <c r="L48" s="64"/>
      <c r="M48" s="494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13"/>
        <v>1.2E-2</v>
      </c>
      <c r="H49" s="55">
        <f>'Init. énergie'!B7</f>
        <v>1.2E-2</v>
      </c>
      <c r="I49" s="311">
        <f t="shared" si="14"/>
        <v>1.4666666666666666E-2</v>
      </c>
      <c r="J49" s="311">
        <f t="shared" si="15"/>
        <v>1.7333333333333333E-2</v>
      </c>
      <c r="K49" s="311">
        <v>0.02</v>
      </c>
      <c r="L49" s="64"/>
      <c r="M49" s="494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13"/>
        <v>0.30599999999999999</v>
      </c>
      <c r="H50" s="55">
        <f>'Init. énergie'!B8</f>
        <v>0.30599999999999999</v>
      </c>
      <c r="I50" s="311">
        <f t="shared" si="14"/>
        <v>0.27733333333333327</v>
      </c>
      <c r="J50" s="311">
        <f t="shared" si="15"/>
        <v>0.24866666666666656</v>
      </c>
      <c r="K50" s="311">
        <f>1-K45-K46-K47-K48-K49-K51</f>
        <v>0.21999999999999986</v>
      </c>
      <c r="L50" s="64"/>
      <c r="M50" s="494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13"/>
        <v>7.2999999999999995E-2</v>
      </c>
      <c r="H51" s="55">
        <f>'Init. énergie'!B9</f>
        <v>7.2999999999999995E-2</v>
      </c>
      <c r="I51" s="311">
        <v>0.13</v>
      </c>
      <c r="J51" s="311">
        <v>0.2</v>
      </c>
      <c r="K51" s="312">
        <v>0.28000000000000003</v>
      </c>
      <c r="L51" s="64"/>
      <c r="M51" s="495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I52" si="16">SUM(G45:G51)</f>
        <v>0.99899999999999989</v>
      </c>
      <c r="H52" s="149">
        <f t="shared" si="16"/>
        <v>0.99899999999999989</v>
      </c>
      <c r="I52" s="155">
        <f t="shared" si="16"/>
        <v>1.004</v>
      </c>
      <c r="J52" s="155">
        <f t="shared" ref="J52" si="17">SUM(J45:J51)</f>
        <v>1.002</v>
      </c>
      <c r="K52" s="155">
        <f>SUM(K45:K51)</f>
        <v>0.99999999999999989</v>
      </c>
      <c r="L52" s="63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-2.4813089055302266E-2</v>
      </c>
      <c r="J55" s="142">
        <f>(I$81*(J45-I45)+I$82*(J46-I46)+I$83*(J47-I47)+I$84*(J48-I48)+I$85*(J49-I49)+I$86*(J50-I50)+I$87*(J51-I51))/(I$81*I45+I$82*I46+I$83*I47+I$84*I48+I$85*I49+I$86*I50+I$87*I51)</f>
        <v>-4.0853406869973262E-2</v>
      </c>
      <c r="K55" s="142">
        <f>(J$81*(K45-J45)+J$82*(K46-J46)+J$83*(K47-J47)+J$84*(K48-J48)+J$85*(K49-J49)+J$86*(K50-J50)+J$87*(K51-J51))/(J$81*J45+J$82*J46+J$83*J47+J$84*J48+J$85*J49+J$86*J50+J$87*J51)</f>
        <v>-4.8801585861532798E-2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/>
      <c r="G58" s="4">
        <v>2010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0.09</v>
      </c>
      <c r="H59" s="55">
        <f>H45</f>
        <v>0.09</v>
      </c>
      <c r="I59" s="311">
        <f>H59+((K59-H59)/3)</f>
        <v>7.6666666666666661E-2</v>
      </c>
      <c r="J59" s="311">
        <f>H59+((K59-H59)/3*2)</f>
        <v>6.3333333333333339E-2</v>
      </c>
      <c r="K59" s="311">
        <v>0.05</v>
      </c>
      <c r="L59" s="64"/>
      <c r="M59" s="493" t="s">
        <v>385</v>
      </c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8">H60</f>
        <v>0.42499999999999999</v>
      </c>
      <c r="H60" s="55">
        <f t="shared" ref="H60:H65" si="19">H46</f>
        <v>0.42499999999999999</v>
      </c>
      <c r="I60" s="311">
        <f>H60</f>
        <v>0.42499999999999999</v>
      </c>
      <c r="J60" s="311">
        <v>0.41</v>
      </c>
      <c r="K60" s="311">
        <v>0.4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8"/>
        <v>0.08</v>
      </c>
      <c r="H61" s="55">
        <f t="shared" si="19"/>
        <v>0.08</v>
      </c>
      <c r="I61" s="311">
        <v>0.08</v>
      </c>
      <c r="J61" s="311">
        <v>0.08</v>
      </c>
      <c r="K61" s="311">
        <v>0.08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8"/>
        <v>1.2999999999999999E-2</v>
      </c>
      <c r="H62" s="55">
        <f t="shared" si="19"/>
        <v>1.2999999999999999E-2</v>
      </c>
      <c r="I62" s="311">
        <f t="shared" ref="I62:I64" si="20">H62+((K62-H62)/3)</f>
        <v>1.2E-2</v>
      </c>
      <c r="J62" s="311">
        <f t="shared" ref="J62:J64" si="21">H62+((K62-H62)/3*2)</f>
        <v>1.0999999999999999E-2</v>
      </c>
      <c r="K62" s="311">
        <v>0.01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8"/>
        <v>1.2E-2</v>
      </c>
      <c r="H63" s="55">
        <f t="shared" si="19"/>
        <v>1.2E-2</v>
      </c>
      <c r="I63" s="311">
        <f t="shared" si="20"/>
        <v>1.4666666666666666E-2</v>
      </c>
      <c r="J63" s="311">
        <f t="shared" si="21"/>
        <v>1.7333333333333333E-2</v>
      </c>
      <c r="K63" s="311">
        <v>0.02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8"/>
        <v>0.30599999999999999</v>
      </c>
      <c r="H64" s="55">
        <f t="shared" si="19"/>
        <v>0.30599999999999999</v>
      </c>
      <c r="I64" s="311">
        <f t="shared" si="20"/>
        <v>0.27733333333333332</v>
      </c>
      <c r="J64" s="311">
        <f t="shared" si="21"/>
        <v>0.24866666666666659</v>
      </c>
      <c r="K64" s="311">
        <f>1-K59-K60-K61-K62-K63-K65</f>
        <v>0.21999999999999989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8"/>
        <v>7.2999999999999995E-2</v>
      </c>
      <c r="H65" s="55">
        <f t="shared" si="19"/>
        <v>7.2999999999999995E-2</v>
      </c>
      <c r="I65" s="311">
        <v>0.11</v>
      </c>
      <c r="J65" s="311">
        <v>0.18</v>
      </c>
      <c r="K65" s="312">
        <v>0.22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22">SUM(G59:G65)</f>
        <v>0.99899999999999989</v>
      </c>
      <c r="H66" s="149">
        <v>1</v>
      </c>
      <c r="I66" s="47">
        <f t="shared" ref="I66:J66" si="23">SUM(I59:I65)</f>
        <v>0.9956666666666667</v>
      </c>
      <c r="J66" s="47">
        <f t="shared" si="23"/>
        <v>1.0103333333333333</v>
      </c>
      <c r="K66" s="47">
        <f>SUM(K59:K65)</f>
        <v>0.99999999999999989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-1.5605695341046333E-2</v>
      </c>
      <c r="J69" s="142">
        <f>(I$101*(J59-I59)+I$102*(J60-I60)+I$103*(J61-I61)+I$104*(J62-I62)+I$105*(J63-I63)+I$106*(J64-I64)+I$107*(J65-I65))/(I$101*I59+I$102*I60+I$103*I61+I$104*I62+I$105*I63+I$106*I64+I$107*I65)</f>
        <v>-1.9328269804650772E-2</v>
      </c>
      <c r="K69" s="142">
        <f>(J$101*(K59-J59)+J$102*(K60-J60)+J$103*(K61-J61)+J$104*(K62-J62)+J$105*(K63-J63)+J$106*(K64-J64)+J$107*(K65-J65))/(J$101*J59+J$102*J60+J$103*J61+J$104*J62+J$105*J63+J$106*J64+J$107*J65)</f>
        <v>-2.7801021001807764E-2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20" t="s">
        <v>84</v>
      </c>
      <c r="I72" s="121" t="s">
        <v>83</v>
      </c>
      <c r="J72" s="88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bord'!E12</f>
        <v>0.76</v>
      </c>
      <c r="I73" s="92">
        <f>'Tableau de bord'!E24</f>
        <v>0.47000000000000003</v>
      </c>
      <c r="J73" s="92">
        <f>'Tableau de bord'!E27</f>
        <v>0.35720000000000002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48.75" customHeight="1">
      <c r="A76" s="56"/>
      <c r="C76" s="40"/>
      <c r="D76" s="32"/>
      <c r="H76" s="291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bord'!F52</f>
        <v>0.27500000000000002</v>
      </c>
      <c r="I77" s="92">
        <f>'Tableau de bord'!U52</f>
        <v>0.42499999999999999</v>
      </c>
      <c r="J77" s="92">
        <f>'Tableau de bord'!AJ52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146.17507749392706</v>
      </c>
      <c r="H81" s="54">
        <f>'Init. énergie'!D3</f>
        <v>143.27774761989451</v>
      </c>
      <c r="I81" s="81">
        <f>G81*(1-H$77)/(1+I$55)</f>
        <v>108.67345530759181</v>
      </c>
      <c r="J81" s="81">
        <f>G81*(1-I$77)/(1+I$55)/(1+J$55)</f>
        <v>89.860395436779271</v>
      </c>
      <c r="K81" s="81">
        <f>G81*(1-J$77)/(1+I$55)/(1+J$55)/(1+K$55)</f>
        <v>78.041026430267834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24">H82/0.998^10</f>
        <v>146.36445916822422</v>
      </c>
      <c r="H82" s="54">
        <f>'Init. énergie'!D4</f>
        <v>143.46337556823548</v>
      </c>
      <c r="I82" s="81">
        <f t="shared" ref="I82:I87" si="25">G82*(1-H$77)/(1+I$55)</f>
        <v>108.81425058727046</v>
      </c>
      <c r="J82" s="81">
        <f t="shared" ref="J82:J87" si="26">G82*(1-I$77)/(1+I$55)/(1+J$55)</f>
        <v>89.976816870806061</v>
      </c>
      <c r="K82" s="81">
        <f t="shared" ref="K82:K87" si="27">G82*(1-J$77)/(1+I$55)/(1+J$55)/(1+K$55)</f>
        <v>78.142134912661803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24"/>
        <v>122.76883692018096</v>
      </c>
      <c r="H83" s="54">
        <f>'Init. énergie'!D5</f>
        <v>120.33544112585447</v>
      </c>
      <c r="I83" s="81">
        <f t="shared" si="25"/>
        <v>91.272150772518657</v>
      </c>
      <c r="J83" s="81">
        <f t="shared" si="26"/>
        <v>75.471526487949092</v>
      </c>
      <c r="K83" s="81">
        <f t="shared" si="27"/>
        <v>65.54473040932119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24"/>
        <v>107.61525484242637</v>
      </c>
      <c r="H84" s="54">
        <f>'Init. énergie'!D6</f>
        <v>105.48221754152573</v>
      </c>
      <c r="I84" s="81">
        <f t="shared" si="25"/>
        <v>80.006262271483294</v>
      </c>
      <c r="J84" s="81">
        <f t="shared" si="26"/>
        <v>66.155937940733907</v>
      </c>
      <c r="K84" s="81">
        <f t="shared" si="27"/>
        <v>57.454424457594158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24"/>
        <v>121.80209780605912</v>
      </c>
      <c r="H85" s="54">
        <f>'Init. énergie'!D7</f>
        <v>119.38786370580362</v>
      </c>
      <c r="I85" s="81">
        <f t="shared" si="25"/>
        <v>90.553431263599748</v>
      </c>
      <c r="J85" s="81">
        <f t="shared" si="26"/>
        <v>74.877228468282922</v>
      </c>
      <c r="K85" s="81">
        <f t="shared" si="27"/>
        <v>65.028600614490131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24"/>
        <v>74.476189319820151</v>
      </c>
      <c r="H86" s="54">
        <f>'Init. énergie'!D8</f>
        <v>73</v>
      </c>
      <c r="I86" s="81">
        <f t="shared" si="25"/>
        <v>55.369116064696279</v>
      </c>
      <c r="J86" s="81">
        <f t="shared" si="26"/>
        <v>45.78386369031697</v>
      </c>
      <c r="K86" s="81">
        <f t="shared" si="27"/>
        <v>39.761896205426581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24"/>
        <v>56.036197154038852</v>
      </c>
      <c r="H87" s="54">
        <f>'Init. énergie'!D9</f>
        <v>54.925506119527036</v>
      </c>
      <c r="I87" s="81">
        <f t="shared" si="25"/>
        <v>41.659955112935322</v>
      </c>
      <c r="J87" s="81">
        <f t="shared" si="26"/>
        <v>34.447971031480769</v>
      </c>
      <c r="K87" s="81">
        <f t="shared" si="27"/>
        <v>29.917017443221326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8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8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8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8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8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8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146.17507749392706</v>
      </c>
      <c r="H101" s="54">
        <f>H81</f>
        <v>143.27774761989451</v>
      </c>
      <c r="I101" s="81">
        <f>$H101*(1+$G91)^(I$100-$H$100)</f>
        <v>133.14691587291546</v>
      </c>
      <c r="J101" s="81">
        <f>$H101*(1+$G91)^(J$100-$H$100)</f>
        <v>123.73241135462705</v>
      </c>
      <c r="K101" s="81">
        <f>$H101*(1+$G91)^(K$100-$H$100)</f>
        <v>114.98358425547968</v>
      </c>
      <c r="L101" s="67"/>
      <c r="M101" s="79">
        <f>(K101-G101)/H101</f>
        <v>-0.21769949455930973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G107" si="29">G82</f>
        <v>146.36445916822422</v>
      </c>
      <c r="H102" s="54">
        <f t="shared" ref="H102:H107" si="30">H82</f>
        <v>143.46337556823548</v>
      </c>
      <c r="I102" s="81">
        <f t="shared" ref="I102:K102" si="31">$H102*(1+$G92)^(I$100-$H$100)</f>
        <v>134.70944283347063</v>
      </c>
      <c r="J102" s="81">
        <f t="shared" si="31"/>
        <v>126.48966272143102</v>
      </c>
      <c r="K102" s="81">
        <f t="shared" si="31"/>
        <v>118.77144199282533</v>
      </c>
      <c r="L102" s="67"/>
      <c r="M102" s="79">
        <f t="shared" ref="M102:M107" si="32">(K102-G102)/H102</f>
        <v>-0.19233492217862125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9"/>
        <v>122.76883692018096</v>
      </c>
      <c r="H103" s="54">
        <f t="shared" si="30"/>
        <v>120.33544112585447</v>
      </c>
      <c r="I103" s="81">
        <f t="shared" ref="I103:K103" si="33">$H103*(1+$G93)^(I$100-$H$100)</f>
        <v>115.54050530459669</v>
      </c>
      <c r="J103" s="81">
        <f t="shared" si="33"/>
        <v>110.9366304817852</v>
      </c>
      <c r="K103" s="81">
        <f t="shared" si="33"/>
        <v>106.51620356175239</v>
      </c>
      <c r="L103" s="67"/>
      <c r="M103" s="79">
        <f t="shared" si="32"/>
        <v>-0.13506106934390616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9"/>
        <v>107.61525484242637</v>
      </c>
      <c r="H104" s="54">
        <f t="shared" si="30"/>
        <v>105.48221754152573</v>
      </c>
      <c r="I104" s="81">
        <f t="shared" ref="I104:K104" si="34">$H104*(1+$G94)^(I$100-$H$100)</f>
        <v>101.27912941833024</v>
      </c>
      <c r="J104" s="81">
        <f t="shared" si="34"/>
        <v>97.243519285103957</v>
      </c>
      <c r="K104" s="81">
        <f t="shared" si="34"/>
        <v>93.368713744501363</v>
      </c>
      <c r="L104" s="67"/>
      <c r="M104" s="79">
        <f t="shared" si="32"/>
        <v>-0.13506106934390619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9"/>
        <v>121.80209780605912</v>
      </c>
      <c r="H105" s="54">
        <f t="shared" si="30"/>
        <v>119.38786370580362</v>
      </c>
      <c r="I105" s="81">
        <f t="shared" ref="I105" si="35">$H105*(1+$G95)^(I$100-$H$100)</f>
        <v>114.63068544684259</v>
      </c>
      <c r="J105" s="81">
        <f>$H105*(1+$G95)^(J$100-$H$100)</f>
        <v>110.06306368286415</v>
      </c>
      <c r="K105" s="81">
        <f>$H105*(1+$G95)^(K$100-$H$100)</f>
        <v>105.67744526726877</v>
      </c>
      <c r="L105" s="67"/>
      <c r="M105" s="79">
        <f t="shared" si="32"/>
        <v>-0.13506106934390613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9"/>
        <v>74.476189319820151</v>
      </c>
      <c r="H106" s="54">
        <f t="shared" si="30"/>
        <v>73</v>
      </c>
      <c r="I106" s="81">
        <f t="shared" ref="I106:K106" si="36">$H106*(1+$G96)^(I$100-$H$100)</f>
        <v>66.308216709212786</v>
      </c>
      <c r="J106" s="81">
        <f t="shared" si="36"/>
        <v>60.229857577478427</v>
      </c>
      <c r="K106" s="81">
        <f t="shared" si="36"/>
        <v>54.708691076883021</v>
      </c>
      <c r="L106" s="67"/>
      <c r="M106" s="79">
        <f t="shared" si="32"/>
        <v>-0.27078764716352233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9"/>
        <v>56.036197154038852</v>
      </c>
      <c r="H107" s="54">
        <f t="shared" si="30"/>
        <v>54.925506119527036</v>
      </c>
      <c r="I107" s="81">
        <f t="shared" ref="I107:K107" si="37">$H107*(1+$G97)^(I$100-$H$100)</f>
        <v>49.890580310093036</v>
      </c>
      <c r="J107" s="81">
        <f t="shared" si="37"/>
        <v>45.317197410274424</v>
      </c>
      <c r="K107" s="81">
        <f t="shared" si="37"/>
        <v>41.163048582666477</v>
      </c>
      <c r="L107" s="67"/>
      <c r="M107" s="79">
        <f t="shared" si="32"/>
        <v>-0.27078764716352238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38">G$36*G45*$J$73*G81/1000</f>
        <v>1350.2494122188027</v>
      </c>
      <c r="H111" s="54">
        <f t="shared" si="38"/>
        <v>1323.486177155158</v>
      </c>
      <c r="I111" s="125">
        <f t="shared" si="38"/>
        <v>766.70866262584013</v>
      </c>
      <c r="J111" s="125">
        <f t="shared" si="38"/>
        <v>490.35652596024755</v>
      </c>
      <c r="K111" s="125">
        <f t="shared" si="38"/>
        <v>294.13353994374381</v>
      </c>
      <c r="L111" s="46"/>
      <c r="M111" s="79">
        <f>(K111-G111)/H111</f>
        <v>-0.79798028155094647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38"/>
        <v>6384.4386356321411</v>
      </c>
      <c r="H112" s="54">
        <f t="shared" si="38"/>
        <v>6257.8929542131382</v>
      </c>
      <c r="I112" s="125">
        <f t="shared" si="38"/>
        <v>4152.5698869838916</v>
      </c>
      <c r="J112" s="125">
        <f t="shared" si="38"/>
        <v>3191.4468470930515</v>
      </c>
      <c r="K112" s="125">
        <f t="shared" si="38"/>
        <v>2503.3742174042231</v>
      </c>
      <c r="L112" s="46"/>
      <c r="M112" s="79">
        <f t="shared" ref="M112:M118" si="39">(K112-G112)/H112</f>
        <v>-0.62018708958819502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38"/>
        <v>1008.0365589735889</v>
      </c>
      <c r="H113" s="54">
        <f t="shared" si="38"/>
        <v>988.05631003852329</v>
      </c>
      <c r="I113" s="125">
        <f t="shared" si="38"/>
        <v>878.09954630148968</v>
      </c>
      <c r="J113" s="125">
        <f t="shared" si="38"/>
        <v>726.77353035813621</v>
      </c>
      <c r="K113" s="125">
        <f t="shared" si="38"/>
        <v>555.82986333029851</v>
      </c>
      <c r="L113" s="46"/>
      <c r="M113" s="79">
        <f t="shared" si="39"/>
        <v>-0.45767300005974282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38"/>
        <v>143.58707396511457</v>
      </c>
      <c r="H114" s="54">
        <f t="shared" si="38"/>
        <v>140.74104079683161</v>
      </c>
      <c r="I114" s="125">
        <f t="shared" si="38"/>
        <v>92.365693597333618</v>
      </c>
      <c r="J114" s="125">
        <f t="shared" si="38"/>
        <v>70.077319870984709</v>
      </c>
      <c r="K114" s="125">
        <f t="shared" si="38"/>
        <v>54.135862968955905</v>
      </c>
      <c r="L114" s="46"/>
      <c r="M114" s="79">
        <f t="shared" si="39"/>
        <v>-0.63557303889266392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38"/>
        <v>150.01482130356655</v>
      </c>
      <c r="H115" s="54">
        <f t="shared" si="38"/>
        <v>147.04138403394353</v>
      </c>
      <c r="I115" s="125">
        <f t="shared" si="38"/>
        <v>127.77379716837866</v>
      </c>
      <c r="J115" s="125">
        <f t="shared" si="38"/>
        <v>124.98209991255588</v>
      </c>
      <c r="K115" s="125">
        <f t="shared" si="38"/>
        <v>122.54511102194797</v>
      </c>
      <c r="L115" s="46"/>
      <c r="M115" s="79">
        <f t="shared" si="39"/>
        <v>-0.18681618417898851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38"/>
        <v>2339.0366590755425</v>
      </c>
      <c r="H116" s="54">
        <f t="shared" si="38"/>
        <v>2292.6747148578056</v>
      </c>
      <c r="I116" s="125">
        <f t="shared" si="38"/>
        <v>1477.3218802704735</v>
      </c>
      <c r="J116" s="125">
        <f t="shared" si="38"/>
        <v>1096.341818778878</v>
      </c>
      <c r="K116" s="125">
        <f t="shared" si="38"/>
        <v>824.23557216092968</v>
      </c>
      <c r="L116" s="46"/>
      <c r="M116" s="79">
        <f t="shared" si="39"/>
        <v>-0.66071347893264598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38"/>
        <v>419.84566121520197</v>
      </c>
      <c r="H117" s="54">
        <f t="shared" si="38"/>
        <v>411.52391856538338</v>
      </c>
      <c r="I117" s="125">
        <f t="shared" si="38"/>
        <v>521.03586456746859</v>
      </c>
      <c r="J117" s="125">
        <f t="shared" si="38"/>
        <v>663.45215699914809</v>
      </c>
      <c r="K117" s="125">
        <f t="shared" si="38"/>
        <v>789.29238291058368</v>
      </c>
      <c r="L117" s="46"/>
      <c r="M117" s="79">
        <f t="shared" si="39"/>
        <v>0.89775273083351437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11795.208822383958</v>
      </c>
      <c r="H118" s="146">
        <f>SUM(H111:H117)</f>
        <v>11561.416499660781</v>
      </c>
      <c r="I118" s="144">
        <f t="shared" ref="I118:J118" si="40">SUM(I111:I117)</f>
        <v>8015.8753315148751</v>
      </c>
      <c r="J118" s="144">
        <f t="shared" si="40"/>
        <v>6363.4302989730022</v>
      </c>
      <c r="K118" s="144">
        <f>SUM(K111:K117)</f>
        <v>5143.5465497406822</v>
      </c>
      <c r="L118" s="21"/>
      <c r="M118" s="79">
        <f t="shared" si="39"/>
        <v>-0.57533281262191704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41">G$36*G45*(1-$J$73)*G101/1000</f>
        <v>2429.8441270275653</v>
      </c>
      <c r="H122" s="147">
        <f t="shared" si="41"/>
        <v>2381.6822919242318</v>
      </c>
      <c r="I122" s="143">
        <f>I$36*I59*(1-$J$73)*I101/1000</f>
        <v>1767.2890173421508</v>
      </c>
      <c r="J122" s="143">
        <f t="shared" ref="J122:K122" si="42">J$36*J59*(1-$J$73)*J101/1000</f>
        <v>1357.9888631450813</v>
      </c>
      <c r="K122" s="143">
        <f t="shared" si="42"/>
        <v>974.83665357533971</v>
      </c>
      <c r="L122" s="46"/>
      <c r="M122" s="79">
        <f>(K122-G122)/H122</f>
        <v>-0.61091585489208211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41"/>
        <v>11489.129773192441</v>
      </c>
      <c r="H123" s="147">
        <f t="shared" si="41"/>
        <v>11261.404230034166</v>
      </c>
      <c r="I123" s="143">
        <f t="shared" ref="I123:K128" si="43">I$36*I60*(1-$J$73)*I102/1000</f>
        <v>9911.8987259828464</v>
      </c>
      <c r="J123" s="143">
        <f t="shared" si="43"/>
        <v>8987.093843105582</v>
      </c>
      <c r="K123" s="143">
        <f t="shared" si="43"/>
        <v>8055.602427236784</v>
      </c>
      <c r="L123" s="46"/>
      <c r="M123" s="79">
        <f t="shared" ref="M123:M129" si="44">(K123-G123)/H123</f>
        <v>-0.30489335750851027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41"/>
        <v>1814.0142780185408</v>
      </c>
      <c r="H124" s="147">
        <f t="shared" si="41"/>
        <v>1778.058779654991</v>
      </c>
      <c r="I124" s="143">
        <f t="shared" si="43"/>
        <v>1600.2732130315555</v>
      </c>
      <c r="J124" s="143">
        <f t="shared" si="43"/>
        <v>1537.9610723677267</v>
      </c>
      <c r="K124" s="143">
        <f t="shared" si="43"/>
        <v>1444.8796336141688</v>
      </c>
      <c r="L124" s="46"/>
      <c r="M124" s="79">
        <f t="shared" si="44"/>
        <v>-0.20760542262612811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41"/>
        <v>258.3924164187448</v>
      </c>
      <c r="H125" s="147">
        <f t="shared" si="41"/>
        <v>253.27083153472384</v>
      </c>
      <c r="I125" s="143">
        <f t="shared" si="43"/>
        <v>210.41228453178067</v>
      </c>
      <c r="J125" s="143">
        <f t="shared" si="43"/>
        <v>185.36756210068353</v>
      </c>
      <c r="K125" s="143">
        <f t="shared" si="43"/>
        <v>158.31693723008269</v>
      </c>
      <c r="L125" s="46"/>
      <c r="M125" s="79">
        <f t="shared" si="44"/>
        <v>-0.39513227236726473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41"/>
        <v>269.95948245781801</v>
      </c>
      <c r="H126" s="147">
        <f t="shared" si="41"/>
        <v>264.60862725929144</v>
      </c>
      <c r="I126" s="143">
        <f t="shared" si="43"/>
        <v>291.0731844087515</v>
      </c>
      <c r="J126" s="143">
        <f t="shared" si="43"/>
        <v>330.60093065298611</v>
      </c>
      <c r="K126" s="143">
        <f t="shared" si="43"/>
        <v>358.37549427522191</v>
      </c>
      <c r="L126" s="46"/>
      <c r="M126" s="79">
        <f t="shared" si="44"/>
        <v>0.33413880995937661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41"/>
        <v>4209.2182655480365</v>
      </c>
      <c r="H127" s="147">
        <f t="shared" si="41"/>
        <v>4125.7875327844267</v>
      </c>
      <c r="I127" s="143">
        <f t="shared" si="43"/>
        <v>3183.7525501803389</v>
      </c>
      <c r="J127" s="143">
        <f t="shared" si="43"/>
        <v>2595.4328331337697</v>
      </c>
      <c r="K127" s="143">
        <f t="shared" si="43"/>
        <v>2040.8214422544393</v>
      </c>
      <c r="L127" s="46"/>
      <c r="M127" s="79">
        <f t="shared" si="44"/>
        <v>-0.52557161658544771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41"/>
        <v>755.53412942086175</v>
      </c>
      <c r="H128" s="147">
        <f t="shared" si="41"/>
        <v>740.55872019548826</v>
      </c>
      <c r="I128" s="143">
        <f t="shared" si="43"/>
        <v>950.12583408088619</v>
      </c>
      <c r="J128" s="143">
        <f t="shared" si="43"/>
        <v>1413.5654900642619</v>
      </c>
      <c r="K128" s="143">
        <f t="shared" si="43"/>
        <v>1535.5226111699765</v>
      </c>
      <c r="L128" s="46"/>
      <c r="M128" s="79">
        <f t="shared" si="44"/>
        <v>1.0532432614434923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21226.092472084008</v>
      </c>
      <c r="H129" s="148">
        <f>SUM(H122:H128)</f>
        <v>20805.371013387321</v>
      </c>
      <c r="I129" s="145">
        <f t="shared" ref="I129" si="45">SUM(I122:I128)</f>
        <v>17914.824809558311</v>
      </c>
      <c r="J129" s="145">
        <f t="shared" ref="J129" si="46">SUM(J122:J128)</f>
        <v>16408.010594570093</v>
      </c>
      <c r="K129" s="145">
        <f t="shared" ref="K129" si="47">SUM(K122:K128)</f>
        <v>14568.355199356014</v>
      </c>
      <c r="L129" s="21"/>
      <c r="M129" s="79">
        <f t="shared" si="44"/>
        <v>-0.32000089152190747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3705.16846907939</v>
      </c>
      <c r="I133" s="143">
        <f t="shared" ref="I133:K133" si="48">I111+I122</f>
        <v>2533.9976799679907</v>
      </c>
      <c r="J133" s="143">
        <f t="shared" si="48"/>
        <v>1848.3453891053289</v>
      </c>
      <c r="K133" s="143">
        <f t="shared" si="48"/>
        <v>1268.9701935190835</v>
      </c>
      <c r="L133" s="46"/>
      <c r="M133" s="79">
        <f>(K133-G133)/H133</f>
        <v>0.34248650340975723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4" si="49">H112+H123</f>
        <v>17519.297184247305</v>
      </c>
      <c r="I134" s="143">
        <f t="shared" si="49"/>
        <v>14064.468612966739</v>
      </c>
      <c r="J134" s="143">
        <f t="shared" si="49"/>
        <v>12178.540690198633</v>
      </c>
      <c r="K134" s="143">
        <f t="shared" si="49"/>
        <v>10558.976644641007</v>
      </c>
      <c r="L134" s="46"/>
      <c r="M134" s="79">
        <f t="shared" ref="M134:M140" si="50">(K134-G134)/H134</f>
        <v>0.60270549289701203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ref="H135:J135" si="51">H113+H124</f>
        <v>2766.1150896935142</v>
      </c>
      <c r="I135" s="143">
        <f>I113+I124</f>
        <v>2478.372759333045</v>
      </c>
      <c r="J135" s="143">
        <f t="shared" si="51"/>
        <v>2264.7346027258627</v>
      </c>
      <c r="K135" s="143">
        <f>K113+K124</f>
        <v>2000.7094969444674</v>
      </c>
      <c r="L135" s="46"/>
      <c r="M135" s="79">
        <f t="shared" si="50"/>
        <v>0.72329221021897039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ref="H136:K136" si="52">H114+H125</f>
        <v>394.01187233155542</v>
      </c>
      <c r="I136" s="143">
        <f t="shared" si="52"/>
        <v>302.77797812911427</v>
      </c>
      <c r="J136" s="143">
        <f t="shared" si="52"/>
        <v>255.44488197166822</v>
      </c>
      <c r="K136" s="143">
        <f t="shared" si="52"/>
        <v>212.45280019903859</v>
      </c>
      <c r="L136" s="46"/>
      <c r="M136" s="79">
        <f t="shared" si="50"/>
        <v>0.53920405733424848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ref="H137:K137" si="53">H115+H126</f>
        <v>411.65001129323497</v>
      </c>
      <c r="I137" s="143">
        <f t="shared" si="53"/>
        <v>418.84698157713018</v>
      </c>
      <c r="J137" s="143">
        <f t="shared" si="53"/>
        <v>455.583030565542</v>
      </c>
      <c r="K137" s="143">
        <f t="shared" si="53"/>
        <v>480.92060529716991</v>
      </c>
      <c r="L137" s="46"/>
      <c r="M137" s="79">
        <f t="shared" si="50"/>
        <v>1.1682754575575383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ref="H138:K138" si="54">H116+H127</f>
        <v>6418.4622476422319</v>
      </c>
      <c r="I138" s="143">
        <f t="shared" si="54"/>
        <v>4661.0744304508125</v>
      </c>
      <c r="J138" s="143">
        <f t="shared" si="54"/>
        <v>3691.7746519126476</v>
      </c>
      <c r="K138" s="143">
        <f t="shared" si="54"/>
        <v>2865.0570144153689</v>
      </c>
      <c r="L138" s="46"/>
      <c r="M138" s="79">
        <f t="shared" si="50"/>
        <v>0.44637748168851871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ref="H139:K139" si="55">H117+H128</f>
        <v>1152.0826387608718</v>
      </c>
      <c r="I139" s="143">
        <f t="shared" si="55"/>
        <v>1471.1616986483548</v>
      </c>
      <c r="J139" s="143">
        <f t="shared" si="55"/>
        <v>2077.0176470634101</v>
      </c>
      <c r="K139" s="143">
        <f t="shared" si="55"/>
        <v>2324.8149940805602</v>
      </c>
      <c r="L139" s="46"/>
      <c r="M139" s="79">
        <f t="shared" si="50"/>
        <v>2.0179238154139938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32366.787513048101</v>
      </c>
      <c r="I140" s="145">
        <f t="shared" ref="I140:K140" si="56">SUM(I133:I139)</f>
        <v>25930.700141073183</v>
      </c>
      <c r="J140" s="145">
        <f t="shared" si="56"/>
        <v>22771.440893543095</v>
      </c>
      <c r="K140" s="145">
        <f t="shared" si="56"/>
        <v>19711.901749096694</v>
      </c>
      <c r="L140" s="21"/>
      <c r="M140" s="79">
        <f t="shared" si="50"/>
        <v>0.60901631776555487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énergie'!C3</f>
        <v>2.5832473286687414E-3</v>
      </c>
      <c r="I146" s="311">
        <f>H146</f>
        <v>2.5832473286687414E-3</v>
      </c>
      <c r="J146" s="311">
        <f>I146</f>
        <v>2.5832473286687414E-3</v>
      </c>
      <c r="K146" s="311">
        <f>J146</f>
        <v>2.5832473286687414E-3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énergie'!C4</f>
        <v>0.18262447255667691</v>
      </c>
      <c r="I147" s="311">
        <v>0</v>
      </c>
      <c r="J147" s="311">
        <v>0</v>
      </c>
      <c r="K147" s="311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</f>
        <v>0.13911656645249823</v>
      </c>
      <c r="I148" s="311">
        <v>0.14000000000000001</v>
      </c>
      <c r="J148" s="311">
        <v>0.14000000000000001</v>
      </c>
      <c r="K148" s="311">
        <v>0.14000000000000001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</f>
        <v>2.2541262662018457E-2</v>
      </c>
      <c r="I149" s="311">
        <v>0</v>
      </c>
      <c r="J149" s="311">
        <f t="shared" ref="J149:K149" si="57">I149</f>
        <v>0</v>
      </c>
      <c r="K149" s="311">
        <f t="shared" si="57"/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énergie'!C7</f>
        <v>2.2378153328661055E-2</v>
      </c>
      <c r="I150" s="311">
        <f t="shared" ref="I150:K150" si="58">H150</f>
        <v>2.2378153328661055E-2</v>
      </c>
      <c r="J150" s="311">
        <f t="shared" si="58"/>
        <v>2.2378153328661055E-2</v>
      </c>
      <c r="K150" s="311">
        <f t="shared" si="58"/>
        <v>2.2378153328661055E-2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énergie'!C8</f>
        <v>0.17192765066376023</v>
      </c>
      <c r="I151" s="311">
        <v>0.17</v>
      </c>
      <c r="J151" s="311">
        <v>0.17</v>
      </c>
      <c r="K151" s="311">
        <v>0.17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énergie'!C9</f>
        <v>0.45882864700771653</v>
      </c>
      <c r="I152" s="311">
        <v>0.67</v>
      </c>
      <c r="J152" s="311">
        <v>0.67</v>
      </c>
      <c r="K152" s="311">
        <v>0.67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59">SUM(I146:I152)</f>
        <v>1.0049614006573298</v>
      </c>
      <c r="J153" s="15">
        <f t="shared" si="59"/>
        <v>1.0049614006573298</v>
      </c>
      <c r="K153" s="15">
        <f t="shared" si="59"/>
        <v>1.0049614006573298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313">
        <f>J157</f>
        <v>78.041026430267834</v>
      </c>
      <c r="J157" s="313">
        <f>K157</f>
        <v>78.041026430267834</v>
      </c>
      <c r="K157" s="313">
        <f t="shared" ref="K157:K163" si="60">K81</f>
        <v>78.041026430267834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313">
        <f t="shared" ref="I158:I163" si="61">J158</f>
        <v>78.142134912661803</v>
      </c>
      <c r="J158" s="313">
        <f>K158</f>
        <v>78.142134912661803</v>
      </c>
      <c r="K158" s="313">
        <f t="shared" si="60"/>
        <v>78.142134912661803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313">
        <f t="shared" si="61"/>
        <v>65.54473040932119</v>
      </c>
      <c r="J159" s="313">
        <f t="shared" ref="J159:J163" si="62">K159</f>
        <v>65.54473040932119</v>
      </c>
      <c r="K159" s="313">
        <f t="shared" si="60"/>
        <v>65.54473040932119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313">
        <f t="shared" si="61"/>
        <v>57.454424457594158</v>
      </c>
      <c r="J160" s="313">
        <f t="shared" si="62"/>
        <v>57.454424457594158</v>
      </c>
      <c r="K160" s="313">
        <f t="shared" si="60"/>
        <v>57.454424457594158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313">
        <f t="shared" si="61"/>
        <v>65.028600614490131</v>
      </c>
      <c r="J161" s="313">
        <f t="shared" si="62"/>
        <v>65.028600614490131</v>
      </c>
      <c r="K161" s="313">
        <f t="shared" si="60"/>
        <v>65.028600614490131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313">
        <f t="shared" si="61"/>
        <v>39.761896205426581</v>
      </c>
      <c r="J162" s="313">
        <f t="shared" si="62"/>
        <v>39.761896205426581</v>
      </c>
      <c r="K162" s="313">
        <f t="shared" si="60"/>
        <v>39.761896205426581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313">
        <f t="shared" si="61"/>
        <v>29.917017443221326</v>
      </c>
      <c r="J163" s="313">
        <f t="shared" si="62"/>
        <v>29.917017443221326</v>
      </c>
      <c r="K163" s="313">
        <f t="shared" si="60"/>
        <v>29.917017443221326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63">I$35*I146*I157/1000</f>
        <v>1.2512077259370982</v>
      </c>
      <c r="J167" s="10">
        <f t="shared" si="63"/>
        <v>1.2926231828457555</v>
      </c>
      <c r="K167" s="10">
        <f t="shared" si="63"/>
        <v>1.2018642543517426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68" si="64">H$35*H147*H158/1000</f>
        <v>0</v>
      </c>
      <c r="I168" s="10">
        <f t="shared" si="64"/>
        <v>0</v>
      </c>
      <c r="J168" s="10">
        <f t="shared" si="64"/>
        <v>0</v>
      </c>
      <c r="K168" s="10">
        <f t="shared" si="64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ref="H169:K169" si="65">H$35*H148*H159/1000</f>
        <v>0</v>
      </c>
      <c r="I169" s="10">
        <f t="shared" si="65"/>
        <v>56.951645002072091</v>
      </c>
      <c r="J169" s="10">
        <f t="shared" si="65"/>
        <v>58.836766353679742</v>
      </c>
      <c r="K169" s="10">
        <f t="shared" si="65"/>
        <v>54.705661526551047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ref="H170:K170" si="66">H$35*H149*H160/1000</f>
        <v>0</v>
      </c>
      <c r="I170" s="10">
        <f t="shared" si="66"/>
        <v>0</v>
      </c>
      <c r="J170" s="10">
        <f t="shared" si="66"/>
        <v>0</v>
      </c>
      <c r="K170" s="10">
        <f t="shared" si="66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ref="H171:K171" si="67">H$35*H150*H161/1000</f>
        <v>0</v>
      </c>
      <c r="I171" s="10">
        <f t="shared" si="67"/>
        <v>9.0316917987198799</v>
      </c>
      <c r="J171" s="10">
        <f t="shared" si="67"/>
        <v>9.3306442705982082</v>
      </c>
      <c r="K171" s="10">
        <f t="shared" si="67"/>
        <v>8.6755119107607914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ref="H172:K172" si="68">H$35*H151*H162/1000</f>
        <v>0</v>
      </c>
      <c r="I172" s="10">
        <f t="shared" si="68"/>
        <v>41.952366524251964</v>
      </c>
      <c r="J172" s="10">
        <f t="shared" si="68"/>
        <v>43.341005989933073</v>
      </c>
      <c r="K172" s="10">
        <f t="shared" si="68"/>
        <v>40.297904708986678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ref="H173:K173" si="69">H$35*H152*H163/1000</f>
        <v>0</v>
      </c>
      <c r="I173" s="10">
        <f t="shared" si="69"/>
        <v>124.40377325155654</v>
      </c>
      <c r="J173" s="10">
        <f t="shared" si="69"/>
        <v>128.52158598845875</v>
      </c>
      <c r="K173" s="10">
        <f t="shared" si="69"/>
        <v>119.49770216255995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70">SUM(I167:I173)</f>
        <v>233.59068430253757</v>
      </c>
      <c r="J174" s="11">
        <f t="shared" si="70"/>
        <v>241.32262578551553</v>
      </c>
      <c r="K174" s="11">
        <f t="shared" si="70"/>
        <v>224.3786445632102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D176" s="328"/>
      <c r="E176" s="328"/>
      <c r="F176" s="328"/>
      <c r="G176" s="328"/>
      <c r="H176" s="328"/>
      <c r="I176" s="328"/>
      <c r="J176" s="328"/>
      <c r="K176" s="328"/>
      <c r="L176" s="328"/>
      <c r="M176" s="329"/>
      <c r="N176" s="328"/>
      <c r="O176" s="42"/>
    </row>
    <row r="177" spans="1:15" s="17" customFormat="1">
      <c r="A177" s="56"/>
      <c r="C177" s="40"/>
      <c r="D177" s="328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  <c r="N177" s="328"/>
      <c r="O177" s="42"/>
    </row>
    <row r="178" spans="1:15" s="17" customFormat="1">
      <c r="A178" s="56"/>
      <c r="C178" s="40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  <c r="O178" s="42"/>
    </row>
    <row r="179" spans="1:15" s="17" customFormat="1">
      <c r="A179" s="56"/>
      <c r="E179" s="6" t="s">
        <v>15</v>
      </c>
      <c r="F179" s="82"/>
      <c r="G179" s="82"/>
      <c r="H179" s="10">
        <f>H$36*($J$73*H45+(1-$J$73)*H59)+H$35*H146</f>
        <v>25860.041287841384</v>
      </c>
      <c r="I179" s="10">
        <f t="shared" ref="I179:K179" si="71">I$36*($J$73*I45+(1-$J$73)*I59)+I$35*I146</f>
        <v>20344.418467802891</v>
      </c>
      <c r="J179" s="10">
        <f t="shared" si="71"/>
        <v>16448.641003262859</v>
      </c>
      <c r="K179" s="10">
        <f t="shared" si="71"/>
        <v>12262.411508572153</v>
      </c>
      <c r="M179" s="65"/>
    </row>
    <row r="180" spans="1:15" s="17" customFormat="1">
      <c r="A180" s="56"/>
      <c r="E180" s="6" t="s">
        <v>16</v>
      </c>
      <c r="F180" s="82"/>
      <c r="G180" s="82"/>
      <c r="H180" s="10">
        <f t="shared" ref="H180:K185" si="72">H$36*($J$73*H46+(1-$J$73)*H60)+H$35*H147</f>
        <v>122116.86163702876</v>
      </c>
      <c r="I180" s="10">
        <f t="shared" si="72"/>
        <v>111741.84030000688</v>
      </c>
      <c r="J180" s="10">
        <f t="shared" si="72"/>
        <v>106519.68330618646</v>
      </c>
      <c r="K180" s="10">
        <f t="shared" si="72"/>
        <v>99860.568953625305</v>
      </c>
      <c r="M180" s="65"/>
    </row>
    <row r="181" spans="1:15" s="17" customFormat="1">
      <c r="A181" s="56"/>
      <c r="E181" s="6" t="s">
        <v>68</v>
      </c>
      <c r="F181" s="82"/>
      <c r="G181" s="82"/>
      <c r="H181" s="10">
        <f t="shared" si="72"/>
        <v>22986.703366970123</v>
      </c>
      <c r="I181" s="10">
        <f t="shared" si="72"/>
        <v>24339.892803859588</v>
      </c>
      <c r="J181" s="10">
        <f t="shared" si="72"/>
        <v>24390.849135732558</v>
      </c>
      <c r="K181" s="10">
        <f t="shared" si="72"/>
        <v>22879.672987075886</v>
      </c>
      <c r="M181" s="65"/>
    </row>
    <row r="182" spans="1:15" s="17" customFormat="1">
      <c r="A182" s="56"/>
      <c r="E182" s="6" t="s">
        <v>22</v>
      </c>
      <c r="F182" s="82"/>
      <c r="G182" s="82"/>
      <c r="H182" s="10">
        <f t="shared" si="72"/>
        <v>3735.3392971326452</v>
      </c>
      <c r="I182" s="10">
        <f t="shared" si="72"/>
        <v>3232.0291127221312</v>
      </c>
      <c r="J182" s="10">
        <f t="shared" si="72"/>
        <v>2965.4950429022256</v>
      </c>
      <c r="K182" s="10">
        <f t="shared" si="72"/>
        <v>2637.8502396828389</v>
      </c>
      <c r="M182" s="65"/>
    </row>
    <row r="183" spans="1:15" s="17" customFormat="1">
      <c r="A183" s="56"/>
      <c r="E183" s="6" t="s">
        <v>42</v>
      </c>
      <c r="F183" s="82"/>
      <c r="G183" s="82"/>
      <c r="H183" s="10">
        <f t="shared" si="72"/>
        <v>3448.0055050455185</v>
      </c>
      <c r="I183" s="10">
        <f t="shared" si="72"/>
        <v>4089.1457970041174</v>
      </c>
      <c r="J183" s="10">
        <f t="shared" si="72"/>
        <v>4816.3865182571171</v>
      </c>
      <c r="K183" s="10">
        <f t="shared" si="72"/>
        <v>5409.1111914028616</v>
      </c>
      <c r="M183" s="65"/>
    </row>
    <row r="184" spans="1:15" s="17" customFormat="1">
      <c r="A184" s="56"/>
      <c r="E184" s="6" t="s">
        <v>25</v>
      </c>
      <c r="F184" s="82"/>
      <c r="G184" s="82"/>
      <c r="H184" s="10">
        <f t="shared" si="72"/>
        <v>87924.140378660712</v>
      </c>
      <c r="I184" s="10">
        <f t="shared" si="72"/>
        <v>75750.87362301095</v>
      </c>
      <c r="J184" s="10">
        <f t="shared" si="72"/>
        <v>68128.174225680836</v>
      </c>
      <c r="K184" s="10">
        <f t="shared" si="72"/>
        <v>59046.185729306279</v>
      </c>
      <c r="M184" s="65"/>
    </row>
    <row r="185" spans="1:15" s="17" customFormat="1">
      <c r="A185" s="56"/>
      <c r="E185" s="6" t="s">
        <v>26</v>
      </c>
      <c r="F185" s="82"/>
      <c r="G185" s="82"/>
      <c r="H185" s="10">
        <f t="shared" si="72"/>
        <v>20975.366822360236</v>
      </c>
      <c r="I185" s="10">
        <f t="shared" si="72"/>
        <v>35709.362837478344</v>
      </c>
      <c r="J185" s="10">
        <f t="shared" si="72"/>
        <v>54748.172546158567</v>
      </c>
      <c r="K185" s="10">
        <f t="shared" si="72"/>
        <v>67680.451234417647</v>
      </c>
      <c r="M185" s="65"/>
    </row>
    <row r="186" spans="1:15" s="17" customFormat="1">
      <c r="A186" s="56"/>
      <c r="E186" s="7" t="s">
        <v>17</v>
      </c>
      <c r="F186" s="82"/>
      <c r="G186" s="82"/>
      <c r="H186" s="10">
        <f>H$36*($J$73*H52+(1-$J$73)*H66)+H$35*H153</f>
        <v>287231.15645659296</v>
      </c>
      <c r="I186" s="10">
        <f t="shared" ref="I186:K186" si="73">I$36*($J$73*I52+(1-$J$73)*I66)+I$35*I153</f>
        <v>275207.56294188491</v>
      </c>
      <c r="J186" s="10">
        <f t="shared" si="73"/>
        <v>278017.40177818068</v>
      </c>
      <c r="K186" s="10">
        <f t="shared" si="73"/>
        <v>269776.2518440829</v>
      </c>
      <c r="M186" s="65"/>
    </row>
    <row r="187" spans="1:15" s="17" customFormat="1">
      <c r="A187" s="56"/>
      <c r="M187" s="65"/>
    </row>
    <row r="188" spans="1:15" s="17" customFormat="1">
      <c r="A188" s="56"/>
      <c r="M188" s="65"/>
    </row>
    <row r="189" spans="1:15" s="17" customFormat="1">
      <c r="A189" s="56"/>
    </row>
    <row r="190" spans="1:15" s="17" customFormat="1">
      <c r="A190" s="56"/>
      <c r="M190" s="65"/>
    </row>
    <row r="191" spans="1:15" s="17" customFormat="1">
      <c r="A191" s="56"/>
      <c r="M191" s="65"/>
    </row>
    <row r="192" spans="1:15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  <row r="1594" spans="1:13" s="17" customFormat="1">
      <c r="A1594" s="56"/>
      <c r="M1594" s="65"/>
    </row>
    <row r="1595" spans="1:13" s="17" customFormat="1">
      <c r="A1595" s="56"/>
      <c r="M1595" s="65"/>
    </row>
  </sheetData>
  <mergeCells count="31">
    <mergeCell ref="E177:M177"/>
    <mergeCell ref="F68:K68"/>
    <mergeCell ref="F165:K165"/>
    <mergeCell ref="M45:M51"/>
    <mergeCell ref="M146:M153"/>
    <mergeCell ref="M157:M163"/>
    <mergeCell ref="F155:K155"/>
    <mergeCell ref="E142:M142"/>
    <mergeCell ref="F144:K144"/>
    <mergeCell ref="F89:G89"/>
    <mergeCell ref="F99:K99"/>
    <mergeCell ref="F109:K109"/>
    <mergeCell ref="M91:M97"/>
    <mergeCell ref="F79:K79"/>
    <mergeCell ref="M81:M87"/>
    <mergeCell ref="F120:K120"/>
    <mergeCell ref="F131:K131"/>
    <mergeCell ref="F57:K57"/>
    <mergeCell ref="M59:M65"/>
    <mergeCell ref="F54:K54"/>
    <mergeCell ref="C1:O1"/>
    <mergeCell ref="C3:O3"/>
    <mergeCell ref="F5:K5"/>
    <mergeCell ref="F11:K11"/>
    <mergeCell ref="C27:O27"/>
    <mergeCell ref="D29:N29"/>
    <mergeCell ref="E41:M41"/>
    <mergeCell ref="F43:K43"/>
    <mergeCell ref="D39:N39"/>
    <mergeCell ref="F32:K32"/>
    <mergeCell ref="F22:K22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  <pageSetUpPr fitToPage="1"/>
  </sheetPr>
  <dimension ref="A1:GB1593"/>
  <sheetViews>
    <sheetView showGridLines="0" zoomScale="115" zoomScaleNormal="115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67243.869415029592</v>
      </c>
      <c r="I7" s="10">
        <f t="shared" si="0"/>
        <v>69861.541094581538</v>
      </c>
      <c r="J7" s="10">
        <f t="shared" si="0"/>
        <v>70897.601389922653</v>
      </c>
      <c r="K7" s="10">
        <f t="shared" si="0"/>
        <v>70213.18201763797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4554.2951187047984</v>
      </c>
      <c r="J8" s="76">
        <f t="shared" si="0"/>
        <v>3048.0726788650627</v>
      </c>
      <c r="K8" s="76">
        <f t="shared" si="0"/>
        <v>2041.8509200297726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67243.869415029592</v>
      </c>
      <c r="I9" s="96">
        <f t="shared" si="1"/>
        <v>65307.245975876736</v>
      </c>
      <c r="J9" s="96">
        <f t="shared" si="1"/>
        <v>67849.528711057588</v>
      </c>
      <c r="K9" s="96">
        <f t="shared" si="1"/>
        <v>68171.331097608199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1146.8355656667195</v>
      </c>
      <c r="I13" s="86">
        <f t="shared" ref="I13:K13" si="2">I133+I167</f>
        <v>835.17618964683982</v>
      </c>
      <c r="J13" s="86">
        <f t="shared" si="2"/>
        <v>675.50310556953502</v>
      </c>
      <c r="K13" s="86">
        <f t="shared" si="2"/>
        <v>510.20016314096335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3676.1473473989763</v>
      </c>
      <c r="I14" s="86">
        <f t="shared" si="3"/>
        <v>3015.526438822641</v>
      </c>
      <c r="J14" s="86">
        <f t="shared" si="3"/>
        <v>2811.9835045819577</v>
      </c>
      <c r="K14" s="86">
        <f t="shared" si="3"/>
        <v>2529.5396658581626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623.71893019819117</v>
      </c>
      <c r="I15" s="86">
        <f t="shared" si="3"/>
        <v>712.05599625033801</v>
      </c>
      <c r="J15" s="86">
        <f t="shared" si="3"/>
        <v>753.2093097672365</v>
      </c>
      <c r="K15" s="86">
        <f t="shared" si="3"/>
        <v>632.38683333557231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125.59756428433398</v>
      </c>
      <c r="I16" s="86">
        <f t="shared" si="3"/>
        <v>98.05625594622849</v>
      </c>
      <c r="J16" s="86">
        <f t="shared" si="3"/>
        <v>86.136962440908079</v>
      </c>
      <c r="K16" s="86">
        <f t="shared" si="3"/>
        <v>72.036390049353869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213.99844443112971</v>
      </c>
      <c r="I17" s="86">
        <f t="shared" si="3"/>
        <v>288.4087099110024</v>
      </c>
      <c r="J17" s="86">
        <f t="shared" si="3"/>
        <v>378.06855077986063</v>
      </c>
      <c r="K17" s="86">
        <f t="shared" si="3"/>
        <v>452.31176105738109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1168.4294749555543</v>
      </c>
      <c r="I18" s="86">
        <f t="shared" si="3"/>
        <v>836.42399986477778</v>
      </c>
      <c r="J18" s="86">
        <f t="shared" si="3"/>
        <v>682.92741153911754</v>
      </c>
      <c r="K18" s="86">
        <f t="shared" si="3"/>
        <v>544.06695270796627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330.973842841916</v>
      </c>
      <c r="I19" s="86">
        <f t="shared" si="3"/>
        <v>472.41984610914938</v>
      </c>
      <c r="J19" s="86">
        <f t="shared" si="3"/>
        <v>531.33972995010924</v>
      </c>
      <c r="K19" s="86">
        <f t="shared" si="3"/>
        <v>567.53440965474181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7285.7011697768203</v>
      </c>
      <c r="I20" s="13">
        <f t="shared" ref="I20:K20" si="4">SUM(I13:I19)</f>
        <v>6258.0674365509767</v>
      </c>
      <c r="J20" s="13">
        <f t="shared" si="4"/>
        <v>5919.1685746287249</v>
      </c>
      <c r="K20" s="13">
        <f t="shared" si="4"/>
        <v>5308.0761758041408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-0.34444000000000008</v>
      </c>
      <c r="J23" s="177">
        <f t="shared" ref="J23:K23" si="5">J118/$G118-1</f>
        <v>-0.41982102832205159</v>
      </c>
      <c r="K23" s="177">
        <f t="shared" si="5"/>
        <v>-0.51844855816511992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-0.11265685957717353</v>
      </c>
      <c r="J24" s="177">
        <f t="shared" ref="J24:K24" si="6">J129/$G129-1</f>
        <v>-0.13867982860471872</v>
      </c>
      <c r="K24" s="177">
        <f t="shared" si="6"/>
        <v>-0.20913738211667943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67243.869415029592</v>
      </c>
      <c r="H34" s="125">
        <f>'Init. parc'!C5</f>
        <v>67243.869415029592</v>
      </c>
      <c r="I34" s="125">
        <f>'Init. parc'!D5</f>
        <v>69861.541094581538</v>
      </c>
      <c r="J34" s="125">
        <f>'Init. parc'!E5</f>
        <v>70897.601389922653</v>
      </c>
      <c r="K34" s="125">
        <f>'Init. parc'!F5</f>
        <v>70213.18201763797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parc'!N5</f>
        <v>4554.2951187047984</v>
      </c>
      <c r="J35" s="125">
        <f>'Init. parc'!O5</f>
        <v>3048.0726788650627</v>
      </c>
      <c r="K35" s="125">
        <f>'Init. parc'!P5</f>
        <v>2041.8509200297726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67243.869415029592</v>
      </c>
      <c r="H36" s="125">
        <f>H34-H35</f>
        <v>67243.869415029592</v>
      </c>
      <c r="I36" s="125">
        <f>I34-I35</f>
        <v>65307.245975876736</v>
      </c>
      <c r="J36" s="125">
        <f>J34-J35</f>
        <v>67849.528711057588</v>
      </c>
      <c r="K36" s="125">
        <f>K34-K35</f>
        <v>68171.331097608199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0.08</v>
      </c>
      <c r="H45" s="55">
        <f>'Init. énergie'!B12</f>
        <v>0.08</v>
      </c>
      <c r="I45" s="47">
        <f>H45+((K45-H45)/3)</f>
        <v>6.6666666666666666E-2</v>
      </c>
      <c r="J45" s="47">
        <f>H45+((K45-H45)/3*2)</f>
        <v>5.333333333333333E-2</v>
      </c>
      <c r="K45" s="47">
        <v>0.04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0.34499999999999997</v>
      </c>
      <c r="H46" s="55">
        <f>'Init. énergie'!B13</f>
        <v>0.34499999999999997</v>
      </c>
      <c r="I46" s="47">
        <f t="shared" ref="I46:I49" si="8">H46+((K46-H46)/3)</f>
        <v>0.32333333333333331</v>
      </c>
      <c r="J46" s="47">
        <f t="shared" ref="J46:J49" si="9">H46+((K46-H46)/3*2)</f>
        <v>0.30166666666666669</v>
      </c>
      <c r="K46" s="47">
        <v>0.28000000000000003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6.6000000000000003E-2</v>
      </c>
      <c r="H47" s="55">
        <f>'Init. énergie'!B14</f>
        <v>6.6000000000000003E-2</v>
      </c>
      <c r="I47" s="47">
        <v>0.1</v>
      </c>
      <c r="J47" s="47">
        <v>0.1</v>
      </c>
      <c r="K47" s="47">
        <v>0.09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1.4E-2</v>
      </c>
      <c r="H48" s="55">
        <f>'Init. énergie'!B15</f>
        <v>1.4E-2</v>
      </c>
      <c r="I48" s="47">
        <f t="shared" si="8"/>
        <v>1.2666666666666666E-2</v>
      </c>
      <c r="J48" s="47">
        <f t="shared" si="9"/>
        <v>1.1333333333333334E-2</v>
      </c>
      <c r="K48" s="47">
        <v>0.01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2.7E-2</v>
      </c>
      <c r="H49" s="55">
        <f>'Init. énergie'!B16</f>
        <v>2.7E-2</v>
      </c>
      <c r="I49" s="47">
        <f t="shared" si="8"/>
        <v>2.8000000000000001E-2</v>
      </c>
      <c r="J49" s="47">
        <f t="shared" si="9"/>
        <v>2.8999999999999998E-2</v>
      </c>
      <c r="K49" s="47">
        <v>0.03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0.36199999999999999</v>
      </c>
      <c r="H50" s="55">
        <f>'Init. énergie'!B17</f>
        <v>0.36199999999999999</v>
      </c>
      <c r="I50" s="47">
        <v>0.31</v>
      </c>
      <c r="J50" s="47">
        <v>0.27</v>
      </c>
      <c r="K50" s="47">
        <f>1-K45-K46-K47-K48-K49-K51</f>
        <v>0.22999999999999993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0.107</v>
      </c>
      <c r="H51" s="55">
        <f>'Init. énergie'!B18</f>
        <v>0.107</v>
      </c>
      <c r="I51" s="47">
        <v>0.16</v>
      </c>
      <c r="J51" s="47">
        <v>0.24</v>
      </c>
      <c r="K51" s="123">
        <v>0.32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1.0010000000000001</v>
      </c>
      <c r="H52" s="149">
        <f t="shared" si="10"/>
        <v>1.0010000000000001</v>
      </c>
      <c r="I52" s="155">
        <f t="shared" si="10"/>
        <v>1.0006666666666666</v>
      </c>
      <c r="J52" s="155">
        <f t="shared" si="10"/>
        <v>1.0053333333333334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-1.4910693073135771E-2</v>
      </c>
      <c r="J55" s="142">
        <f>(I$81*(J45-I45)+I$82*(J46-I46)+I$83*(J47-I47)+I$84*(J48-I48)+I$85*(J49-I49)+I$86*(J50-I50)+I$87*(J51-I51))/(I$81*I45+I$82*I46+I$83*I47+I$84*I48+I$85*I49+I$86*I50+I$87*I51)</f>
        <v>-4.2872025906026109E-2</v>
      </c>
      <c r="K55" s="142">
        <f>(J$81*(K45-J45)+J$82*(K46-J46)+J$83*(K47-J47)+J$84*(K48-J48)+J$85*(K49-J49)+J$86*(K50-J50)+J$87*(K51-J51))/(J$81*J45+J$82*J46+J$83*J47+J$84*J48+J$85*J49+J$86*J50+J$87*J51)</f>
        <v>-5.85495010507011E-2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0.08</v>
      </c>
      <c r="H59" s="55">
        <f>H45</f>
        <v>0.08</v>
      </c>
      <c r="I59" s="47">
        <f>H59+((K59-H59)/3)</f>
        <v>7.0000000000000007E-2</v>
      </c>
      <c r="J59" s="47">
        <f>H59+((K59-H59)/3*2)</f>
        <v>0.06</v>
      </c>
      <c r="K59" s="47">
        <v>0.05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0.34499999999999997</v>
      </c>
      <c r="H60" s="55">
        <f t="shared" ref="H60:H65" si="12">H46</f>
        <v>0.34499999999999997</v>
      </c>
      <c r="I60" s="47">
        <f t="shared" ref="I60:I65" si="13">H60+((K60-H60)/3)</f>
        <v>0.33666666666666667</v>
      </c>
      <c r="J60" s="47">
        <f t="shared" ref="J60:J65" si="14">H60+((K60-H60)/3*2)</f>
        <v>0.32833333333333331</v>
      </c>
      <c r="K60" s="47">
        <v>0.32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6.6000000000000003E-2</v>
      </c>
      <c r="H61" s="55">
        <f t="shared" si="12"/>
        <v>6.6000000000000003E-2</v>
      </c>
      <c r="I61" s="47">
        <v>0.08</v>
      </c>
      <c r="J61" s="47">
        <v>0.09</v>
      </c>
      <c r="K61" s="47">
        <v>0.08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1.4E-2</v>
      </c>
      <c r="H62" s="55">
        <f t="shared" si="12"/>
        <v>1.4E-2</v>
      </c>
      <c r="I62" s="47">
        <f t="shared" si="13"/>
        <v>1.2666666666666666E-2</v>
      </c>
      <c r="J62" s="47">
        <f t="shared" si="14"/>
        <v>1.1333333333333334E-2</v>
      </c>
      <c r="K62" s="47">
        <v>0.01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2.7E-2</v>
      </c>
      <c r="H63" s="55">
        <f t="shared" si="12"/>
        <v>2.7E-2</v>
      </c>
      <c r="I63" s="47">
        <f t="shared" si="13"/>
        <v>4.4666666666666667E-2</v>
      </c>
      <c r="J63" s="47">
        <f t="shared" si="14"/>
        <v>6.2333333333333338E-2</v>
      </c>
      <c r="K63" s="47">
        <v>0.08</v>
      </c>
      <c r="L63" s="64"/>
      <c r="M63" s="494"/>
      <c r="N63" s="33"/>
      <c r="O63" s="42"/>
    </row>
    <row r="64" spans="1:15">
      <c r="C64" s="40"/>
      <c r="D64" s="32"/>
      <c r="E64" s="151" t="s">
        <v>25</v>
      </c>
      <c r="F64" s="55"/>
      <c r="G64" s="55">
        <f t="shared" si="11"/>
        <v>0.36199999999999999</v>
      </c>
      <c r="H64" s="55">
        <f t="shared" si="12"/>
        <v>0.36199999999999999</v>
      </c>
      <c r="I64" s="47">
        <v>0.31</v>
      </c>
      <c r="J64" s="47">
        <v>0.27</v>
      </c>
      <c r="K64" s="47">
        <f>1-K59-K60-K61-K62-K63-K65</f>
        <v>0.23999999999999991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0.107</v>
      </c>
      <c r="H65" s="55">
        <f t="shared" si="12"/>
        <v>0.107</v>
      </c>
      <c r="I65" s="47">
        <f t="shared" si="13"/>
        <v>0.14466666666666667</v>
      </c>
      <c r="J65" s="47">
        <f t="shared" si="14"/>
        <v>0.18233333333333335</v>
      </c>
      <c r="K65" s="123">
        <v>0.22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1.0010000000000001</v>
      </c>
      <c r="H66" s="149">
        <v>1</v>
      </c>
      <c r="I66" s="47">
        <f t="shared" ref="I66:J66" si="16">SUM(I59:I65)</f>
        <v>0.99866666666666681</v>
      </c>
      <c r="J66" s="47">
        <f t="shared" si="16"/>
        <v>1.0043333333333333</v>
      </c>
      <c r="K66" s="47">
        <f>SUM(K59:K65)</f>
        <v>0.99999999999999989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-3.1725039777285129E-3</v>
      </c>
      <c r="J69" s="142">
        <f>(I$101*(J59-I59)+I$102*(J60-I60)+I$103*(J61-I61)+I$104*(J62-I62)+I$105*(J63-I63)+I$106*(J64-I64)+I$107*(J65-I65))/(I$101*I59+I$102*I60+I$103*I61+I$104*I62+I$105*I63+I$106*I64+I$107*I65)</f>
        <v>-2.1118087407888619E-3</v>
      </c>
      <c r="K69" s="142">
        <f>(J$101*(K59-J59)+J$102*(K60-J60)+J$103*(K61-J61)+J$104*(K62-J62)+J$105*(K63-J63)+J$106*(K64-J64)+J$107*(K65-J65))/(J$101*J59+J$102*J60+J$103*J61+J$104*J62+J$105*J63+J$106*J64+J$107*J65)</f>
        <v>-2.4414781629375548E-2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bord'!F12</f>
        <v>0.61</v>
      </c>
      <c r="I73" s="92">
        <f>'Tableau de bord'!F24</f>
        <v>0.45</v>
      </c>
      <c r="J73" s="92">
        <f>'Tableau de bord'!F27</f>
        <v>0.27450000000000002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48.7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217.49689276641024</v>
      </c>
      <c r="H81" s="54">
        <f>'Init. énergie'!D12</f>
        <v>213.18589628380153</v>
      </c>
      <c r="I81" s="81">
        <f>G81*(1-H$77)/(1+I$55)</f>
        <v>149.03258170096709</v>
      </c>
      <c r="J81" s="81">
        <f>G81*(1-I$77)/(1+I$55)/(1+J$55)</f>
        <v>132.64023635753276</v>
      </c>
      <c r="K81" s="81">
        <f>G81*(1-J$77)/(1+I$55)/(1+J$55)/(1+K$55)</f>
        <v>116.38675563633571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161.66488825773737</v>
      </c>
      <c r="H82" s="54">
        <f>'Init. énergie'!D13</f>
        <v>158.46053551606883</v>
      </c>
      <c r="I82" s="81">
        <f t="shared" ref="I82:I87" si="18">G82*(1-H$77)/(1+I$55)</f>
        <v>110.77553964563985</v>
      </c>
      <c r="J82" s="81">
        <f t="shared" ref="J82:J87" si="19">G82*(1-I$77)/(1+I$55)/(1+J$55)</f>
        <v>98.591150965316515</v>
      </c>
      <c r="K82" s="81">
        <f t="shared" ref="K82:K87" si="20">G82*(1-J$77)/(1+I$55)/(1+J$55)/(1+K$55)</f>
        <v>86.509980006181721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143.37944032379974</v>
      </c>
      <c r="H83" s="54">
        <f>'Init. énergie'!D14</f>
        <v>140.53752265291996</v>
      </c>
      <c r="I83" s="81">
        <f t="shared" si="18"/>
        <v>98.24603874798747</v>
      </c>
      <c r="J83" s="81">
        <f t="shared" si="19"/>
        <v>87.439791030875114</v>
      </c>
      <c r="K83" s="81">
        <f t="shared" si="20"/>
        <v>76.725086377040114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136.11157911972029</v>
      </c>
      <c r="H84" s="54">
        <f>'Init. énergie'!D15</f>
        <v>133.41371741069062</v>
      </c>
      <c r="I84" s="81">
        <f t="shared" si="18"/>
        <v>93.265976251869191</v>
      </c>
      <c r="J84" s="81">
        <f t="shared" si="19"/>
        <v>83.0074940188981</v>
      </c>
      <c r="K84" s="81">
        <f t="shared" si="20"/>
        <v>72.835914558542143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120.25101292640954</v>
      </c>
      <c r="H85" s="54">
        <f>'Init. énergie'!D16</f>
        <v>117.86752281231102</v>
      </c>
      <c r="I85" s="81">
        <f t="shared" si="18"/>
        <v>82.398045694503395</v>
      </c>
      <c r="J85" s="81">
        <f t="shared" si="19"/>
        <v>73.334945497000646</v>
      </c>
      <c r="K85" s="81">
        <f t="shared" si="20"/>
        <v>64.348621621546812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48.970645032210513</v>
      </c>
      <c r="H86" s="54">
        <f>'Init. énergie'!D17</f>
        <v>48</v>
      </c>
      <c r="I86" s="81">
        <f t="shared" si="18"/>
        <v>33.55552147841577</v>
      </c>
      <c r="J86" s="81">
        <f t="shared" si="19"/>
        <v>29.864693003358568</v>
      </c>
      <c r="K86" s="81">
        <f t="shared" si="20"/>
        <v>26.205130676689123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46.930133085061122</v>
      </c>
      <c r="H87" s="54">
        <f>'Init. énergie'!D18</f>
        <v>45.999932951694888</v>
      </c>
      <c r="I87" s="81">
        <f t="shared" si="18"/>
        <v>32.15732787846423</v>
      </c>
      <c r="J87" s="81">
        <f t="shared" si="19"/>
        <v>28.620289078696779</v>
      </c>
      <c r="K87" s="81">
        <f t="shared" si="20"/>
        <v>25.113213627460471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217.49689276641024</v>
      </c>
      <c r="H101" s="54">
        <f>H81</f>
        <v>213.18589628380153</v>
      </c>
      <c r="I101" s="81">
        <f>$H101*(1+$G91)^(I$100-$H$100)</f>
        <v>198.1120241581049</v>
      </c>
      <c r="J101" s="81">
        <f>$H101*(1+$G91)^(J$100-$H$100)</f>
        <v>184.10398999271766</v>
      </c>
      <c r="K101" s="81">
        <f>$H101*(1+$G91)^(K$100-$H$100)</f>
        <v>171.08643089825321</v>
      </c>
      <c r="L101" s="67"/>
      <c r="M101" s="79">
        <f>(K101-G101)/H101</f>
        <v>-0.21769949455930979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161.66488825773737</v>
      </c>
      <c r="H102" s="54">
        <f t="shared" si="22"/>
        <v>158.46053551606883</v>
      </c>
      <c r="I102" s="81">
        <f t="shared" ref="I102:K107" si="23">$H102*(1+$G92)^(I$100-$H$100)</f>
        <v>148.79149724390919</v>
      </c>
      <c r="J102" s="81">
        <f t="shared" si="23"/>
        <v>139.71245004305325</v>
      </c>
      <c r="K102" s="81">
        <f t="shared" si="23"/>
        <v>131.18739349087164</v>
      </c>
      <c r="L102" s="67"/>
      <c r="M102" s="79">
        <f t="shared" ref="M102:M107" si="24">(K102-G102)/H102</f>
        <v>-0.19233492217862116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143.37944032379974</v>
      </c>
      <c r="H103" s="54">
        <f t="shared" si="22"/>
        <v>140.53752265291996</v>
      </c>
      <c r="I103" s="81">
        <f t="shared" si="23"/>
        <v>134.93760632490702</v>
      </c>
      <c r="J103" s="81">
        <f t="shared" si="23"/>
        <v>129.5608265819767</v>
      </c>
      <c r="K103" s="81">
        <f t="shared" si="23"/>
        <v>124.39829223135293</v>
      </c>
      <c r="L103" s="67"/>
      <c r="M103" s="79">
        <f t="shared" si="24"/>
        <v>-0.13506106934390624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136.11157911972029</v>
      </c>
      <c r="H104" s="54">
        <f t="shared" si="22"/>
        <v>133.41371741069062</v>
      </c>
      <c r="I104" s="81">
        <f t="shared" si="23"/>
        <v>128.09765917651976</v>
      </c>
      <c r="J104" s="81">
        <f t="shared" si="23"/>
        <v>122.99342680027097</v>
      </c>
      <c r="K104" s="81">
        <f t="shared" si="23"/>
        <v>118.0925797810867</v>
      </c>
      <c r="L104" s="67"/>
      <c r="M104" s="79">
        <f t="shared" si="24"/>
        <v>-0.13506106934390619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120.25101292640954</v>
      </c>
      <c r="H105" s="54">
        <f t="shared" si="22"/>
        <v>117.86752281231102</v>
      </c>
      <c r="I105" s="81">
        <f t="shared" si="23"/>
        <v>113.17092468620633</v>
      </c>
      <c r="J105" s="81">
        <f>$H105*(1+$G95)^(J$100-$H$100)</f>
        <v>108.66146915402257</v>
      </c>
      <c r="K105" s="81">
        <f>$H105*(1+$G95)^(K$100-$H$100)</f>
        <v>104.33169925446155</v>
      </c>
      <c r="L105" s="67"/>
      <c r="M105" s="79">
        <f t="shared" si="24"/>
        <v>-0.13506106934390624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48.970645032210513</v>
      </c>
      <c r="H106" s="54">
        <f t="shared" si="22"/>
        <v>48</v>
      </c>
      <c r="I106" s="81">
        <f t="shared" si="23"/>
        <v>43.599923315646762</v>
      </c>
      <c r="J106" s="81">
        <f t="shared" si="23"/>
        <v>39.603194023547459</v>
      </c>
      <c r="K106" s="81">
        <f t="shared" si="23"/>
        <v>35.972837968361439</v>
      </c>
      <c r="L106" s="67"/>
      <c r="M106" s="79">
        <f t="shared" si="24"/>
        <v>-0.27078764716352238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46.930133085061122</v>
      </c>
      <c r="H107" s="54">
        <f t="shared" si="22"/>
        <v>45.999932951694888</v>
      </c>
      <c r="I107" s="81">
        <f t="shared" si="23"/>
        <v>41.783198942058114</v>
      </c>
      <c r="J107" s="81">
        <f t="shared" si="23"/>
        <v>37.953005619919722</v>
      </c>
      <c r="K107" s="81">
        <f t="shared" si="23"/>
        <v>34.473919471391881</v>
      </c>
      <c r="L107" s="67"/>
      <c r="M107" s="79">
        <f t="shared" si="24"/>
        <v>-0.27078764716352238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321.17230511168776</v>
      </c>
      <c r="H111" s="54">
        <f t="shared" si="25"/>
        <v>314.80636277551451</v>
      </c>
      <c r="I111" s="125">
        <f t="shared" si="25"/>
        <v>178.11220672963955</v>
      </c>
      <c r="J111" s="125">
        <f t="shared" si="25"/>
        <v>131.75381496573479</v>
      </c>
      <c r="K111" s="125">
        <f t="shared" si="25"/>
        <v>87.117955791394436</v>
      </c>
      <c r="L111" s="46"/>
      <c r="M111" s="79">
        <f>(K111-G111)/H111</f>
        <v>-0.7434867175387917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1029.508285965959</v>
      </c>
      <c r="H112" s="54">
        <f t="shared" si="25"/>
        <v>1009.102446861019</v>
      </c>
      <c r="I112" s="125">
        <f t="shared" si="25"/>
        <v>642.09320287473929</v>
      </c>
      <c r="J112" s="125">
        <f t="shared" si="25"/>
        <v>553.92943722827397</v>
      </c>
      <c r="K112" s="125">
        <f t="shared" si="25"/>
        <v>453.28188768052894</v>
      </c>
      <c r="L112" s="46"/>
      <c r="M112" s="79">
        <f t="shared" ref="M112:M118" si="26">(K112-G112)/H112</f>
        <v>-0.57102864042979795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174.67303295315139</v>
      </c>
      <c r="H113" s="54">
        <f t="shared" si="25"/>
        <v>171.21084633940347</v>
      </c>
      <c r="I113" s="125">
        <f t="shared" si="25"/>
        <v>176.1240921025007</v>
      </c>
      <c r="J113" s="125">
        <f t="shared" si="25"/>
        <v>162.85394940044964</v>
      </c>
      <c r="K113" s="125">
        <f t="shared" si="25"/>
        <v>129.21829854880872</v>
      </c>
      <c r="L113" s="46"/>
      <c r="M113" s="79">
        <f t="shared" si="26"/>
        <v>-0.26548980614367451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35.173707936204373</v>
      </c>
      <c r="H114" s="54">
        <f t="shared" si="25"/>
        <v>34.47653139604968</v>
      </c>
      <c r="I114" s="125">
        <f t="shared" si="25"/>
        <v>21.178212469711841</v>
      </c>
      <c r="J114" s="125">
        <f t="shared" si="25"/>
        <v>17.521212193706674</v>
      </c>
      <c r="K114" s="125">
        <f t="shared" si="25"/>
        <v>13.629806823474727</v>
      </c>
      <c r="L114" s="46"/>
      <c r="M114" s="79">
        <f t="shared" si="26"/>
        <v>-0.62488598012496543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59.93045188505689</v>
      </c>
      <c r="H115" s="54">
        <f t="shared" si="25"/>
        <v>58.74257299634511</v>
      </c>
      <c r="I115" s="125">
        <f t="shared" si="25"/>
        <v>41.359822021255546</v>
      </c>
      <c r="J115" s="125">
        <f t="shared" si="25"/>
        <v>39.609390131324815</v>
      </c>
      <c r="K115" s="125">
        <f t="shared" si="25"/>
        <v>36.12473135160316</v>
      </c>
      <c r="L115" s="46"/>
      <c r="M115" s="79">
        <f t="shared" si="26"/>
        <v>-0.40525498491417616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327.21969833029254</v>
      </c>
      <c r="H116" s="54">
        <f t="shared" si="25"/>
        <v>320.73389087529961</v>
      </c>
      <c r="I116" s="125">
        <f t="shared" si="25"/>
        <v>186.47877385440447</v>
      </c>
      <c r="J116" s="125">
        <f t="shared" si="25"/>
        <v>150.17962067271253</v>
      </c>
      <c r="K116" s="125">
        <f t="shared" si="25"/>
        <v>112.78680352482503</v>
      </c>
      <c r="L116" s="46"/>
      <c r="M116" s="79">
        <f t="shared" si="26"/>
        <v>-0.66856949298457025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92.689514712960374</v>
      </c>
      <c r="H117" s="54">
        <f t="shared" si="25"/>
        <v>90.852319860105936</v>
      </c>
      <c r="I117" s="125">
        <f t="shared" si="25"/>
        <v>92.236678432439561</v>
      </c>
      <c r="J117" s="125">
        <f t="shared" si="25"/>
        <v>127.9306015121435</v>
      </c>
      <c r="K117" s="125">
        <f t="shared" si="25"/>
        <v>150.3821855066069</v>
      </c>
      <c r="L117" s="46"/>
      <c r="M117" s="79">
        <f t="shared" si="26"/>
        <v>0.63501593445804672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2040.3669968953122</v>
      </c>
      <c r="H118" s="146">
        <f>SUM(H111:H117)</f>
        <v>1999.9249711037373</v>
      </c>
      <c r="I118" s="144">
        <f t="shared" ref="I118:J118" si="27">SUM(I111:I117)</f>
        <v>1337.5829884846908</v>
      </c>
      <c r="J118" s="144">
        <f t="shared" si="27"/>
        <v>1183.7780261043461</v>
      </c>
      <c r="K118" s="144">
        <f>SUM(K111:K117)</f>
        <v>982.54166922724198</v>
      </c>
      <c r="L118" s="21"/>
      <c r="M118" s="79">
        <f t="shared" si="26"/>
        <v>-0.52893250644511314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848.8543073170473</v>
      </c>
      <c r="H122" s="147">
        <f t="shared" si="28"/>
        <v>832.02920289120505</v>
      </c>
      <c r="I122" s="143">
        <f>I$36*I59*(1-$J$73)*I101/1000</f>
        <v>657.06398291720029</v>
      </c>
      <c r="J122" s="143">
        <f t="shared" ref="J122:K122" si="29">J$36*J59*(1-$J$73)*J101/1000</f>
        <v>543.7492906038002</v>
      </c>
      <c r="K122" s="143">
        <f t="shared" si="29"/>
        <v>423.08220734956893</v>
      </c>
      <c r="L122" s="46"/>
      <c r="M122" s="79">
        <f>(K122-G122)/H122</f>
        <v>-0.51172735102081712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2720.9772731085732</v>
      </c>
      <c r="H123" s="147">
        <f t="shared" si="28"/>
        <v>2667.0449005379573</v>
      </c>
      <c r="I123" s="143">
        <f t="shared" ref="I123:K128" si="30">I$36*I60*(1-$J$73)*I102/1000</f>
        <v>2373.4332359479017</v>
      </c>
      <c r="J123" s="143">
        <f t="shared" si="30"/>
        <v>2258.0540673536839</v>
      </c>
      <c r="K123" s="143">
        <f t="shared" si="30"/>
        <v>2076.2577781776336</v>
      </c>
      <c r="L123" s="46"/>
      <c r="M123" s="79">
        <f t="shared" ref="M123:M129" si="31">(K123-G123)/H123</f>
        <v>-0.24173552338803753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461.65859893446748</v>
      </c>
      <c r="H124" s="147">
        <f t="shared" si="28"/>
        <v>452.50808385878764</v>
      </c>
      <c r="I124" s="143">
        <f t="shared" si="30"/>
        <v>511.47189610199632</v>
      </c>
      <c r="J124" s="143">
        <f t="shared" si="30"/>
        <v>573.98490559692755</v>
      </c>
      <c r="K124" s="143">
        <f t="shared" si="30"/>
        <v>492.20225161218104</v>
      </c>
      <c r="L124" s="46"/>
      <c r="M124" s="79">
        <f t="shared" si="31"/>
        <v>6.7498579069021014E-2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92.963661594594797</v>
      </c>
      <c r="H125" s="147">
        <f t="shared" si="28"/>
        <v>91.121032888284304</v>
      </c>
      <c r="I125" s="143">
        <f t="shared" si="30"/>
        <v>76.878043476516652</v>
      </c>
      <c r="J125" s="143">
        <f t="shared" si="30"/>
        <v>68.615750247201404</v>
      </c>
      <c r="K125" s="143">
        <f t="shared" si="30"/>
        <v>58.406583225879139</v>
      </c>
      <c r="L125" s="46"/>
      <c r="M125" s="79">
        <f t="shared" si="31"/>
        <v>-0.3792437077736282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158.3954201916531</v>
      </c>
      <c r="H126" s="147">
        <f t="shared" si="28"/>
        <v>155.25587143478461</v>
      </c>
      <c r="I126" s="143">
        <f t="shared" si="30"/>
        <v>239.50643953325996</v>
      </c>
      <c r="J126" s="143">
        <f t="shared" si="30"/>
        <v>333.41119380230816</v>
      </c>
      <c r="K126" s="143">
        <f t="shared" si="30"/>
        <v>412.80548443596905</v>
      </c>
      <c r="L126" s="46"/>
      <c r="M126" s="79">
        <f t="shared" si="31"/>
        <v>1.6386501965639422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864.83749048680227</v>
      </c>
      <c r="H127" s="147">
        <f t="shared" si="28"/>
        <v>847.69558408025466</v>
      </c>
      <c r="I127" s="143">
        <f t="shared" si="30"/>
        <v>640.39245407640112</v>
      </c>
      <c r="J127" s="143">
        <f t="shared" si="30"/>
        <v>526.35436611450825</v>
      </c>
      <c r="K127" s="143">
        <f t="shared" si="30"/>
        <v>426.99730504286885</v>
      </c>
      <c r="L127" s="46"/>
      <c r="M127" s="79">
        <f t="shared" si="31"/>
        <v>-0.51650638940037397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244.97720555283334</v>
      </c>
      <c r="H128" s="147">
        <f t="shared" si="28"/>
        <v>240.12152298181007</v>
      </c>
      <c r="I128" s="143">
        <f t="shared" si="30"/>
        <v>286.39731896111186</v>
      </c>
      <c r="J128" s="143">
        <f t="shared" si="30"/>
        <v>340.64067016214727</v>
      </c>
      <c r="K128" s="143">
        <f t="shared" si="30"/>
        <v>375.10472470102462</v>
      </c>
      <c r="L128" s="46"/>
      <c r="M128" s="79">
        <f t="shared" si="31"/>
        <v>0.54192359573718363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5392.6639571859723</v>
      </c>
      <c r="H129" s="148">
        <f>SUM(H122:H128)</f>
        <v>5285.7761986730839</v>
      </c>
      <c r="I129" s="145">
        <f t="shared" ref="I129:K129" si="32">SUM(I122:I128)</f>
        <v>4785.1433710143874</v>
      </c>
      <c r="J129" s="145">
        <f t="shared" si="32"/>
        <v>4644.8102438805772</v>
      </c>
      <c r="K129" s="145">
        <f t="shared" si="32"/>
        <v>4264.8563345451248</v>
      </c>
      <c r="L129" s="21"/>
      <c r="M129" s="79">
        <f t="shared" si="31"/>
        <v>-0.21336651047086841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1146.8355656667195</v>
      </c>
      <c r="I133" s="143">
        <f t="shared" ref="I133:K133" si="33">I111+I122</f>
        <v>835.17618964683982</v>
      </c>
      <c r="J133" s="143">
        <f t="shared" si="33"/>
        <v>675.50310556953502</v>
      </c>
      <c r="K133" s="143">
        <f t="shared" si="33"/>
        <v>510.20016314096335</v>
      </c>
      <c r="L133" s="46"/>
      <c r="M133" s="79">
        <f>(K133-G133)/H133</f>
        <v>0.44487647437438471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3676.1473473989763</v>
      </c>
      <c r="I134" s="143">
        <f t="shared" si="34"/>
        <v>3015.526438822641</v>
      </c>
      <c r="J134" s="143">
        <f t="shared" si="34"/>
        <v>2811.9835045819577</v>
      </c>
      <c r="K134" s="143">
        <f t="shared" si="34"/>
        <v>2529.5396658581626</v>
      </c>
      <c r="L134" s="46"/>
      <c r="M134" s="79">
        <f t="shared" ref="M134:M140" si="35">(K134-G134)/H134</f>
        <v>0.688095287488385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623.71893019819117</v>
      </c>
      <c r="I135" s="143">
        <f t="shared" si="34"/>
        <v>687.59598820449696</v>
      </c>
      <c r="J135" s="143">
        <f t="shared" si="34"/>
        <v>736.83885499737721</v>
      </c>
      <c r="K135" s="143">
        <f t="shared" si="34"/>
        <v>621.42055016098971</v>
      </c>
      <c r="L135" s="46"/>
      <c r="M135" s="79">
        <f t="shared" si="35"/>
        <v>0.9963150388325217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125.59756428433398</v>
      </c>
      <c r="I136" s="143">
        <f t="shared" si="34"/>
        <v>98.05625594622849</v>
      </c>
      <c r="J136" s="143">
        <f t="shared" si="34"/>
        <v>86.136962440908079</v>
      </c>
      <c r="K136" s="143">
        <f t="shared" si="34"/>
        <v>72.036390049353869</v>
      </c>
      <c r="L136" s="46"/>
      <c r="M136" s="79">
        <f t="shared" si="35"/>
        <v>0.57354925997031536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213.99844443112971</v>
      </c>
      <c r="I137" s="143">
        <f t="shared" si="34"/>
        <v>280.86626155451552</v>
      </c>
      <c r="J137" s="143">
        <f t="shared" si="34"/>
        <v>373.02058393363296</v>
      </c>
      <c r="K137" s="143">
        <f t="shared" si="34"/>
        <v>448.93021578757219</v>
      </c>
      <c r="L137" s="46"/>
      <c r="M137" s="79">
        <f t="shared" si="35"/>
        <v>2.0978199957525843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1168.4294749555543</v>
      </c>
      <c r="I138" s="143">
        <f t="shared" si="34"/>
        <v>826.87122793080562</v>
      </c>
      <c r="J138" s="143">
        <f t="shared" si="34"/>
        <v>676.53398678722078</v>
      </c>
      <c r="K138" s="143">
        <f t="shared" si="34"/>
        <v>539.78410856769392</v>
      </c>
      <c r="L138" s="46"/>
      <c r="M138" s="79">
        <f t="shared" si="35"/>
        <v>0.46197406017014991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330.973842841916</v>
      </c>
      <c r="I139" s="143">
        <f t="shared" si="34"/>
        <v>378.63399739355145</v>
      </c>
      <c r="J139" s="143">
        <f t="shared" si="34"/>
        <v>468.57127167429076</v>
      </c>
      <c r="K139" s="143">
        <f t="shared" si="34"/>
        <v>525.48691020763158</v>
      </c>
      <c r="L139" s="46"/>
      <c r="M139" s="79">
        <f t="shared" si="35"/>
        <v>1.5876992142204465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7285.7011697768203</v>
      </c>
      <c r="I140" s="145">
        <f t="shared" ref="I140:K140" si="36">SUM(I133:I139)</f>
        <v>6122.7263594990782</v>
      </c>
      <c r="J140" s="145">
        <f t="shared" si="36"/>
        <v>5828.5882699849226</v>
      </c>
      <c r="K140" s="145">
        <f t="shared" si="36"/>
        <v>5247.3980037723668</v>
      </c>
      <c r="L140" s="21"/>
      <c r="M140" s="79">
        <f t="shared" si="35"/>
        <v>0.72023239513858739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énergie'!C12</f>
        <v>0</v>
      </c>
      <c r="I146" s="47">
        <f>H146</f>
        <v>0</v>
      </c>
      <c r="J146" s="47">
        <f>I146</f>
        <v>0</v>
      </c>
      <c r="K146" s="47">
        <f>J146</f>
        <v>0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énergie'!C13</f>
        <v>0.38923402073260943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énergie'!C14</f>
        <v>6.6076657693018501E-2</v>
      </c>
      <c r="I148" s="47">
        <v>7.0000000000000007E-2</v>
      </c>
      <c r="J148" s="47">
        <v>7.0000000000000007E-2</v>
      </c>
      <c r="K148" s="47">
        <v>7.0000000000000007E-2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énergie'!C15</f>
        <v>1.4740928196769911E-2</v>
      </c>
      <c r="I149" s="47">
        <v>0</v>
      </c>
      <c r="J149" s="47">
        <v>0</v>
      </c>
      <c r="K149" s="47"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énergie'!C16</f>
        <v>2.5736644706610589E-2</v>
      </c>
      <c r="I150" s="47">
        <f t="shared" ref="I150:K150" si="37">H150</f>
        <v>2.5736644706610589E-2</v>
      </c>
      <c r="J150" s="47">
        <f t="shared" si="37"/>
        <v>2.5736644706610589E-2</v>
      </c>
      <c r="K150" s="47">
        <f t="shared" si="37"/>
        <v>2.5736644706610589E-2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énergie'!C17</f>
        <v>8.0042733231366181E-2</v>
      </c>
      <c r="I151" s="47">
        <f t="shared" ref="I151:K151" si="38">H151</f>
        <v>8.0042733231366181E-2</v>
      </c>
      <c r="J151" s="47">
        <f t="shared" si="38"/>
        <v>8.0042733231366181E-2</v>
      </c>
      <c r="K151" s="47">
        <f t="shared" si="38"/>
        <v>8.0042733231366181E-2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énergie'!C18</f>
        <v>0.42416901543962537</v>
      </c>
      <c r="I152" s="47">
        <v>0.82</v>
      </c>
      <c r="J152" s="47">
        <v>0.82</v>
      </c>
      <c r="K152" s="47">
        <v>0.82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39">SUM(I146:I152)</f>
        <v>0.99577937793797666</v>
      </c>
      <c r="J153" s="15">
        <f t="shared" si="39"/>
        <v>0.99577937793797666</v>
      </c>
      <c r="K153" s="15">
        <f t="shared" si="39"/>
        <v>0.99577937793797666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116.38675563633571</v>
      </c>
      <c r="J157" s="45">
        <f>K157</f>
        <v>116.38675563633571</v>
      </c>
      <c r="K157" s="45">
        <f t="shared" ref="K157:K163" si="40">K81</f>
        <v>116.38675563633571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1">J158</f>
        <v>86.509980006181721</v>
      </c>
      <c r="J158" s="45">
        <f t="shared" si="41"/>
        <v>86.509980006181721</v>
      </c>
      <c r="K158" s="45">
        <f t="shared" si="40"/>
        <v>86.509980006181721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1"/>
        <v>76.725086377040114</v>
      </c>
      <c r="J159" s="45">
        <f t="shared" si="41"/>
        <v>76.725086377040114</v>
      </c>
      <c r="K159" s="45">
        <f t="shared" si="40"/>
        <v>76.725086377040114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1"/>
        <v>72.835914558542143</v>
      </c>
      <c r="J160" s="45">
        <f t="shared" si="41"/>
        <v>72.835914558542143</v>
      </c>
      <c r="K160" s="45">
        <f t="shared" si="40"/>
        <v>72.835914558542143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1"/>
        <v>64.348621621546812</v>
      </c>
      <c r="J161" s="45">
        <f t="shared" si="41"/>
        <v>64.348621621546812</v>
      </c>
      <c r="K161" s="45">
        <f t="shared" si="40"/>
        <v>64.348621621546812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1"/>
        <v>26.205130676689123</v>
      </c>
      <c r="J162" s="45">
        <f t="shared" si="41"/>
        <v>26.205130676689123</v>
      </c>
      <c r="K162" s="45">
        <f t="shared" si="40"/>
        <v>26.205130676689123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1"/>
        <v>25.113213627460471</v>
      </c>
      <c r="J163" s="45">
        <f t="shared" si="41"/>
        <v>25.113213627460471</v>
      </c>
      <c r="K163" s="45">
        <f t="shared" si="40"/>
        <v>25.113213627460471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2">I$35*I146*I157/1000</f>
        <v>0</v>
      </c>
      <c r="J167" s="10">
        <f t="shared" si="42"/>
        <v>0</v>
      </c>
      <c r="K167" s="10">
        <f t="shared" si="42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3">H$35*H147*H158/1000</f>
        <v>0</v>
      </c>
      <c r="I168" s="10">
        <f t="shared" si="43"/>
        <v>0</v>
      </c>
      <c r="J168" s="10">
        <f t="shared" si="43"/>
        <v>0</v>
      </c>
      <c r="K168" s="10">
        <f t="shared" si="43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3"/>
        <v>0</v>
      </c>
      <c r="I169" s="10">
        <f t="shared" si="43"/>
        <v>24.460008045841047</v>
      </c>
      <c r="J169" s="10">
        <f t="shared" si="43"/>
        <v>16.370454769859261</v>
      </c>
      <c r="K169" s="10">
        <f t="shared" si="43"/>
        <v>10.966283174582621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3"/>
        <v>0</v>
      </c>
      <c r="I170" s="10">
        <f t="shared" si="43"/>
        <v>0</v>
      </c>
      <c r="J170" s="10">
        <f t="shared" si="43"/>
        <v>0</v>
      </c>
      <c r="K170" s="10">
        <f t="shared" si="43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3"/>
        <v>0</v>
      </c>
      <c r="I171" s="10">
        <f t="shared" si="43"/>
        <v>7.5424483564869034</v>
      </c>
      <c r="J171" s="10">
        <f t="shared" si="43"/>
        <v>5.0479668462276894</v>
      </c>
      <c r="K171" s="10">
        <f t="shared" si="43"/>
        <v>3.3815452698088686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3"/>
        <v>0</v>
      </c>
      <c r="I172" s="10">
        <f t="shared" si="43"/>
        <v>9.5527719339721902</v>
      </c>
      <c r="J172" s="10">
        <f t="shared" si="43"/>
        <v>6.3934247518967036</v>
      </c>
      <c r="K172" s="10">
        <f t="shared" si="43"/>
        <v>4.2828441402723261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3"/>
        <v>0</v>
      </c>
      <c r="I173" s="10">
        <f t="shared" si="43"/>
        <v>93.785848715597908</v>
      </c>
      <c r="J173" s="10">
        <f t="shared" si="43"/>
        <v>62.76845827581851</v>
      </c>
      <c r="K173" s="10">
        <f t="shared" si="43"/>
        <v>42.047499447110191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4">SUM(I167:I173)</f>
        <v>135.34107705189805</v>
      </c>
      <c r="J174" s="11">
        <f t="shared" si="44"/>
        <v>90.580304643802165</v>
      </c>
      <c r="K174" s="11">
        <f t="shared" si="44"/>
        <v>60.678172031774004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5379.5095532023679</v>
      </c>
      <c r="I179" s="10">
        <f t="shared" ref="I179:K179" si="45">I$36*($J$73*I45+(1-$J$73)*I59)+I$35*I146</f>
        <v>4511.7510882434444</v>
      </c>
      <c r="J179" s="10">
        <f t="shared" si="45"/>
        <v>3946.8070851222201</v>
      </c>
      <c r="K179" s="10">
        <f t="shared" si="45"/>
        <v>3221.436251017476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6">H$36*($J$73*H46+(1-$J$73)*H60)+H$35*H147</f>
        <v>23199.134948185208</v>
      </c>
      <c r="I180" s="10">
        <f t="shared" si="46"/>
        <v>21747.748291606793</v>
      </c>
      <c r="J180" s="10">
        <f t="shared" si="46"/>
        <v>21780.603376632302</v>
      </c>
      <c r="K180" s="10">
        <f t="shared" si="46"/>
        <v>21066.304735782887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6"/>
        <v>4438.0953813919532</v>
      </c>
      <c r="I181" s="10">
        <f t="shared" si="46"/>
        <v>5901.9171167870381</v>
      </c>
      <c r="J181" s="10">
        <f t="shared" si="46"/>
        <v>6506.0696278275909</v>
      </c>
      <c r="K181" s="10">
        <f t="shared" si="46"/>
        <v>5783.7663560736746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6"/>
        <v>941.41417181041447</v>
      </c>
      <c r="I182" s="10">
        <f t="shared" si="46"/>
        <v>827.22511569443861</v>
      </c>
      <c r="J182" s="10">
        <f t="shared" si="46"/>
        <v>768.96132539198618</v>
      </c>
      <c r="K182" s="10">
        <f t="shared" si="46"/>
        <v>681.71331097608197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6"/>
        <v>1815.5844742057991</v>
      </c>
      <c r="I183" s="10">
        <f t="shared" si="46"/>
        <v>2735.4886119420144</v>
      </c>
      <c r="J183" s="10">
        <f t="shared" si="46"/>
        <v>3686.9112655256235</v>
      </c>
      <c r="K183" s="10">
        <f t="shared" si="46"/>
        <v>4570.6053601666554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6"/>
        <v>24342.280728240712</v>
      </c>
      <c r="I184" s="10">
        <f t="shared" si="46"/>
        <v>20609.784481765193</v>
      </c>
      <c r="J184" s="10">
        <f t="shared" si="46"/>
        <v>18563.348820289761</v>
      </c>
      <c r="K184" s="10">
        <f t="shared" si="46"/>
        <v>16337.424488053191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6"/>
        <v>7195.0940274081668</v>
      </c>
      <c r="I185" s="10">
        <f t="shared" si="46"/>
        <v>13457.181780160568</v>
      </c>
      <c r="J185" s="10">
        <f t="shared" si="46"/>
        <v>15944.674446383871</v>
      </c>
      <c r="K185" s="10">
        <f t="shared" si="46"/>
        <v>18543.313634527563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67262.327857184035</v>
      </c>
      <c r="I186" s="10">
        <f t="shared" si="46"/>
        <v>69791.096486199502</v>
      </c>
      <c r="J186" s="10">
        <f t="shared" si="46"/>
        <v>71197.375947173365</v>
      </c>
      <c r="K186" s="10">
        <f t="shared" si="46"/>
        <v>70204.564136597532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  <pageSetUpPr fitToPage="1"/>
  </sheetPr>
  <dimension ref="A1:GB1593"/>
  <sheetViews>
    <sheetView showGridLines="0" topLeftCell="A34" zoomScaleNormal="100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184229.64520786435</v>
      </c>
      <c r="I7" s="10">
        <f t="shared" si="0"/>
        <v>188845.72076800707</v>
      </c>
      <c r="J7" s="10">
        <f t="shared" si="0"/>
        <v>189052.81684560882</v>
      </c>
      <c r="K7" s="10">
        <f t="shared" si="0"/>
        <v>184659.28455413607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13164.331097787628</v>
      </c>
      <c r="J8" s="76">
        <f t="shared" si="0"/>
        <v>8969.5375212372728</v>
      </c>
      <c r="K8" s="76">
        <f t="shared" si="0"/>
        <v>8772.0507016362499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184229.64520786435</v>
      </c>
      <c r="I9" s="96">
        <f t="shared" si="1"/>
        <v>175681.38967021945</v>
      </c>
      <c r="J9" s="96">
        <f t="shared" si="1"/>
        <v>180083.27932437154</v>
      </c>
      <c r="K9" s="96">
        <f t="shared" si="1"/>
        <v>175887.23385249983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3430.6717540831442</v>
      </c>
      <c r="I13" s="86">
        <f t="shared" ref="I13:K13" si="2">I133+I167</f>
        <v>2428.7884649424232</v>
      </c>
      <c r="J13" s="86">
        <f t="shared" si="2"/>
        <v>1974.2602773440449</v>
      </c>
      <c r="K13" s="86">
        <f t="shared" si="2"/>
        <v>1465.9959053210796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7861.961834985028</v>
      </c>
      <c r="I14" s="86">
        <f t="shared" si="3"/>
        <v>6281.2395524720914</v>
      </c>
      <c r="J14" s="86">
        <f t="shared" si="3"/>
        <v>5758.9276074072459</v>
      </c>
      <c r="K14" s="86">
        <f t="shared" si="3"/>
        <v>5009.7398760972683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392.69537442242785</v>
      </c>
      <c r="I15" s="86">
        <f t="shared" si="3"/>
        <v>337.41146265265252</v>
      </c>
      <c r="J15" s="86">
        <f t="shared" si="3"/>
        <v>296.77484850346912</v>
      </c>
      <c r="K15" s="86">
        <f t="shared" si="3"/>
        <v>232.21019221512034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159.09604448839201</v>
      </c>
      <c r="I16" s="86">
        <f t="shared" si="3"/>
        <v>138.28345606143262</v>
      </c>
      <c r="J16" s="86">
        <f t="shared" si="3"/>
        <v>137.83284214669905</v>
      </c>
      <c r="K16" s="86">
        <f t="shared" si="3"/>
        <v>130.22436030333219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142.21438786032849</v>
      </c>
      <c r="I17" s="86">
        <f t="shared" si="3"/>
        <v>112.40532916126897</v>
      </c>
      <c r="J17" s="86">
        <f t="shared" si="3"/>
        <v>95.968899573366343</v>
      </c>
      <c r="K17" s="86">
        <f t="shared" si="3"/>
        <v>77.87230538321657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2654.7491874453253</v>
      </c>
      <c r="I18" s="86">
        <f t="shared" si="3"/>
        <v>1911.1201273357092</v>
      </c>
      <c r="J18" s="86">
        <f t="shared" si="3"/>
        <v>1385.0423517347531</v>
      </c>
      <c r="K18" s="86">
        <f t="shared" si="3"/>
        <v>921.23625398489867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822.29267193269959</v>
      </c>
      <c r="I19" s="86">
        <f t="shared" si="3"/>
        <v>1507.7135949147244</v>
      </c>
      <c r="J19" s="86">
        <f t="shared" si="3"/>
        <v>1917.8681257114456</v>
      </c>
      <c r="K19" s="86">
        <f t="shared" si="3"/>
        <v>2211.6673156276393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15463.681255217345</v>
      </c>
      <c r="I20" s="13">
        <f t="shared" ref="I20:K20" si="4">SUM(I13:I19)</f>
        <v>12716.961987540304</v>
      </c>
      <c r="J20" s="13">
        <f t="shared" si="4"/>
        <v>11566.674952421024</v>
      </c>
      <c r="K20" s="13">
        <f t="shared" si="4"/>
        <v>10048.946208932555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-0.35631999999999986</v>
      </c>
      <c r="J23" s="177">
        <f t="shared" ref="J23:K23" si="5">J118/$G118-1</f>
        <v>-0.43794124178721794</v>
      </c>
      <c r="K23" s="177">
        <f t="shared" si="5"/>
        <v>-0.54650927115626335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-0.14836324192383921</v>
      </c>
      <c r="J24" s="177">
        <f t="shared" ref="J24:K24" si="6">J129/$G129-1</f>
        <v>-0.20572739130481055</v>
      </c>
      <c r="K24" s="177">
        <f t="shared" si="6"/>
        <v>-0.29522113619251533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184229.64520786435</v>
      </c>
      <c r="H34" s="125">
        <f>'Init. parc'!C6</f>
        <v>184229.64520786435</v>
      </c>
      <c r="I34" s="125">
        <f>'Init. parc'!D6</f>
        <v>188845.72076800707</v>
      </c>
      <c r="J34" s="125">
        <f>'Init. parc'!E6</f>
        <v>189052.81684560882</v>
      </c>
      <c r="K34" s="125">
        <f>'Init. parc'!F6</f>
        <v>184659.28455413607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parc'!N6</f>
        <v>13164.331097787628</v>
      </c>
      <c r="J35" s="125">
        <f>'Init. parc'!O6</f>
        <v>8969.5375212372728</v>
      </c>
      <c r="K35" s="125">
        <f>'Init. parc'!P6</f>
        <v>8772.0507016362499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184229.64520786435</v>
      </c>
      <c r="H36" s="125">
        <f>H34-H35</f>
        <v>184229.64520786435</v>
      </c>
      <c r="I36" s="125">
        <f>I34-I35</f>
        <v>175681.38967021945</v>
      </c>
      <c r="J36" s="125">
        <f>J34-J35</f>
        <v>180083.27932437154</v>
      </c>
      <c r="K36" s="125">
        <f>K34-K35</f>
        <v>175887.23385249983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0.184</v>
      </c>
      <c r="H45" s="55">
        <f>'Init. énergie'!B21</f>
        <v>0.184</v>
      </c>
      <c r="I45" s="47">
        <v>0.15</v>
      </c>
      <c r="J45" s="47">
        <f>H45+((K45-H45)/3*2)</f>
        <v>0.128</v>
      </c>
      <c r="K45" s="47">
        <v>0.1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0.39300000000000002</v>
      </c>
      <c r="H46" s="55">
        <f>'Init. énergie'!B22</f>
        <v>0.39300000000000002</v>
      </c>
      <c r="I46" s="47">
        <f t="shared" ref="I46:I51" si="8">H46+((K46-H46)/3)</f>
        <v>0.3686666666666667</v>
      </c>
      <c r="J46" s="47">
        <f t="shared" ref="J46:J50" si="9">H46+((K46-H46)/3*2)</f>
        <v>0.34433333333333332</v>
      </c>
      <c r="K46" s="47">
        <v>0.32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4.2000000000000003E-2</v>
      </c>
      <c r="H47" s="55">
        <f>'Init. énergie'!B23</f>
        <v>4.2000000000000003E-2</v>
      </c>
      <c r="I47" s="47">
        <v>0.05</v>
      </c>
      <c r="J47" s="47">
        <v>0.05</v>
      </c>
      <c r="K47" s="47">
        <v>0.04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1.7999999999999999E-2</v>
      </c>
      <c r="H48" s="55">
        <f>'Init. énergie'!B24</f>
        <v>1.7999999999999999E-2</v>
      </c>
      <c r="I48" s="47">
        <f t="shared" si="8"/>
        <v>1.8666666666666665E-2</v>
      </c>
      <c r="J48" s="47">
        <f t="shared" si="9"/>
        <v>1.9333333333333334E-2</v>
      </c>
      <c r="K48" s="47">
        <v>0.02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1.4E-2</v>
      </c>
      <c r="H49" s="55">
        <f>'Init. énergie'!B25</f>
        <v>1.4E-2</v>
      </c>
      <c r="I49" s="47">
        <f t="shared" si="8"/>
        <v>1.2666666666666666E-2</v>
      </c>
      <c r="J49" s="47">
        <f t="shared" si="9"/>
        <v>1.1333333333333334E-2</v>
      </c>
      <c r="K49" s="47">
        <v>0.01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0.26200000000000001</v>
      </c>
      <c r="H50" s="55">
        <f>'Init. énergie'!B26</f>
        <v>0.26200000000000001</v>
      </c>
      <c r="I50" s="47">
        <f t="shared" si="8"/>
        <v>0.21133333333333335</v>
      </c>
      <c r="J50" s="47">
        <f t="shared" si="9"/>
        <v>0.16066666666666668</v>
      </c>
      <c r="K50" s="47">
        <f>1-K45-K46-K47-K48-K49-K51</f>
        <v>0.10999999999999999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8.7999999999999995E-2</v>
      </c>
      <c r="H51" s="55">
        <f>'Init. énergie'!B27</f>
        <v>8.7999999999999995E-2</v>
      </c>
      <c r="I51" s="47">
        <f t="shared" si="8"/>
        <v>0.192</v>
      </c>
      <c r="J51" s="47">
        <v>0.28999999999999998</v>
      </c>
      <c r="K51" s="123">
        <v>0.4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1.0010000000000001</v>
      </c>
      <c r="H52" s="149">
        <f t="shared" si="10"/>
        <v>1.0010000000000001</v>
      </c>
      <c r="I52" s="155">
        <f t="shared" si="10"/>
        <v>1.0033333333333336</v>
      </c>
      <c r="J52" s="155">
        <f t="shared" si="10"/>
        <v>1.0036666666666667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-3.8487307586918949E-2</v>
      </c>
      <c r="J55" s="142">
        <f>(I$81*(J45-I45)+I$82*(J46-I46)+I$83*(J47-I47)+I$84*(J48-I48)+I$85*(J49-I49)+I$86*(J50-I50)+I$87*(J51-I51))/(I$81*I45+I$82*I46+I$83*I47+I$84*I48+I$85*I49+I$86*I50+I$87*I51)</f>
        <v>-3.3781460911011585E-2</v>
      </c>
      <c r="K55" s="142">
        <f>(J$81*(K45-J45)+J$82*(K46-J46)+J$83*(K47-J47)+J$84*(K48-J48)+J$85*(K49-J49)+J$86*(K50-J50)+J$87*(K51-J51))/(J$81*J45+J$82*J46+J$83*J47+J$84*J48+J$85*J49+J$86*J50+J$87*J51)</f>
        <v>-4.1452608008116974E-2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0.184</v>
      </c>
      <c r="H59" s="55">
        <f>H45</f>
        <v>0.184</v>
      </c>
      <c r="I59" s="47">
        <f>H59+((K59-H59)/3)</f>
        <v>0.16266666666666665</v>
      </c>
      <c r="J59" s="47">
        <f>H59+((K59-H59)/3*2)</f>
        <v>0.14133333333333334</v>
      </c>
      <c r="K59" s="47">
        <v>0.12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0.39300000000000002</v>
      </c>
      <c r="H60" s="55">
        <f t="shared" ref="H60:H65" si="12">H46</f>
        <v>0.39300000000000002</v>
      </c>
      <c r="I60" s="47">
        <f t="shared" ref="I60:I65" si="13">H60+((K60-H60)/3)</f>
        <v>0.38533333333333336</v>
      </c>
      <c r="J60" s="47">
        <f t="shared" ref="J60:J65" si="14">H60+((K60-H60)/3*2)</f>
        <v>0.37766666666666665</v>
      </c>
      <c r="K60" s="47">
        <v>0.37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4.2000000000000003E-2</v>
      </c>
      <c r="H61" s="55">
        <f t="shared" si="12"/>
        <v>4.2000000000000003E-2</v>
      </c>
      <c r="I61" s="47">
        <f t="shared" si="13"/>
        <v>3.7999999999999999E-2</v>
      </c>
      <c r="J61" s="47">
        <f t="shared" si="14"/>
        <v>3.4000000000000002E-2</v>
      </c>
      <c r="K61" s="47">
        <v>0.03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1.7999999999999999E-2</v>
      </c>
      <c r="H62" s="55">
        <f t="shared" si="12"/>
        <v>1.7999999999999999E-2</v>
      </c>
      <c r="I62" s="47">
        <f t="shared" si="13"/>
        <v>1.8666666666666665E-2</v>
      </c>
      <c r="J62" s="47">
        <f t="shared" si="14"/>
        <v>1.9333333333333334E-2</v>
      </c>
      <c r="K62" s="47">
        <v>0.02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1.4E-2</v>
      </c>
      <c r="H63" s="55">
        <f t="shared" si="12"/>
        <v>1.4E-2</v>
      </c>
      <c r="I63" s="47">
        <f t="shared" si="13"/>
        <v>1.2666666666666666E-2</v>
      </c>
      <c r="J63" s="47">
        <f t="shared" si="14"/>
        <v>1.1333333333333334E-2</v>
      </c>
      <c r="K63" s="47">
        <v>0.01</v>
      </c>
      <c r="L63" s="64"/>
      <c r="M63" s="494"/>
      <c r="N63" s="33"/>
      <c r="O63" s="42"/>
    </row>
    <row r="64" spans="1:15">
      <c r="C64" s="40"/>
      <c r="D64" s="32"/>
      <c r="E64" s="151" t="s">
        <v>25</v>
      </c>
      <c r="F64" s="55"/>
      <c r="G64" s="55">
        <f t="shared" si="11"/>
        <v>0.26200000000000001</v>
      </c>
      <c r="H64" s="55">
        <f t="shared" si="12"/>
        <v>0.26200000000000001</v>
      </c>
      <c r="I64" s="47">
        <f t="shared" si="13"/>
        <v>0.218</v>
      </c>
      <c r="J64" s="47">
        <f t="shared" si="14"/>
        <v>0.17399999999999999</v>
      </c>
      <c r="K64" s="47">
        <f>1-K59-K60-K61-K62-K63-K65</f>
        <v>0.12999999999999995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8.7999999999999995E-2</v>
      </c>
      <c r="H65" s="55">
        <f t="shared" si="12"/>
        <v>8.7999999999999995E-2</v>
      </c>
      <c r="I65" s="47">
        <f t="shared" si="13"/>
        <v>0.16533333333333333</v>
      </c>
      <c r="J65" s="47">
        <f t="shared" si="14"/>
        <v>0.24266666666666667</v>
      </c>
      <c r="K65" s="123">
        <v>0.32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1.0010000000000001</v>
      </c>
      <c r="H66" s="149">
        <v>1</v>
      </c>
      <c r="I66" s="47">
        <f t="shared" ref="I66:J66" si="16">SUM(I59:I65)</f>
        <v>1.0006666666666666</v>
      </c>
      <c r="J66" s="47">
        <f t="shared" si="16"/>
        <v>1.0003333333333333</v>
      </c>
      <c r="K66" s="47">
        <f>SUM(K59:K65)</f>
        <v>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-2.0654648326488594E-2</v>
      </c>
      <c r="J69" s="142">
        <f>(I$101*(J59-I59)+I$102*(J60-I60)+I$103*(J61-I61)+I$104*(J62-I62)+I$105*(J63-I63)+I$106*(J64-I64)+I$107*(J65-I65))/(I$101*I59+I$102*I60+I$103*I61+I$104*I62+I$105*I63+I$106*I64+I$107*I65)</f>
        <v>-2.1682175657139969E-2</v>
      </c>
      <c r="K69" s="142">
        <f>(J$101*(K59-J59)+J$102*(K60-J60)+J$103*(K61-J61)+J$104*(K62-J62)+J$105*(K63-J63)+J$106*(K64-J64)+J$107*(K65-J65))/(J$101*J59+J$102*J60+J$103*J61+J$104*J62+J$105*J63+J$106*J64+J$107*J65)</f>
        <v>-2.2769676138833482E-2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bord'!G12</f>
        <v>0.74</v>
      </c>
      <c r="I73" s="92">
        <f>'Tableau de bord'!G24</f>
        <v>0.45</v>
      </c>
      <c r="J73" s="92">
        <f>'Tableau de bord'!G27</f>
        <v>0.33300000000000002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58.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103.25151083712665</v>
      </c>
      <c r="H81" s="54">
        <f>'Init. énergie'!D21</f>
        <v>101.20496711697824</v>
      </c>
      <c r="I81" s="81">
        <f>G81*(1-H$77)/(1+I$55)</f>
        <v>72.48450318440365</v>
      </c>
      <c r="J81" s="81">
        <f>G81*(1-I$77)/(1+I$55)/(1+J$55)</f>
        <v>63.90485772133264</v>
      </c>
      <c r="K81" s="81">
        <f>G81*(1-J$77)/(1+I$55)/(1+J$55)/(1+K$55)</f>
        <v>55.073927343612745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110.78308433796674</v>
      </c>
      <c r="H82" s="54">
        <f>'Init. énergie'!D22</f>
        <v>108.58725762596659</v>
      </c>
      <c r="I82" s="81">
        <f t="shared" ref="I82:I87" si="18">G82*(1-H$77)/(1+I$55)</f>
        <v>77.771809481222633</v>
      </c>
      <c r="J82" s="81">
        <f t="shared" ref="J82:J87" si="19">G82*(1-I$77)/(1+I$55)/(1+J$55)</f>
        <v>68.566330750508712</v>
      </c>
      <c r="K82" s="81">
        <f t="shared" ref="K82:K87" si="20">G82*(1-J$77)/(1+I$55)/(1+J$55)/(1+K$55)</f>
        <v>59.091237389783977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51.777558345312215</v>
      </c>
      <c r="H83" s="54">
        <f>'Init. énergie'!D23</f>
        <v>50.751277606007875</v>
      </c>
      <c r="I83" s="81">
        <f t="shared" si="18"/>
        <v>36.348820102803948</v>
      </c>
      <c r="J83" s="81">
        <f t="shared" si="19"/>
        <v>32.046383364158991</v>
      </c>
      <c r="K83" s="81">
        <f t="shared" si="20"/>
        <v>27.617934722888659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48.946534504727495</v>
      </c>
      <c r="H84" s="54">
        <f>'Init. énergie'!D24</f>
        <v>47.976367366236985</v>
      </c>
      <c r="I84" s="81">
        <f t="shared" si="18"/>
        <v>34.361388103753733</v>
      </c>
      <c r="J84" s="81">
        <f t="shared" si="19"/>
        <v>30.294194226475064</v>
      </c>
      <c r="K84" s="81">
        <f t="shared" si="20"/>
        <v>26.107878356252566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56.253632545159441</v>
      </c>
      <c r="H85" s="54">
        <f>'Init. énergie'!D25</f>
        <v>55.138631733186472</v>
      </c>
      <c r="I85" s="81">
        <f t="shared" si="18"/>
        <v>39.491108404078766</v>
      </c>
      <c r="J85" s="81">
        <f t="shared" si="19"/>
        <v>34.816733963120981</v>
      </c>
      <c r="K85" s="81">
        <f t="shared" si="20"/>
        <v>30.00545412350904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56.112197432741212</v>
      </c>
      <c r="H86" s="54">
        <f>'Init. énergie'!D26</f>
        <v>55</v>
      </c>
      <c r="I86" s="81">
        <f t="shared" si="18"/>
        <v>39.391818294197108</v>
      </c>
      <c r="J86" s="81">
        <f t="shared" si="19"/>
        <v>34.729196350716023</v>
      </c>
      <c r="K86" s="81">
        <f t="shared" si="20"/>
        <v>29.930013221559971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51.746242472374128</v>
      </c>
      <c r="H87" s="54">
        <f>'Init. énergie'!D27</f>
        <v>50.720582443629688</v>
      </c>
      <c r="I87" s="81">
        <f t="shared" si="18"/>
        <v>36.32683577082372</v>
      </c>
      <c r="J87" s="81">
        <f t="shared" si="19"/>
        <v>32.027001212863546</v>
      </c>
      <c r="K87" s="81">
        <f t="shared" si="20"/>
        <v>27.601230966237438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103.25151083712665</v>
      </c>
      <c r="H101" s="54">
        <f>H81</f>
        <v>101.20496711697824</v>
      </c>
      <c r="I101" s="81">
        <f>$H101*(1+$G91)^(I$100-$H$100)</f>
        <v>94.049002489863369</v>
      </c>
      <c r="J101" s="81">
        <f>$H101*(1+$G91)^(J$100-$H$100)</f>
        <v>87.399019250849065</v>
      </c>
      <c r="K101" s="81">
        <f>$H101*(1+$G91)^(K$100-$H$100)</f>
        <v>81.219240648868919</v>
      </c>
      <c r="L101" s="67"/>
      <c r="M101" s="79">
        <f>(K101-G101)/H101</f>
        <v>-0.21769949455930976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110.78308433796674</v>
      </c>
      <c r="H102" s="54">
        <f t="shared" si="22"/>
        <v>108.58725762596659</v>
      </c>
      <c r="I102" s="81">
        <f t="shared" ref="I102:K107" si="23">$H102*(1+$G92)^(I$100-$H$100)</f>
        <v>101.9614163940476</v>
      </c>
      <c r="J102" s="81">
        <f t="shared" si="23"/>
        <v>95.739874644318505</v>
      </c>
      <c r="K102" s="81">
        <f t="shared" si="23"/>
        <v>89.897962592886572</v>
      </c>
      <c r="L102" s="67"/>
      <c r="M102" s="79">
        <f t="shared" ref="M102:M107" si="24">(K102-G102)/H102</f>
        <v>-0.19233492217862116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51.777558345312215</v>
      </c>
      <c r="H103" s="54">
        <f t="shared" si="22"/>
        <v>50.751277606007875</v>
      </c>
      <c r="I103" s="81">
        <f t="shared" si="23"/>
        <v>48.729021181043805</v>
      </c>
      <c r="J103" s="81">
        <f t="shared" si="23"/>
        <v>46.787344423059864</v>
      </c>
      <c r="K103" s="81">
        <f t="shared" si="23"/>
        <v>44.92303652127535</v>
      </c>
      <c r="L103" s="67"/>
      <c r="M103" s="79">
        <f t="shared" si="24"/>
        <v>-0.13506106934390624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48.946534504727495</v>
      </c>
      <c r="H104" s="54">
        <f t="shared" si="22"/>
        <v>47.976367366236985</v>
      </c>
      <c r="I104" s="81">
        <f t="shared" si="23"/>
        <v>46.064681163852114</v>
      </c>
      <c r="J104" s="81">
        <f t="shared" si="23"/>
        <v>44.229168801568377</v>
      </c>
      <c r="K104" s="81">
        <f t="shared" si="23"/>
        <v>42.466795025007443</v>
      </c>
      <c r="L104" s="67"/>
      <c r="M104" s="79">
        <f t="shared" si="24"/>
        <v>-0.13506106934390621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56.253632545159441</v>
      </c>
      <c r="H105" s="54">
        <f t="shared" si="22"/>
        <v>55.138631733186472</v>
      </c>
      <c r="I105" s="81">
        <f t="shared" si="23"/>
        <v>52.941554978748975</v>
      </c>
      <c r="J105" s="81">
        <f>$H105*(1+$G95)^(J$100-$H$100)</f>
        <v>50.832023854537631</v>
      </c>
      <c r="K105" s="81">
        <f>$H105*(1+$G95)^(K$100-$H$100)</f>
        <v>48.806549981115431</v>
      </c>
      <c r="L105" s="67"/>
      <c r="M105" s="79">
        <f t="shared" si="24"/>
        <v>-0.1350610693439063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56.112197432741212</v>
      </c>
      <c r="H106" s="54">
        <f t="shared" si="22"/>
        <v>55</v>
      </c>
      <c r="I106" s="81">
        <f t="shared" si="23"/>
        <v>49.958245465845245</v>
      </c>
      <c r="J106" s="81">
        <f t="shared" si="23"/>
        <v>45.378659818648131</v>
      </c>
      <c r="K106" s="81">
        <f t="shared" si="23"/>
        <v>41.218876838747484</v>
      </c>
      <c r="L106" s="67"/>
      <c r="M106" s="79">
        <f t="shared" si="24"/>
        <v>-0.27078764716352233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51.746242472374128</v>
      </c>
      <c r="H107" s="54">
        <f t="shared" si="22"/>
        <v>50.720582443629688</v>
      </c>
      <c r="I107" s="81">
        <f t="shared" si="23"/>
        <v>46.071114688899868</v>
      </c>
      <c r="J107" s="81">
        <f t="shared" si="23"/>
        <v>41.847855572966694</v>
      </c>
      <c r="K107" s="81">
        <f t="shared" si="23"/>
        <v>38.011735289700184</v>
      </c>
      <c r="L107" s="67"/>
      <c r="M107" s="79">
        <f t="shared" si="24"/>
        <v>-0.27078764716352238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1165.5153227954543</v>
      </c>
      <c r="H111" s="54">
        <f t="shared" si="25"/>
        <v>1142.413694109687</v>
      </c>
      <c r="I111" s="125">
        <f t="shared" si="25"/>
        <v>636.07220353712444</v>
      </c>
      <c r="J111" s="125">
        <f t="shared" si="25"/>
        <v>490.5253609331948</v>
      </c>
      <c r="K111" s="125">
        <f t="shared" si="25"/>
        <v>322.57046457079133</v>
      </c>
      <c r="L111" s="46"/>
      <c r="M111" s="79">
        <f>(K111-G111)/H111</f>
        <v>-0.73786305483810932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2670.9745620525023</v>
      </c>
      <c r="H112" s="54">
        <f t="shared" si="25"/>
        <v>2618.0332910500142</v>
      </c>
      <c r="I112" s="125">
        <f t="shared" si="25"/>
        <v>1677.3591707812975</v>
      </c>
      <c r="J112" s="125">
        <f t="shared" si="25"/>
        <v>1415.8185567245066</v>
      </c>
      <c r="K112" s="125">
        <f t="shared" si="25"/>
        <v>1107.5200954795846</v>
      </c>
      <c r="L112" s="46"/>
      <c r="M112" s="79">
        <f t="shared" ref="M112:M118" si="26">(K112-G112)/H112</f>
        <v>-0.59718662551684487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133.41191139475751</v>
      </c>
      <c r="H113" s="54">
        <f t="shared" si="25"/>
        <v>130.76755968266849</v>
      </c>
      <c r="I113" s="125">
        <f t="shared" si="25"/>
        <v>106.32375695508124</v>
      </c>
      <c r="J113" s="125">
        <f t="shared" si="25"/>
        <v>96.087446481617221</v>
      </c>
      <c r="K113" s="125">
        <f t="shared" si="25"/>
        <v>64.703793346462206</v>
      </c>
      <c r="L113" s="46"/>
      <c r="M113" s="79">
        <f t="shared" si="26"/>
        <v>-0.52542173467967268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54.050311699646862</v>
      </c>
      <c r="H114" s="54">
        <f t="shared" si="25"/>
        <v>52.978982814634541</v>
      </c>
      <c r="I114" s="125">
        <f t="shared" si="25"/>
        <v>37.523856263613297</v>
      </c>
      <c r="J114" s="125">
        <f t="shared" si="25"/>
        <v>35.12236633902581</v>
      </c>
      <c r="K114" s="125">
        <f t="shared" si="25"/>
        <v>30.583003088886503</v>
      </c>
      <c r="L114" s="46"/>
      <c r="M114" s="79">
        <f t="shared" si="26"/>
        <v>-0.44295506187555406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48.315041500519953</v>
      </c>
      <c r="H115" s="54">
        <f t="shared" si="25"/>
        <v>47.357391157489388</v>
      </c>
      <c r="I115" s="125">
        <f t="shared" si="25"/>
        <v>29.263863127465356</v>
      </c>
      <c r="J115" s="125">
        <f t="shared" si="25"/>
        <v>23.662646481970068</v>
      </c>
      <c r="K115" s="125">
        <f t="shared" si="25"/>
        <v>17.574329166486059</v>
      </c>
      <c r="L115" s="46"/>
      <c r="M115" s="79">
        <f t="shared" si="26"/>
        <v>-0.64912174388585109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901.9081619987943</v>
      </c>
      <c r="H116" s="54">
        <f t="shared" si="25"/>
        <v>884.0314794192933</v>
      </c>
      <c r="I116" s="125">
        <f t="shared" si="25"/>
        <v>487.01688967724851</v>
      </c>
      <c r="J116" s="125">
        <f t="shared" si="25"/>
        <v>334.60940313696051</v>
      </c>
      <c r="K116" s="125">
        <f t="shared" si="25"/>
        <v>192.83157400738813</v>
      </c>
      <c r="L116" s="46"/>
      <c r="M116" s="79">
        <f t="shared" si="26"/>
        <v>-0.80209427435456004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279.36065518926642</v>
      </c>
      <c r="H117" s="54">
        <f t="shared" si="25"/>
        <v>273.82345975358896</v>
      </c>
      <c r="I117" s="125">
        <f t="shared" si="25"/>
        <v>408.03629065917494</v>
      </c>
      <c r="J117" s="125">
        <f t="shared" si="25"/>
        <v>556.97012153349954</v>
      </c>
      <c r="K117" s="125">
        <f t="shared" si="25"/>
        <v>646.64659485465199</v>
      </c>
      <c r="L117" s="46"/>
      <c r="M117" s="79">
        <f t="shared" si="26"/>
        <v>1.3413238587953806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5253.5359666309414</v>
      </c>
      <c r="H118" s="146">
        <f>SUM(H111:H117)</f>
        <v>5149.4058579873763</v>
      </c>
      <c r="I118" s="144">
        <f t="shared" ref="I118:J118" si="27">SUM(I111:I117)</f>
        <v>3381.596031001005</v>
      </c>
      <c r="J118" s="144">
        <f t="shared" si="27"/>
        <v>2952.7959016307746</v>
      </c>
      <c r="K118" s="144">
        <f>SUM(K111:K117)</f>
        <v>2382.4298545142506</v>
      </c>
      <c r="L118" s="21"/>
      <c r="M118" s="79">
        <f t="shared" si="26"/>
        <v>-0.55756065676261346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2334.5306916053091</v>
      </c>
      <c r="H122" s="147">
        <f t="shared" si="28"/>
        <v>2288.258059973457</v>
      </c>
      <c r="I122" s="143">
        <f>I$36*I59*(1-$J$73)*I101/1000</f>
        <v>1792.686520602502</v>
      </c>
      <c r="J122" s="143">
        <f t="shared" ref="J122:K122" si="29">J$36*J59*(1-$J$73)*J101/1000</f>
        <v>1483.7146524684881</v>
      </c>
      <c r="K122" s="143">
        <f t="shared" si="29"/>
        <v>1143.4056229693388</v>
      </c>
      <c r="L122" s="46"/>
      <c r="M122" s="79">
        <f>(K122-G122)/H122</f>
        <v>-0.52053791024329965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5349.9700687357936</v>
      </c>
      <c r="H123" s="147">
        <f t="shared" si="28"/>
        <v>5243.9285439350142</v>
      </c>
      <c r="I123" s="143">
        <f t="shared" ref="I123:K128" si="30">I$36*I60*(1-$J$73)*I102/1000</f>
        <v>4603.8803816907939</v>
      </c>
      <c r="J123" s="143">
        <f t="shared" si="30"/>
        <v>4343.1090506827395</v>
      </c>
      <c r="K123" s="143">
        <f t="shared" si="30"/>
        <v>3902.2197806176841</v>
      </c>
      <c r="L123" s="46"/>
      <c r="M123" s="79">
        <f t="shared" ref="M123:M129" si="31">(K123-G123)/H123</f>
        <v>-0.27608123871034401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267.2244591600699</v>
      </c>
      <c r="H124" s="147">
        <f t="shared" si="28"/>
        <v>261.92781473975936</v>
      </c>
      <c r="I124" s="143">
        <f t="shared" si="30"/>
        <v>216.98158458567431</v>
      </c>
      <c r="J124" s="143">
        <f t="shared" si="30"/>
        <v>191.07617440592387</v>
      </c>
      <c r="K124" s="143">
        <f t="shared" si="30"/>
        <v>158.10678648593878</v>
      </c>
      <c r="L124" s="46"/>
      <c r="M124" s="79">
        <f t="shared" si="31"/>
        <v>-0.41659444523883776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108.262936647641</v>
      </c>
      <c r="H125" s="147">
        <f t="shared" si="28"/>
        <v>106.11706167375748</v>
      </c>
      <c r="I125" s="143">
        <f t="shared" si="30"/>
        <v>100.75959979781933</v>
      </c>
      <c r="J125" s="143">
        <f t="shared" si="30"/>
        <v>102.71047580767323</v>
      </c>
      <c r="K125" s="143">
        <f t="shared" si="30"/>
        <v>99.641357214445691</v>
      </c>
      <c r="L125" s="46"/>
      <c r="M125" s="79">
        <f t="shared" si="31"/>
        <v>-8.1245930646866055E-2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96.775173215756197</v>
      </c>
      <c r="H126" s="147">
        <f t="shared" si="28"/>
        <v>94.856996702839112</v>
      </c>
      <c r="I126" s="143">
        <f t="shared" si="30"/>
        <v>78.57974714930431</v>
      </c>
      <c r="J126" s="143">
        <f t="shared" si="30"/>
        <v>69.198118816140209</v>
      </c>
      <c r="K126" s="143">
        <f t="shared" si="30"/>
        <v>57.25827529731469</v>
      </c>
      <c r="L126" s="46"/>
      <c r="M126" s="79">
        <f t="shared" si="31"/>
        <v>-0.4165944452388376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1806.5247569165042</v>
      </c>
      <c r="H127" s="147">
        <f t="shared" si="28"/>
        <v>1770.7177080260321</v>
      </c>
      <c r="I127" s="143">
        <f t="shared" si="30"/>
        <v>1276.1897823937206</v>
      </c>
      <c r="J127" s="143">
        <f t="shared" si="30"/>
        <v>948.4187654890668</v>
      </c>
      <c r="K127" s="143">
        <f t="shared" si="30"/>
        <v>628.63659445504697</v>
      </c>
      <c r="L127" s="46"/>
      <c r="M127" s="79">
        <f t="shared" si="31"/>
        <v>-0.66520380810702362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559.56023126498701</v>
      </c>
      <c r="H128" s="147">
        <f t="shared" si="28"/>
        <v>548.46921217911063</v>
      </c>
      <c r="I128" s="143">
        <f t="shared" si="30"/>
        <v>892.56681066229612</v>
      </c>
      <c r="J128" s="143">
        <f t="shared" si="30"/>
        <v>1219.7829464110644</v>
      </c>
      <c r="K128" s="143">
        <f t="shared" si="30"/>
        <v>1427.0126642188452</v>
      </c>
      <c r="L128" s="46"/>
      <c r="M128" s="79">
        <f t="shared" si="31"/>
        <v>1.5815881980091508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10522.848317546061</v>
      </c>
      <c r="H129" s="148">
        <f>SUM(H122:H128)</f>
        <v>10314.275397229969</v>
      </c>
      <c r="I129" s="145">
        <f t="shared" ref="I129:K129" si="32">SUM(I122:I128)</f>
        <v>8961.6444268821106</v>
      </c>
      <c r="J129" s="145">
        <f t="shared" si="32"/>
        <v>8358.0101840810948</v>
      </c>
      <c r="K129" s="145">
        <f t="shared" si="32"/>
        <v>7416.281081258614</v>
      </c>
      <c r="L129" s="21"/>
      <c r="M129" s="79">
        <f t="shared" si="31"/>
        <v>-0.30119103055186552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3430.6717540831442</v>
      </c>
      <c r="I133" s="143">
        <f t="shared" ref="I133:K133" si="33">I111+I122</f>
        <v>2428.7587241396263</v>
      </c>
      <c r="J133" s="143">
        <f t="shared" si="33"/>
        <v>1974.240013401683</v>
      </c>
      <c r="K133" s="143">
        <f t="shared" si="33"/>
        <v>1465.97608754013</v>
      </c>
      <c r="L133" s="46"/>
      <c r="M133" s="79">
        <f>(K133-G133)/H133</f>
        <v>0.42731458811101442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7861.961834985028</v>
      </c>
      <c r="I134" s="143">
        <f t="shared" si="34"/>
        <v>6281.2395524720914</v>
      </c>
      <c r="J134" s="143">
        <f t="shared" si="34"/>
        <v>5758.9276074072459</v>
      </c>
      <c r="K134" s="143">
        <f t="shared" si="34"/>
        <v>5009.7398760972683</v>
      </c>
      <c r="L134" s="46"/>
      <c r="M134" s="79">
        <f t="shared" ref="M134:M140" si="35">(K134-G134)/H134</f>
        <v>0.63721243898747681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392.69537442242785</v>
      </c>
      <c r="I135" s="143">
        <f t="shared" si="34"/>
        <v>323.30534154075553</v>
      </c>
      <c r="J135" s="143">
        <f t="shared" si="34"/>
        <v>287.16362088754107</v>
      </c>
      <c r="K135" s="143">
        <f t="shared" si="34"/>
        <v>222.810579832401</v>
      </c>
      <c r="L135" s="46"/>
      <c r="M135" s="79">
        <f t="shared" si="35"/>
        <v>0.56738783888175004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159.09604448839201</v>
      </c>
      <c r="I136" s="143">
        <f t="shared" si="34"/>
        <v>138.28345606143262</v>
      </c>
      <c r="J136" s="143">
        <f t="shared" si="34"/>
        <v>137.83284214669905</v>
      </c>
      <c r="K136" s="143">
        <f t="shared" si="34"/>
        <v>130.22436030333219</v>
      </c>
      <c r="L136" s="46"/>
      <c r="M136" s="79">
        <f t="shared" si="35"/>
        <v>0.81852670015836648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142.21438786032849</v>
      </c>
      <c r="I137" s="143">
        <f t="shared" si="34"/>
        <v>107.84361027676967</v>
      </c>
      <c r="J137" s="143">
        <f t="shared" si="34"/>
        <v>92.86076529811028</v>
      </c>
      <c r="K137" s="143">
        <f t="shared" si="34"/>
        <v>74.832604463800749</v>
      </c>
      <c r="L137" s="46"/>
      <c r="M137" s="79">
        <f t="shared" si="35"/>
        <v>0.52619573581609269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2654.7491874453253</v>
      </c>
      <c r="I138" s="143">
        <f t="shared" si="34"/>
        <v>1763.206672070969</v>
      </c>
      <c r="J138" s="143">
        <f t="shared" si="34"/>
        <v>1283.0281686260273</v>
      </c>
      <c r="K138" s="143">
        <f t="shared" si="34"/>
        <v>821.46816846243507</v>
      </c>
      <c r="L138" s="46"/>
      <c r="M138" s="79">
        <f t="shared" si="35"/>
        <v>0.30943343813693258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822.29267193269959</v>
      </c>
      <c r="I139" s="143">
        <f t="shared" si="34"/>
        <v>1300.6031013214711</v>
      </c>
      <c r="J139" s="143">
        <f t="shared" si="34"/>
        <v>1776.753067944564</v>
      </c>
      <c r="K139" s="143">
        <f t="shared" si="34"/>
        <v>2073.6592590734972</v>
      </c>
      <c r="L139" s="46"/>
      <c r="M139" s="79">
        <f t="shared" si="35"/>
        <v>2.5218019445553512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15463.681255217345</v>
      </c>
      <c r="I140" s="145">
        <f t="shared" ref="I140:K140" si="36">SUM(I133:I139)</f>
        <v>12343.240457883116</v>
      </c>
      <c r="J140" s="145">
        <f t="shared" si="36"/>
        <v>11310.806085711871</v>
      </c>
      <c r="K140" s="145">
        <f t="shared" si="36"/>
        <v>9798.7109357728641</v>
      </c>
      <c r="L140" s="21"/>
      <c r="M140" s="79">
        <f t="shared" si="35"/>
        <v>0.633659655424341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énergie'!C21</f>
        <v>4.1021151124009851E-5</v>
      </c>
      <c r="I146" s="47">
        <f>H146</f>
        <v>4.1021151124009851E-5</v>
      </c>
      <c r="J146" s="47">
        <f>I146</f>
        <v>4.1021151124009851E-5</v>
      </c>
      <c r="K146" s="47">
        <f>J146</f>
        <v>4.1021151124009851E-5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énergie'!C22</f>
        <v>0.24387457929202933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énergie'!C23</f>
        <v>3.8798739172946649E-2</v>
      </c>
      <c r="I148" s="47">
        <f t="shared" ref="I148:K148" si="37">H148</f>
        <v>3.8798739172946649E-2</v>
      </c>
      <c r="J148" s="47">
        <f t="shared" si="37"/>
        <v>3.8798739172946649E-2</v>
      </c>
      <c r="K148" s="47">
        <f t="shared" si="37"/>
        <v>3.8798739172946649E-2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énergie'!C24</f>
        <v>1.4755157309534661E-2</v>
      </c>
      <c r="I149" s="47">
        <v>0</v>
      </c>
      <c r="J149" s="47">
        <v>0</v>
      </c>
      <c r="K149" s="47">
        <f t="shared" ref="K149" si="38">J149</f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énergie'!C25</f>
        <v>1.1548604741342878E-2</v>
      </c>
      <c r="I150" s="47">
        <f t="shared" ref="I150:K150" si="39">H150</f>
        <v>1.1548604741342878E-2</v>
      </c>
      <c r="J150" s="47">
        <f t="shared" si="39"/>
        <v>1.1548604741342878E-2</v>
      </c>
      <c r="K150" s="47">
        <f t="shared" si="39"/>
        <v>1.1548604741342878E-2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énergie'!C26</f>
        <v>0.37540666329243721</v>
      </c>
      <c r="I151" s="47">
        <f t="shared" ref="I151" si="40">H151</f>
        <v>0.37540666329243721</v>
      </c>
      <c r="J151" s="47">
        <v>0.38</v>
      </c>
      <c r="K151" s="47">
        <v>0.38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énergie'!C27</f>
        <v>0.31557523504058516</v>
      </c>
      <c r="I152" s="47">
        <v>0.56999999999999995</v>
      </c>
      <c r="J152" s="47">
        <v>0.56999999999999995</v>
      </c>
      <c r="K152" s="47">
        <v>0.56999999999999995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0.99999999999999989</v>
      </c>
      <c r="I153" s="15">
        <f t="shared" ref="I153:K153" si="41">SUM(I146:I152)</f>
        <v>0.99579502835785072</v>
      </c>
      <c r="J153" s="15">
        <f t="shared" si="41"/>
        <v>1.0003883650654135</v>
      </c>
      <c r="K153" s="15">
        <f t="shared" si="41"/>
        <v>1.0003883650654135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55.073927343612745</v>
      </c>
      <c r="J157" s="45">
        <f>K157</f>
        <v>55.073927343612745</v>
      </c>
      <c r="K157" s="45">
        <f t="shared" ref="K157:K163" si="42">K81</f>
        <v>55.073927343612745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3">J158</f>
        <v>59.091237389783977</v>
      </c>
      <c r="J158" s="45">
        <f t="shared" si="43"/>
        <v>59.091237389783977</v>
      </c>
      <c r="K158" s="45">
        <f t="shared" si="42"/>
        <v>59.091237389783977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3"/>
        <v>27.617934722888659</v>
      </c>
      <c r="J159" s="45">
        <f t="shared" si="43"/>
        <v>27.617934722888659</v>
      </c>
      <c r="K159" s="45">
        <f t="shared" si="42"/>
        <v>27.617934722888659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3"/>
        <v>26.107878356252566</v>
      </c>
      <c r="J160" s="45">
        <f t="shared" si="43"/>
        <v>26.107878356252566</v>
      </c>
      <c r="K160" s="45">
        <f t="shared" si="42"/>
        <v>26.107878356252566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3"/>
        <v>30.00545412350904</v>
      </c>
      <c r="J161" s="45">
        <f t="shared" si="43"/>
        <v>30.00545412350904</v>
      </c>
      <c r="K161" s="45">
        <f t="shared" si="42"/>
        <v>30.00545412350904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3"/>
        <v>29.930013221559971</v>
      </c>
      <c r="J162" s="45">
        <f t="shared" si="43"/>
        <v>29.930013221559971</v>
      </c>
      <c r="K162" s="45">
        <f t="shared" si="42"/>
        <v>29.930013221559971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3"/>
        <v>27.601230966237438</v>
      </c>
      <c r="J163" s="45">
        <f t="shared" si="43"/>
        <v>27.601230966237438</v>
      </c>
      <c r="K163" s="45">
        <f t="shared" si="42"/>
        <v>27.601230966237438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4">I$35*I146*I157/1000</f>
        <v>2.9740802797014201E-2</v>
      </c>
      <c r="J167" s="10">
        <f t="shared" si="44"/>
        <v>2.0263942361976043E-2</v>
      </c>
      <c r="K167" s="10">
        <f t="shared" si="44"/>
        <v>1.98177809495097E-2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5">H$35*H147*H158/1000</f>
        <v>0</v>
      </c>
      <c r="I168" s="10">
        <f t="shared" si="45"/>
        <v>0</v>
      </c>
      <c r="J168" s="10">
        <f t="shared" si="45"/>
        <v>0</v>
      </c>
      <c r="K168" s="10">
        <f t="shared" si="45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5"/>
        <v>0</v>
      </c>
      <c r="I169" s="10">
        <f t="shared" si="45"/>
        <v>14.106121111896975</v>
      </c>
      <c r="J169" s="10">
        <f t="shared" si="45"/>
        <v>9.6112276159280725</v>
      </c>
      <c r="K169" s="10">
        <f t="shared" si="45"/>
        <v>9.3996123827193312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5"/>
        <v>0</v>
      </c>
      <c r="I170" s="10">
        <f t="shared" si="45"/>
        <v>0</v>
      </c>
      <c r="J170" s="10">
        <f t="shared" si="45"/>
        <v>0</v>
      </c>
      <c r="K170" s="10">
        <f t="shared" si="45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5"/>
        <v>0</v>
      </c>
      <c r="I171" s="10">
        <f t="shared" si="45"/>
        <v>4.561718884499296</v>
      </c>
      <c r="J171" s="10">
        <f t="shared" si="45"/>
        <v>3.1081342752560688</v>
      </c>
      <c r="K171" s="10">
        <f t="shared" si="45"/>
        <v>3.0397009194158247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5"/>
        <v>0</v>
      </c>
      <c r="I172" s="10">
        <f t="shared" si="45"/>
        <v>147.91345526474015</v>
      </c>
      <c r="J172" s="10">
        <f t="shared" si="45"/>
        <v>102.01418310872575</v>
      </c>
      <c r="K172" s="10">
        <f t="shared" si="45"/>
        <v>99.768085522463608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5"/>
        <v>0</v>
      </c>
      <c r="I173" s="10">
        <f t="shared" si="45"/>
        <v>207.11049359325327</v>
      </c>
      <c r="J173" s="10">
        <f t="shared" si="45"/>
        <v>141.11505776688159</v>
      </c>
      <c r="K173" s="10">
        <f t="shared" si="45"/>
        <v>138.00805655414214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6">SUM(I167:I173)</f>
        <v>373.72152965718669</v>
      </c>
      <c r="J174" s="11">
        <f t="shared" si="46"/>
        <v>255.86886670915345</v>
      </c>
      <c r="K174" s="11">
        <f t="shared" si="46"/>
        <v>250.23527315969042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33898.254718247037</v>
      </c>
      <c r="I179" s="10">
        <f t="shared" ref="I179:K179" si="47">I$36*($J$73*I45+(1-$J$73)*I59)+I$35*I146</f>
        <v>27837.021967408786</v>
      </c>
      <c r="J179" s="10">
        <f t="shared" si="47"/>
        <v>24652.568325065142</v>
      </c>
      <c r="K179" s="10">
        <f t="shared" si="47"/>
        <v>19935.418924459831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8">H$36*($J$73*H46+(1-$J$73)*H60)+H$35*H147</f>
        <v>72402.250566690695</v>
      </c>
      <c r="I180" s="10">
        <f t="shared" si="48"/>
        <v>66720.863773588178</v>
      </c>
      <c r="J180" s="10">
        <f t="shared" si="48"/>
        <v>66012.527424337139</v>
      </c>
      <c r="K180" s="10">
        <f t="shared" si="48"/>
        <v>62149.754081780819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8"/>
        <v>7737.6450987303042</v>
      </c>
      <c r="I181" s="10">
        <f t="shared" si="48"/>
        <v>7888.6750892399095</v>
      </c>
      <c r="J181" s="10">
        <f t="shared" si="48"/>
        <v>7430.321956057328</v>
      </c>
      <c r="K181" s="10">
        <f t="shared" si="48"/>
        <v>6202.6660114884671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8"/>
        <v>3316.1336137415578</v>
      </c>
      <c r="I182" s="10">
        <f t="shared" si="48"/>
        <v>3279.3859405107628</v>
      </c>
      <c r="J182" s="10">
        <f t="shared" si="48"/>
        <v>3481.6100669378502</v>
      </c>
      <c r="K182" s="10">
        <f t="shared" si="48"/>
        <v>3517.7446770499969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8"/>
        <v>2579.2150329101014</v>
      </c>
      <c r="I183" s="10">
        <f t="shared" si="48"/>
        <v>2377.327259021964</v>
      </c>
      <c r="J183" s="10">
        <f t="shared" si="48"/>
        <v>2144.529475888291</v>
      </c>
      <c r="K183" s="10">
        <f t="shared" si="48"/>
        <v>1860.1772848492149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8"/>
        <v>48268.167044460461</v>
      </c>
      <c r="I184" s="10">
        <f t="shared" si="48"/>
        <v>42850.507874937277</v>
      </c>
      <c r="J184" s="10">
        <f t="shared" si="48"/>
        <v>33943.345100310602</v>
      </c>
      <c r="K184" s="10">
        <f t="shared" si="48"/>
        <v>25027.310689989099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8"/>
        <v>16212.208778292063</v>
      </c>
      <c r="I185" s="10">
        <f t="shared" si="48"/>
        <v>38109.709224820108</v>
      </c>
      <c r="J185" s="10">
        <f t="shared" si="48"/>
        <v>51651.318151863488</v>
      </c>
      <c r="K185" s="10">
        <f t="shared" si="48"/>
        <v>65969.619642563222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184290.99367971858</v>
      </c>
      <c r="I186" s="10">
        <f t="shared" si="48"/>
        <v>189063.49112952701</v>
      </c>
      <c r="J186" s="10">
        <f t="shared" si="48"/>
        <v>189316.22050045987</v>
      </c>
      <c r="K186" s="10">
        <f t="shared" si="48"/>
        <v>184662.69131218063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  <pageSetUpPr fitToPage="1"/>
  </sheetPr>
  <dimension ref="A1:GB1593"/>
  <sheetViews>
    <sheetView showGridLines="0" topLeftCell="A49" zoomScaleNormal="100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167106.71056882737</v>
      </c>
      <c r="I7" s="10">
        <f t="shared" si="0"/>
        <v>169584.88458817467</v>
      </c>
      <c r="J7" s="10">
        <f t="shared" si="0"/>
        <v>168013.17910700393</v>
      </c>
      <c r="K7" s="10">
        <f t="shared" si="0"/>
        <v>162344.01055748833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5840.7077315636325</v>
      </c>
      <c r="J8" s="76">
        <f t="shared" si="0"/>
        <v>3412.3997149425531</v>
      </c>
      <c r="K8" s="76">
        <f t="shared" si="0"/>
        <v>3380.7737398508161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167106.71056882737</v>
      </c>
      <c r="I9" s="96">
        <f t="shared" si="1"/>
        <v>163744.17685661104</v>
      </c>
      <c r="J9" s="96">
        <f t="shared" si="1"/>
        <v>164600.77939206138</v>
      </c>
      <c r="K9" s="96">
        <f t="shared" si="1"/>
        <v>158963.23681763752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3584.8950181469531</v>
      </c>
      <c r="I13" s="86">
        <f t="shared" ref="I13:K13" si="2">I133+I167</f>
        <v>2621.0024511193214</v>
      </c>
      <c r="J13" s="86">
        <f t="shared" si="2"/>
        <v>2142.0010754873538</v>
      </c>
      <c r="K13" s="86">
        <f t="shared" si="2"/>
        <v>1647.060983091475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8977.6735587367912</v>
      </c>
      <c r="I14" s="86">
        <f t="shared" si="3"/>
        <v>7154.8500271063485</v>
      </c>
      <c r="J14" s="86">
        <f t="shared" si="3"/>
        <v>6440.7192842036065</v>
      </c>
      <c r="K14" s="86">
        <f t="shared" si="3"/>
        <v>5525.3840456897397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1357.2566620782518</v>
      </c>
      <c r="I15" s="86">
        <f t="shared" si="3"/>
        <v>1185.3944053846992</v>
      </c>
      <c r="J15" s="86">
        <f t="shared" si="3"/>
        <v>1130.7378373976298</v>
      </c>
      <c r="K15" s="86">
        <f t="shared" si="3"/>
        <v>1028.2411657281039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214.36380852936156</v>
      </c>
      <c r="I16" s="86">
        <f t="shared" si="3"/>
        <v>162.61007072082072</v>
      </c>
      <c r="J16" s="86">
        <f t="shared" si="3"/>
        <v>138.44190193232413</v>
      </c>
      <c r="K16" s="86">
        <f t="shared" si="3"/>
        <v>111.46831169268646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141.75559832606967</v>
      </c>
      <c r="I17" s="86">
        <f t="shared" si="3"/>
        <v>123.32235997060111</v>
      </c>
      <c r="J17" s="86">
        <f t="shared" si="3"/>
        <v>117.67889624412855</v>
      </c>
      <c r="K17" s="86">
        <f t="shared" si="3"/>
        <v>107.92926434487674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751.98019755972314</v>
      </c>
      <c r="I18" s="86">
        <f t="shared" si="3"/>
        <v>499.37700624588848</v>
      </c>
      <c r="J18" s="86">
        <f t="shared" si="3"/>
        <v>357.7772061880828</v>
      </c>
      <c r="K18" s="86">
        <f t="shared" si="3"/>
        <v>232.48270311692912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116.24970775877307</v>
      </c>
      <c r="I19" s="86">
        <f t="shared" si="3"/>
        <v>522.61095410894018</v>
      </c>
      <c r="J19" s="86">
        <f t="shared" si="3"/>
        <v>682.65367746240827</v>
      </c>
      <c r="K19" s="86">
        <f t="shared" si="3"/>
        <v>809.31798126661795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15144.174551135924</v>
      </c>
      <c r="I20" s="13">
        <f t="shared" ref="I20:K20" si="4">SUM(I13:I19)</f>
        <v>12269.16727465662</v>
      </c>
      <c r="J20" s="13">
        <f t="shared" si="4"/>
        <v>11010.009878915535</v>
      </c>
      <c r="K20" s="13">
        <f t="shared" si="4"/>
        <v>9461.8844549304304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-0.33858240041958787</v>
      </c>
      <c r="J23" s="177">
        <f t="shared" ref="J23:K23" si="5">J118/$G118-1</f>
        <v>-0.43362269637009554</v>
      </c>
      <c r="K23" s="177">
        <f t="shared" si="5"/>
        <v>-0.54814778394385288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-0.11438489935694496</v>
      </c>
      <c r="J24" s="177">
        <f t="shared" ref="J24:K24" si="6">J129/$G129-1</f>
        <v>-0.17615584308143106</v>
      </c>
      <c r="K24" s="177">
        <f t="shared" si="6"/>
        <v>-0.26420090247702011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167106.71056882737</v>
      </c>
      <c r="H34" s="125">
        <f>'Init. parc'!C7</f>
        <v>167106.71056882737</v>
      </c>
      <c r="I34" s="125">
        <f>'Init. parc'!D7</f>
        <v>169584.88458817467</v>
      </c>
      <c r="J34" s="125">
        <f>'Init. parc'!E7</f>
        <v>168013.17910700393</v>
      </c>
      <c r="K34" s="125">
        <f>'Init. parc'!F7</f>
        <v>162344.01055748833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parc'!N7</f>
        <v>5840.7077315636325</v>
      </c>
      <c r="J35" s="125">
        <f>'Init. parc'!O7</f>
        <v>3412.3997149425531</v>
      </c>
      <c r="K35" s="125">
        <f>'Init. parc'!P7</f>
        <v>3380.7737398508161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167106.71056882737</v>
      </c>
      <c r="H36" s="125">
        <f>H34-H35</f>
        <v>167106.71056882737</v>
      </c>
      <c r="I36" s="125">
        <f>I34-I35</f>
        <v>163744.17685661104</v>
      </c>
      <c r="J36" s="125">
        <f>J34-J35</f>
        <v>164600.77939206138</v>
      </c>
      <c r="K36" s="125">
        <f>K34-K35</f>
        <v>158963.23681763752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0.20200000000000001</v>
      </c>
      <c r="H45" s="55">
        <f>'Init. énergie'!B30</f>
        <v>0.20200000000000001</v>
      </c>
      <c r="I45" s="47">
        <f>H45+((K45-H45)/3)</f>
        <v>0.18133333333333335</v>
      </c>
      <c r="J45" s="47">
        <f>H45+((K45-H45)/3*2)</f>
        <v>0.16066666666666668</v>
      </c>
      <c r="K45" s="47">
        <v>0.14000000000000001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0.58799999999999997</v>
      </c>
      <c r="H46" s="55">
        <f>'Init. énergie'!B31</f>
        <v>0.58799999999999997</v>
      </c>
      <c r="I46" s="47">
        <f t="shared" ref="I46:I51" si="8">H46+((K46-H46)/3)</f>
        <v>0.57199999999999995</v>
      </c>
      <c r="J46" s="47">
        <f t="shared" ref="J46:J51" si="9">H46+((K46-H46)/3*2)</f>
        <v>0.55600000000000005</v>
      </c>
      <c r="K46" s="47">
        <v>0.54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8.4000000000000005E-2</v>
      </c>
      <c r="H47" s="55">
        <f>'Init. énergie'!B32</f>
        <v>8.4000000000000005E-2</v>
      </c>
      <c r="I47" s="47">
        <v>0.1</v>
      </c>
      <c r="J47" s="47">
        <v>0.11</v>
      </c>
      <c r="K47" s="47">
        <v>0.12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1.2999999999999999E-2</v>
      </c>
      <c r="H48" s="55">
        <f>'Init. énergie'!B33</f>
        <v>1.2999999999999999E-2</v>
      </c>
      <c r="I48" s="47">
        <f t="shared" si="8"/>
        <v>1.2E-2</v>
      </c>
      <c r="J48" s="47">
        <f t="shared" si="9"/>
        <v>1.0999999999999999E-2</v>
      </c>
      <c r="K48" s="47">
        <v>0.01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8.9999999999999993E-3</v>
      </c>
      <c r="H49" s="55">
        <f>'Init. énergie'!B34</f>
        <v>8.9999999999999993E-3</v>
      </c>
      <c r="I49" s="47">
        <f t="shared" si="8"/>
        <v>9.3333333333333324E-3</v>
      </c>
      <c r="J49" s="47">
        <f t="shared" si="9"/>
        <v>9.6666666666666672E-3</v>
      </c>
      <c r="K49" s="47">
        <v>0.01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0.09</v>
      </c>
      <c r="H50" s="55">
        <f>'Init. énergie'!B35</f>
        <v>0.09</v>
      </c>
      <c r="I50" s="47">
        <f t="shared" si="8"/>
        <v>6.6666666666666638E-2</v>
      </c>
      <c r="J50" s="47">
        <f t="shared" si="9"/>
        <v>4.3333333333333286E-2</v>
      </c>
      <c r="K50" s="47">
        <f>1-K45-K46-K47-K48-K49-K51</f>
        <v>1.9999999999999934E-2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1.2999999999999999E-2</v>
      </c>
      <c r="H51" s="55">
        <f>'Init. énergie'!B36</f>
        <v>1.2999999999999999E-2</v>
      </c>
      <c r="I51" s="47">
        <f t="shared" si="8"/>
        <v>6.1999999999999993E-2</v>
      </c>
      <c r="J51" s="47">
        <f t="shared" si="9"/>
        <v>0.11099999999999999</v>
      </c>
      <c r="K51" s="123">
        <v>0.16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0.999</v>
      </c>
      <c r="H52" s="149">
        <f t="shared" si="10"/>
        <v>0.999</v>
      </c>
      <c r="I52" s="155">
        <f t="shared" si="10"/>
        <v>1.0033333333333332</v>
      </c>
      <c r="J52" s="155">
        <f t="shared" si="10"/>
        <v>1.0016666666666669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-7.9609466703225266E-3</v>
      </c>
      <c r="J55" s="142">
        <f>(I$81*(J45-I45)+I$82*(J46-I46)+I$83*(J47-I47)+I$84*(J48-I48)+I$85*(J49-I49)+I$86*(J50-I50)+I$87*(J51-I51))/(I$81*I45+I$82*I46+I$83*I47+I$84*I48+I$85*I49+I$86*I50+I$87*I51)</f>
        <v>-1.4477800806481029E-2</v>
      </c>
      <c r="K55" s="142">
        <f>(J$81*(K45-J45)+J$82*(K46-J46)+J$83*(K47-J47)+J$84*(K48-J48)+J$85*(K49-J49)+J$86*(K50-J50)+J$87*(K51-J51))/(J$81*J45+J$82*J46+J$83*J47+J$84*J48+J$85*J49+J$86*J50+J$87*J51)</f>
        <v>-1.4690486747359659E-2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0.20200000000000001</v>
      </c>
      <c r="H59" s="55">
        <f>H45</f>
        <v>0.20200000000000001</v>
      </c>
      <c r="I59" s="47">
        <f>H59+((K59-H59)/3)</f>
        <v>0.18466666666666667</v>
      </c>
      <c r="J59" s="47">
        <f>H59+((K59-H59)/3*2)</f>
        <v>0.16733333333333333</v>
      </c>
      <c r="K59" s="47">
        <v>0.15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0.58799999999999997</v>
      </c>
      <c r="H60" s="55">
        <f t="shared" ref="H60:H65" si="12">H46</f>
        <v>0.58799999999999997</v>
      </c>
      <c r="I60" s="47">
        <f t="shared" ref="I60:I65" si="13">H60+((K60-H60)/3)</f>
        <v>0.58199999999999996</v>
      </c>
      <c r="J60" s="47">
        <f t="shared" ref="J60:J65" si="14">H60+((K60-H60)/3*2)</f>
        <v>0.57599999999999996</v>
      </c>
      <c r="K60" s="47">
        <v>0.56999999999999995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8.4000000000000005E-2</v>
      </c>
      <c r="H61" s="55">
        <f t="shared" si="12"/>
        <v>8.4000000000000005E-2</v>
      </c>
      <c r="I61" s="47">
        <v>0.08</v>
      </c>
      <c r="J61" s="47">
        <v>0.08</v>
      </c>
      <c r="K61" s="47">
        <v>0.08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1.2999999999999999E-2</v>
      </c>
      <c r="H62" s="55">
        <f t="shared" si="12"/>
        <v>1.2999999999999999E-2</v>
      </c>
      <c r="I62" s="47">
        <f t="shared" si="13"/>
        <v>1.2E-2</v>
      </c>
      <c r="J62" s="47">
        <f t="shared" si="14"/>
        <v>1.0999999999999999E-2</v>
      </c>
      <c r="K62" s="47">
        <v>0.01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8.9999999999999993E-3</v>
      </c>
      <c r="H63" s="55">
        <f t="shared" si="12"/>
        <v>8.9999999999999993E-3</v>
      </c>
      <c r="I63" s="47">
        <f t="shared" si="13"/>
        <v>9.3333333333333324E-3</v>
      </c>
      <c r="J63" s="47">
        <f t="shared" si="14"/>
        <v>9.6666666666666672E-3</v>
      </c>
      <c r="K63" s="47">
        <v>0.01</v>
      </c>
      <c r="L63" s="64"/>
      <c r="M63" s="494"/>
      <c r="N63" s="33"/>
      <c r="O63" s="42"/>
    </row>
    <row r="64" spans="1:15">
      <c r="C64" s="40"/>
      <c r="D64" s="32"/>
      <c r="E64" s="151" t="s">
        <v>25</v>
      </c>
      <c r="F64" s="55"/>
      <c r="G64" s="55">
        <f t="shared" si="11"/>
        <v>0.09</v>
      </c>
      <c r="H64" s="55">
        <f t="shared" si="12"/>
        <v>0.09</v>
      </c>
      <c r="I64" s="47">
        <f t="shared" si="13"/>
        <v>0.08</v>
      </c>
      <c r="J64" s="47">
        <f t="shared" si="14"/>
        <v>6.9999999999999993E-2</v>
      </c>
      <c r="K64" s="47">
        <f>1-K59-K60-K61-K62-K63-K65</f>
        <v>0.06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1.2999999999999999E-2</v>
      </c>
      <c r="H65" s="55">
        <f t="shared" si="12"/>
        <v>1.2999999999999999E-2</v>
      </c>
      <c r="I65" s="47">
        <f t="shared" si="13"/>
        <v>4.8666666666666664E-2</v>
      </c>
      <c r="J65" s="47">
        <f t="shared" si="14"/>
        <v>8.433333333333333E-2</v>
      </c>
      <c r="K65" s="123">
        <v>0.12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0.999</v>
      </c>
      <c r="H66" s="149">
        <v>1</v>
      </c>
      <c r="I66" s="47">
        <f t="shared" ref="I66:J66" si="16">SUM(I59:I65)</f>
        <v>0.99666666666666648</v>
      </c>
      <c r="J66" s="47">
        <f t="shared" si="16"/>
        <v>0.99833333333333329</v>
      </c>
      <c r="K66" s="47">
        <f>SUM(K59:K65)</f>
        <v>0.99999999999999989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-1.5828271292054278E-2</v>
      </c>
      <c r="J69" s="142">
        <f>(I$101*(J59-I59)+I$102*(J60-I60)+I$103*(J61-I61)+I$104*(J62-I62)+I$105*(J63-I63)+I$106*(J64-I64)+I$107*(J65-I65))/(I$101*I59+I$102*I60+I$103*I61+I$104*I62+I$105*I63+I$106*I64+I$107*I65)</f>
        <v>-1.2092719173913928E-2</v>
      </c>
      <c r="K69" s="142">
        <f>(J$101*(K59-J59)+J$102*(K60-J60)+J$103*(K61-J61)+J$104*(K62-J62)+J$105*(K63-J63)+J$106*(K64-J64)+J$107*(K65-J65))/(J$101*J59+J$102*J60+J$103*J61+J$104*J62+J$105*J63+J$106*J64+J$107*J65)</f>
        <v>-1.2580528816145379E-2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bord'!H12</f>
        <v>0.92</v>
      </c>
      <c r="I73" s="92">
        <f>'Tableau de bord'!H24</f>
        <v>0.49649999999999994</v>
      </c>
      <c r="J73" s="92">
        <f>'Tableau de bord'!H27</f>
        <v>0.45677999999999996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61.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108.34921505852287</v>
      </c>
      <c r="H81" s="54">
        <f>'Init. énergie'!D30</f>
        <v>106.20162996399759</v>
      </c>
      <c r="I81" s="81">
        <f>G81*(1-H$77)/(1+I$55)</f>
        <v>73.722622026855078</v>
      </c>
      <c r="J81" s="81">
        <f>G81*(1-I$77)/(1+I$55)/(1+J$55)</f>
        <v>63.723325713355081</v>
      </c>
      <c r="K81" s="81">
        <f>G81*(1-J$77)/(1+I$55)/(1+J$55)/(1+K$55)</f>
        <v>53.425860087571742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93.215295454480156</v>
      </c>
      <c r="H82" s="54">
        <f>'Init. énergie'!D31</f>
        <v>91.367679124341691</v>
      </c>
      <c r="I82" s="81">
        <f t="shared" ref="I82:I87" si="18">G82*(1-H$77)/(1+I$55)</f>
        <v>63.425249460279296</v>
      </c>
      <c r="J82" s="81">
        <f t="shared" ref="J82:J87" si="19">G82*(1-I$77)/(1+I$55)/(1+J$55)</f>
        <v>54.822627284416306</v>
      </c>
      <c r="K82" s="81">
        <f t="shared" ref="K82:K87" si="20">G82*(1-J$77)/(1+I$55)/(1+J$55)/(1+K$55)</f>
        <v>45.96348326365635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98.646888812351946</v>
      </c>
      <c r="H83" s="54">
        <f>'Init. énergie'!D32</f>
        <v>96.691613105737261</v>
      </c>
      <c r="I83" s="81">
        <f t="shared" si="18"/>
        <v>67.120996622911463</v>
      </c>
      <c r="J83" s="81">
        <f t="shared" si="19"/>
        <v>58.017105366229906</v>
      </c>
      <c r="K83" s="81">
        <f t="shared" si="20"/>
        <v>48.641744907116376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100.67202601803508</v>
      </c>
      <c r="H84" s="54">
        <f>'Init. énergie'!D33</f>
        <v>98.676610154660196</v>
      </c>
      <c r="I84" s="81">
        <f t="shared" si="18"/>
        <v>68.498933922101486</v>
      </c>
      <c r="J84" s="81">
        <f t="shared" si="19"/>
        <v>59.208147476708305</v>
      </c>
      <c r="K84" s="81">
        <f t="shared" si="20"/>
        <v>49.640318795727595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96.16087505642119</v>
      </c>
      <c r="H85" s="54">
        <f>'Init. énergie'!D34</f>
        <v>94.25487452068927</v>
      </c>
      <c r="I85" s="81">
        <f t="shared" si="18"/>
        <v>65.42947119392656</v>
      </c>
      <c r="J85" s="81">
        <f t="shared" si="19"/>
        <v>56.555008347700607</v>
      </c>
      <c r="K85" s="81">
        <f t="shared" si="20"/>
        <v>47.415917631594382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51.011088575219283</v>
      </c>
      <c r="H86" s="54">
        <f>'Init. énergie'!D35</f>
        <v>50</v>
      </c>
      <c r="I86" s="81">
        <f t="shared" si="18"/>
        <v>34.708799691608817</v>
      </c>
      <c r="J86" s="81">
        <f t="shared" si="19"/>
        <v>30.001105319644022</v>
      </c>
      <c r="K86" s="81">
        <f t="shared" si="20"/>
        <v>25.153032070074222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54.594540395456711</v>
      </c>
      <c r="H87" s="54">
        <f>'Init. énergie'!D36</f>
        <v>53.512424377058124</v>
      </c>
      <c r="I87" s="81">
        <f t="shared" si="18"/>
        <v>37.147040374313512</v>
      </c>
      <c r="J87" s="81">
        <f t="shared" si="19"/>
        <v>32.108637592912139</v>
      </c>
      <c r="K87" s="81">
        <f t="shared" si="20"/>
        <v>26.919994530071296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108.34921505852287</v>
      </c>
      <c r="H101" s="54">
        <f>H81</f>
        <v>106.20162996399759</v>
      </c>
      <c r="I101" s="81">
        <f>$H101*(1+$G91)^(I$100-$H$100)</f>
        <v>98.692363086949072</v>
      </c>
      <c r="J101" s="81">
        <f>$H101*(1+$G91)^(J$100-$H$100)</f>
        <v>91.714058767159372</v>
      </c>
      <c r="K101" s="81">
        <f>$H101*(1+$G91)^(K$100-$H$100)</f>
        <v>85.229173893985745</v>
      </c>
      <c r="L101" s="67"/>
      <c r="M101" s="79">
        <f>(K101-G101)/H101</f>
        <v>-0.21769949455930981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93.215295454480156</v>
      </c>
      <c r="H102" s="54">
        <f t="shared" si="22"/>
        <v>91.367679124341691</v>
      </c>
      <c r="I102" s="81">
        <f t="shared" ref="I102:K107" si="23">$H102*(1+$G92)^(I$100-$H$100)</f>
        <v>85.792552273895851</v>
      </c>
      <c r="J102" s="81">
        <f t="shared" si="23"/>
        <v>80.557611796754543</v>
      </c>
      <c r="K102" s="81">
        <f t="shared" si="23"/>
        <v>75.642100000458669</v>
      </c>
      <c r="L102" s="67"/>
      <c r="M102" s="79">
        <f t="shared" ref="M102:M107" si="24">(K102-G102)/H102</f>
        <v>-0.19233492217862114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98.646888812351946</v>
      </c>
      <c r="H103" s="54">
        <f t="shared" si="22"/>
        <v>96.691613105737261</v>
      </c>
      <c r="I103" s="81">
        <f t="shared" si="23"/>
        <v>92.838799047316982</v>
      </c>
      <c r="J103" s="81">
        <f t="shared" si="23"/>
        <v>89.1395058134229</v>
      </c>
      <c r="K103" s="81">
        <f t="shared" si="23"/>
        <v>85.58761614970382</v>
      </c>
      <c r="L103" s="67"/>
      <c r="M103" s="79">
        <f t="shared" si="24"/>
        <v>-0.13506106934390616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100.67202601803508</v>
      </c>
      <c r="H104" s="54">
        <f t="shared" si="22"/>
        <v>98.676610154660196</v>
      </c>
      <c r="I104" s="81">
        <f t="shared" si="23"/>
        <v>94.744701081787625</v>
      </c>
      <c r="J104" s="81">
        <f t="shared" si="23"/>
        <v>90.969464486142513</v>
      </c>
      <c r="K104" s="81">
        <f t="shared" si="23"/>
        <v>87.344657531314922</v>
      </c>
      <c r="L104" s="67"/>
      <c r="M104" s="79">
        <f t="shared" si="24"/>
        <v>-0.13506106934390621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96.16087505642119</v>
      </c>
      <c r="H105" s="54">
        <f t="shared" si="22"/>
        <v>94.25487452068927</v>
      </c>
      <c r="I105" s="81">
        <f t="shared" si="23"/>
        <v>90.499155757048086</v>
      </c>
      <c r="J105" s="81">
        <f>$H105*(1+$G95)^(J$100-$H$100)</f>
        <v>86.893088918607546</v>
      </c>
      <c r="K105" s="81">
        <f>$H105*(1+$G95)^(K$100-$H$100)</f>
        <v>83.430710912781208</v>
      </c>
      <c r="L105" s="67"/>
      <c r="M105" s="79">
        <f t="shared" si="24"/>
        <v>-0.1350610693439061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51.011088575219283</v>
      </c>
      <c r="H106" s="54">
        <f t="shared" si="22"/>
        <v>50</v>
      </c>
      <c r="I106" s="81">
        <f t="shared" si="23"/>
        <v>45.41658678713204</v>
      </c>
      <c r="J106" s="81">
        <f t="shared" si="23"/>
        <v>41.253327107861935</v>
      </c>
      <c r="K106" s="81">
        <f t="shared" si="23"/>
        <v>37.471706217043163</v>
      </c>
      <c r="L106" s="67"/>
      <c r="M106" s="79">
        <f t="shared" si="24"/>
        <v>-0.27078764716352238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54.594540395456711</v>
      </c>
      <c r="H107" s="54">
        <f t="shared" si="22"/>
        <v>53.512424377058124</v>
      </c>
      <c r="I107" s="81">
        <f t="shared" si="23"/>
        <v>48.607033318210007</v>
      </c>
      <c r="J107" s="81">
        <f t="shared" si="23"/>
        <v>44.151310943230079</v>
      </c>
      <c r="K107" s="81">
        <f t="shared" si="23"/>
        <v>40.104036904377224</v>
      </c>
      <c r="L107" s="67"/>
      <c r="M107" s="79">
        <f t="shared" si="24"/>
        <v>-0.27078764716352233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1670.6216660063715</v>
      </c>
      <c r="H111" s="54">
        <f t="shared" si="25"/>
        <v>1637.5083463891651</v>
      </c>
      <c r="I111" s="125">
        <f t="shared" si="25"/>
        <v>999.88801430422291</v>
      </c>
      <c r="J111" s="125">
        <f t="shared" si="25"/>
        <v>769.7739047668847</v>
      </c>
      <c r="K111" s="125">
        <f t="shared" si="25"/>
        <v>543.10441797376097</v>
      </c>
      <c r="L111" s="46"/>
      <c r="M111" s="79">
        <f>(K111-G111)/H111</f>
        <v>-0.68855664187536803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4183.7476081268578</v>
      </c>
      <c r="H112" s="54">
        <f t="shared" si="25"/>
        <v>4100.8217281597917</v>
      </c>
      <c r="I112" s="125">
        <f t="shared" si="25"/>
        <v>2713.508319038503</v>
      </c>
      <c r="J112" s="125">
        <f t="shared" si="25"/>
        <v>2291.783580504718</v>
      </c>
      <c r="K112" s="125">
        <f t="shared" si="25"/>
        <v>1802.2310629454068</v>
      </c>
      <c r="L112" s="46"/>
      <c r="M112" s="79">
        <f t="shared" ref="M112:M118" si="26">(K112-G112)/H112</f>
        <v>-0.58074130090266951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632.50454323526492</v>
      </c>
      <c r="H113" s="54">
        <f t="shared" si="25"/>
        <v>619.96769810410376</v>
      </c>
      <c r="I113" s="125">
        <f t="shared" si="25"/>
        <v>502.03193122938018</v>
      </c>
      <c r="J113" s="125">
        <f t="shared" si="25"/>
        <v>479.83034468277998</v>
      </c>
      <c r="K113" s="125">
        <f t="shared" si="25"/>
        <v>423.83241556546193</v>
      </c>
      <c r="L113" s="46"/>
      <c r="M113" s="79">
        <f t="shared" si="26"/>
        <v>-0.33658548390171639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99.897157691916718</v>
      </c>
      <c r="H114" s="54">
        <f t="shared" si="25"/>
        <v>97.917100460041766</v>
      </c>
      <c r="I114" s="125">
        <f t="shared" si="25"/>
        <v>61.480586667560701</v>
      </c>
      <c r="J114" s="125">
        <f t="shared" si="25"/>
        <v>48.968085588624312</v>
      </c>
      <c r="K114" s="125">
        <f t="shared" si="25"/>
        <v>36.044444719941843</v>
      </c>
      <c r="L114" s="46"/>
      <c r="M114" s="79">
        <f t="shared" si="26"/>
        <v>-0.65210992433371773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66.060504601231443</v>
      </c>
      <c r="H115" s="54">
        <f t="shared" si="25"/>
        <v>64.751122203382096</v>
      </c>
      <c r="I115" s="125">
        <f t="shared" si="25"/>
        <v>45.675481205263956</v>
      </c>
      <c r="J115" s="125">
        <f t="shared" si="25"/>
        <v>41.104255027199372</v>
      </c>
      <c r="K115" s="125">
        <f t="shared" si="25"/>
        <v>34.42927973428759</v>
      </c>
      <c r="L115" s="46"/>
      <c r="M115" s="79">
        <f t="shared" si="26"/>
        <v>-0.48850465892453188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350.43548112055964</v>
      </c>
      <c r="H116" s="54">
        <f t="shared" si="25"/>
        <v>343.48951464133035</v>
      </c>
      <c r="I116" s="125">
        <f t="shared" si="25"/>
        <v>173.06979550900726</v>
      </c>
      <c r="J116" s="125">
        <f t="shared" si="25"/>
        <v>97.745848428113973</v>
      </c>
      <c r="K116" s="125">
        <f t="shared" si="25"/>
        <v>36.527850585308585</v>
      </c>
      <c r="L116" s="46"/>
      <c r="M116" s="79">
        <f t="shared" si="26"/>
        <v>-0.91387834898841536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54.174328527227786</v>
      </c>
      <c r="H117" s="54">
        <f t="shared" si="25"/>
        <v>53.100541510052359</v>
      </c>
      <c r="I117" s="125">
        <f t="shared" si="25"/>
        <v>172.26174880079324</v>
      </c>
      <c r="J117" s="125">
        <f t="shared" si="25"/>
        <v>267.96854896711068</v>
      </c>
      <c r="K117" s="125">
        <f t="shared" si="25"/>
        <v>312.75101473644975</v>
      </c>
      <c r="L117" s="46"/>
      <c r="M117" s="79">
        <f t="shared" si="26"/>
        <v>4.8695677832263033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7057.4412893094295</v>
      </c>
      <c r="H118" s="146">
        <f>SUM(H111:H117)</f>
        <v>6917.5560514678673</v>
      </c>
      <c r="I118" s="144">
        <f t="shared" ref="I118:J118" si="27">SUM(I111:I117)</f>
        <v>4667.9158767547315</v>
      </c>
      <c r="J118" s="144">
        <f t="shared" si="27"/>
        <v>3997.1745679654314</v>
      </c>
      <c r="K118" s="144">
        <f>SUM(K111:K117)</f>
        <v>3188.9204862606175</v>
      </c>
      <c r="L118" s="21"/>
      <c r="M118" s="79">
        <f t="shared" si="26"/>
        <v>-0.55923230318140082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1986.7662800647602</v>
      </c>
      <c r="H122" s="147">
        <f t="shared" si="28"/>
        <v>1947.386671757788</v>
      </c>
      <c r="I122" s="143">
        <f>I$36*I59*(1-$J$73)*I101/1000</f>
        <v>1621.1144368150983</v>
      </c>
      <c r="J122" s="143">
        <f t="shared" ref="J122:K122" si="29">J$36*J59*(1-$J$73)*J101/1000</f>
        <v>1372.2271707204688</v>
      </c>
      <c r="K122" s="143">
        <f t="shared" si="29"/>
        <v>1103.956565117714</v>
      </c>
      <c r="L122" s="46"/>
      <c r="M122" s="79">
        <f>(K122-G122)/H122</f>
        <v>-0.45333046988053344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4975.4704139556734</v>
      </c>
      <c r="H123" s="147">
        <f t="shared" si="28"/>
        <v>4876.8518305770003</v>
      </c>
      <c r="I123" s="143">
        <f t="shared" ref="I123:K128" si="30">I$36*I60*(1-$J$73)*I102/1000</f>
        <v>4441.3417080678455</v>
      </c>
      <c r="J123" s="143">
        <f t="shared" si="30"/>
        <v>4148.9357036988886</v>
      </c>
      <c r="K123" s="143">
        <f t="shared" si="30"/>
        <v>3723.1529827443333</v>
      </c>
      <c r="L123" s="46"/>
      <c r="M123" s="79">
        <f t="shared" ref="M123:M129" si="31">(K123-G123)/H123</f>
        <v>-0.25678808270522613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752.19825293633858</v>
      </c>
      <c r="H124" s="147">
        <f t="shared" si="28"/>
        <v>737.28896397414803</v>
      </c>
      <c r="I124" s="143">
        <f t="shared" si="30"/>
        <v>660.63429691085992</v>
      </c>
      <c r="J124" s="143">
        <f t="shared" si="30"/>
        <v>637.62868659842172</v>
      </c>
      <c r="K124" s="143">
        <f t="shared" si="30"/>
        <v>591.25301145524179</v>
      </c>
      <c r="L124" s="46"/>
      <c r="M124" s="79">
        <f t="shared" si="31"/>
        <v>-0.21829330065320238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118.80146679233548</v>
      </c>
      <c r="H125" s="147">
        <f t="shared" si="28"/>
        <v>116.44670806931978</v>
      </c>
      <c r="I125" s="143">
        <f t="shared" si="30"/>
        <v>101.12948405326001</v>
      </c>
      <c r="J125" s="143">
        <f t="shared" si="30"/>
        <v>89.473816343699809</v>
      </c>
      <c r="K125" s="143">
        <f t="shared" si="30"/>
        <v>75.423866972744619</v>
      </c>
      <c r="L125" s="46"/>
      <c r="M125" s="79">
        <f t="shared" si="31"/>
        <v>-0.37251031427842957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78.561643043655479</v>
      </c>
      <c r="H126" s="147">
        <f t="shared" si="28"/>
        <v>77.004476122687578</v>
      </c>
      <c r="I126" s="143">
        <f t="shared" si="30"/>
        <v>75.131648843063786</v>
      </c>
      <c r="J126" s="143">
        <f t="shared" si="30"/>
        <v>75.105132680592462</v>
      </c>
      <c r="K126" s="143">
        <f t="shared" si="30"/>
        <v>72.044095416723877</v>
      </c>
      <c r="L126" s="46"/>
      <c r="M126" s="79">
        <f t="shared" si="31"/>
        <v>-8.4638555511338101E-2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416.75108817003905</v>
      </c>
      <c r="H127" s="147">
        <f t="shared" si="28"/>
        <v>408.49068291839279</v>
      </c>
      <c r="I127" s="143">
        <f t="shared" si="30"/>
        <v>323.18120428201644</v>
      </c>
      <c r="J127" s="143">
        <f t="shared" si="30"/>
        <v>258.20500656662921</v>
      </c>
      <c r="K127" s="143">
        <f t="shared" si="30"/>
        <v>194.14542788328569</v>
      </c>
      <c r="L127" s="46"/>
      <c r="M127" s="79">
        <f t="shared" si="31"/>
        <v>-0.54494672607067751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64.426154259294805</v>
      </c>
      <c r="H128" s="147">
        <f t="shared" si="28"/>
        <v>63.149166248720704</v>
      </c>
      <c r="I128" s="143">
        <f t="shared" si="30"/>
        <v>210.41288534310706</v>
      </c>
      <c r="J128" s="143">
        <f t="shared" si="30"/>
        <v>332.92814281730091</v>
      </c>
      <c r="K128" s="143">
        <f t="shared" si="30"/>
        <v>415.56770111023667</v>
      </c>
      <c r="L128" s="46"/>
      <c r="M128" s="79">
        <f t="shared" si="31"/>
        <v>5.560509626808499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8392.9752992220965</v>
      </c>
      <c r="H129" s="148">
        <f>SUM(H122:H128)</f>
        <v>8226.6184996680568</v>
      </c>
      <c r="I129" s="145">
        <f t="shared" ref="I129:K129" si="32">SUM(I122:I128)</f>
        <v>7432.9456643152516</v>
      </c>
      <c r="J129" s="145">
        <f t="shared" si="32"/>
        <v>6914.5036594260018</v>
      </c>
      <c r="K129" s="145">
        <f t="shared" si="32"/>
        <v>6175.5436507002805</v>
      </c>
      <c r="L129" s="21"/>
      <c r="M129" s="79">
        <f t="shared" si="31"/>
        <v>-0.26954351275816291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3584.8950181469531</v>
      </c>
      <c r="I133" s="143">
        <f t="shared" ref="I133:K133" si="33">I111+I122</f>
        <v>2621.0024511193214</v>
      </c>
      <c r="J133" s="143">
        <f t="shared" si="33"/>
        <v>2142.0010754873538</v>
      </c>
      <c r="K133" s="143">
        <f t="shared" si="33"/>
        <v>1647.060983091475</v>
      </c>
      <c r="L133" s="46"/>
      <c r="M133" s="79">
        <f>(K133-G133)/H133</f>
        <v>0.45944469078005179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8977.6735587367912</v>
      </c>
      <c r="I134" s="143">
        <f t="shared" si="34"/>
        <v>7154.8500271063485</v>
      </c>
      <c r="J134" s="143">
        <f t="shared" si="34"/>
        <v>6440.7192842036065</v>
      </c>
      <c r="K134" s="143">
        <f t="shared" si="34"/>
        <v>5525.3840456897397</v>
      </c>
      <c r="L134" s="46"/>
      <c r="M134" s="79">
        <f t="shared" ref="M134:M140" si="35">(K134-G134)/H134</f>
        <v>0.61545833779093118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1357.2566620782518</v>
      </c>
      <c r="I135" s="143">
        <f t="shared" si="34"/>
        <v>1162.66622814024</v>
      </c>
      <c r="J135" s="143">
        <f t="shared" si="34"/>
        <v>1117.4590312812018</v>
      </c>
      <c r="K135" s="143">
        <f t="shared" si="34"/>
        <v>1015.0854270207037</v>
      </c>
      <c r="L135" s="46"/>
      <c r="M135" s="79">
        <f t="shared" si="35"/>
        <v>0.74789496738692718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214.36380852936156</v>
      </c>
      <c r="I136" s="143">
        <f t="shared" si="34"/>
        <v>162.61007072082072</v>
      </c>
      <c r="J136" s="143">
        <f t="shared" si="34"/>
        <v>138.44190193232413</v>
      </c>
      <c r="K136" s="143">
        <f t="shared" si="34"/>
        <v>111.46831169268646</v>
      </c>
      <c r="L136" s="46"/>
      <c r="M136" s="79">
        <f t="shared" si="35"/>
        <v>0.51999594734490151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141.75559832606967</v>
      </c>
      <c r="I137" s="143">
        <f t="shared" si="34"/>
        <v>120.80713004832774</v>
      </c>
      <c r="J137" s="143">
        <f t="shared" si="34"/>
        <v>116.20938770779183</v>
      </c>
      <c r="K137" s="143">
        <f t="shared" si="34"/>
        <v>106.47337515101147</v>
      </c>
      <c r="L137" s="46"/>
      <c r="M137" s="79">
        <f t="shared" si="35"/>
        <v>0.75110525727596889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751.98019755972314</v>
      </c>
      <c r="I138" s="143">
        <f t="shared" si="34"/>
        <v>496.25099979102367</v>
      </c>
      <c r="J138" s="143">
        <f t="shared" si="34"/>
        <v>355.95085499474317</v>
      </c>
      <c r="K138" s="143">
        <f t="shared" si="34"/>
        <v>230.67327846859428</v>
      </c>
      <c r="L138" s="46"/>
      <c r="M138" s="79">
        <f t="shared" si="35"/>
        <v>0.30675445871734403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116.24970775877307</v>
      </c>
      <c r="I139" s="143">
        <f t="shared" si="34"/>
        <v>382.67463414390033</v>
      </c>
      <c r="J139" s="143">
        <f t="shared" si="34"/>
        <v>600.89669178441159</v>
      </c>
      <c r="K139" s="143">
        <f t="shared" si="34"/>
        <v>728.31871584668647</v>
      </c>
      <c r="L139" s="46"/>
      <c r="M139" s="79">
        <f t="shared" si="35"/>
        <v>6.2651229830014099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15144.174551135924</v>
      </c>
      <c r="I140" s="145">
        <f t="shared" ref="I140:K140" si="36">SUM(I133:I139)</f>
        <v>12100.861541069984</v>
      </c>
      <c r="J140" s="145">
        <f t="shared" si="36"/>
        <v>10911.678227391432</v>
      </c>
      <c r="K140" s="145">
        <f t="shared" si="36"/>
        <v>9364.4641369608962</v>
      </c>
      <c r="L140" s="21"/>
      <c r="M140" s="79">
        <f t="shared" si="35"/>
        <v>0.61835421305669602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énergie'!C30</f>
        <v>5.6584972145073235E-2</v>
      </c>
      <c r="I146" s="47">
        <v>0</v>
      </c>
      <c r="J146" s="47">
        <v>0</v>
      </c>
      <c r="K146" s="47">
        <v>0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énergie'!C31</f>
        <v>0.5881912261494745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énergie'!C32</f>
        <v>8.0741361547576412E-2</v>
      </c>
      <c r="I148" s="47">
        <v>0.08</v>
      </c>
      <c r="J148" s="47">
        <v>0.08</v>
      </c>
      <c r="K148" s="47">
        <v>0.08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énergie'!C33</f>
        <v>1.2731783152525081E-2</v>
      </c>
      <c r="I149" s="47">
        <v>0</v>
      </c>
      <c r="J149" s="47">
        <f t="shared" ref="J149:K149" si="37">I149</f>
        <v>0</v>
      </c>
      <c r="K149" s="47">
        <f t="shared" si="37"/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énergie'!C34</f>
        <v>9.0821371602788342E-3</v>
      </c>
      <c r="I150" s="47">
        <f t="shared" ref="I150:K150" si="38">H150</f>
        <v>9.0821371602788342E-3</v>
      </c>
      <c r="J150" s="47">
        <f t="shared" si="38"/>
        <v>9.0821371602788342E-3</v>
      </c>
      <c r="K150" s="47">
        <f t="shared" si="38"/>
        <v>9.0821371602788342E-3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énergie'!C35</f>
        <v>2.1278159067402536E-2</v>
      </c>
      <c r="I151" s="47">
        <f t="shared" ref="I151:K151" si="39">H151</f>
        <v>2.1278159067402536E-2</v>
      </c>
      <c r="J151" s="47">
        <f t="shared" si="39"/>
        <v>2.1278159067402536E-2</v>
      </c>
      <c r="K151" s="47">
        <f t="shared" si="39"/>
        <v>2.1278159067402536E-2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énergie'!C36</f>
        <v>0.23139036077766945</v>
      </c>
      <c r="I152" s="47">
        <v>0.89</v>
      </c>
      <c r="J152" s="47">
        <v>0.89</v>
      </c>
      <c r="K152" s="47">
        <v>0.89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0">SUM(I146:I152)</f>
        <v>1.0003602962276814</v>
      </c>
      <c r="J153" s="15">
        <f t="shared" si="40"/>
        <v>1.0003602962276814</v>
      </c>
      <c r="K153" s="15">
        <f t="shared" si="40"/>
        <v>1.0003602962276814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53.425860087571742</v>
      </c>
      <c r="J157" s="45">
        <f>K157</f>
        <v>53.425860087571742</v>
      </c>
      <c r="K157" s="45">
        <f t="shared" ref="K157:K163" si="41">K81</f>
        <v>53.425860087571742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2">J158</f>
        <v>45.96348326365635</v>
      </c>
      <c r="J158" s="45">
        <f t="shared" si="42"/>
        <v>45.96348326365635</v>
      </c>
      <c r="K158" s="45">
        <f t="shared" si="41"/>
        <v>45.96348326365635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2"/>
        <v>48.641744907116376</v>
      </c>
      <c r="J159" s="45">
        <f t="shared" si="42"/>
        <v>48.641744907116376</v>
      </c>
      <c r="K159" s="45">
        <f t="shared" si="41"/>
        <v>48.641744907116376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2"/>
        <v>49.640318795727595</v>
      </c>
      <c r="J160" s="45">
        <f t="shared" si="42"/>
        <v>49.640318795727595</v>
      </c>
      <c r="K160" s="45">
        <f t="shared" si="41"/>
        <v>49.640318795727595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2"/>
        <v>47.415917631594382</v>
      </c>
      <c r="J161" s="45">
        <f t="shared" si="42"/>
        <v>47.415917631594382</v>
      </c>
      <c r="K161" s="45">
        <f t="shared" si="41"/>
        <v>47.415917631594382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2"/>
        <v>25.153032070074222</v>
      </c>
      <c r="J162" s="45">
        <f t="shared" si="42"/>
        <v>25.153032070074222</v>
      </c>
      <c r="K162" s="45">
        <f t="shared" si="41"/>
        <v>25.153032070074222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2"/>
        <v>26.919994530071296</v>
      </c>
      <c r="J163" s="45">
        <f t="shared" si="42"/>
        <v>26.919994530071296</v>
      </c>
      <c r="K163" s="45">
        <f t="shared" si="41"/>
        <v>26.919994530071296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3">I$35*I146*I157/1000</f>
        <v>0</v>
      </c>
      <c r="J167" s="10">
        <f t="shared" si="43"/>
        <v>0</v>
      </c>
      <c r="K167" s="10">
        <f t="shared" si="43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4">H$35*H147*H158/1000</f>
        <v>0</v>
      </c>
      <c r="I168" s="10">
        <f t="shared" si="44"/>
        <v>0</v>
      </c>
      <c r="J168" s="10">
        <f t="shared" si="44"/>
        <v>0</v>
      </c>
      <c r="K168" s="10">
        <f t="shared" si="44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4"/>
        <v>0</v>
      </c>
      <c r="I169" s="10">
        <f t="shared" si="44"/>
        <v>22.728177244459246</v>
      </c>
      <c r="J169" s="10">
        <f t="shared" si="44"/>
        <v>13.278806116428186</v>
      </c>
      <c r="K169" s="10">
        <f t="shared" si="44"/>
        <v>13.155738707400097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4"/>
        <v>0</v>
      </c>
      <c r="I170" s="10">
        <f t="shared" si="44"/>
        <v>0</v>
      </c>
      <c r="J170" s="10">
        <f t="shared" si="44"/>
        <v>0</v>
      </c>
      <c r="K170" s="10">
        <f t="shared" si="44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4"/>
        <v>0</v>
      </c>
      <c r="I171" s="10">
        <f t="shared" si="44"/>
        <v>2.5152299222733752</v>
      </c>
      <c r="J171" s="10">
        <f t="shared" si="44"/>
        <v>1.4695085363367211</v>
      </c>
      <c r="K171" s="10">
        <f t="shared" si="44"/>
        <v>1.4558891938652716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4"/>
        <v>0</v>
      </c>
      <c r="I172" s="10">
        <f t="shared" si="44"/>
        <v>3.1260064548648199</v>
      </c>
      <c r="J172" s="10">
        <f t="shared" si="44"/>
        <v>1.8263511933396384</v>
      </c>
      <c r="K172" s="10">
        <f t="shared" si="44"/>
        <v>1.8094246483348433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4"/>
        <v>0</v>
      </c>
      <c r="I173" s="10">
        <f t="shared" si="44"/>
        <v>139.9363199650399</v>
      </c>
      <c r="J173" s="10">
        <f t="shared" si="44"/>
        <v>81.756985677996639</v>
      </c>
      <c r="K173" s="10">
        <f t="shared" si="44"/>
        <v>80.999265419931461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5">SUM(I167:I173)</f>
        <v>168.30573358663733</v>
      </c>
      <c r="J174" s="11">
        <f t="shared" si="45"/>
        <v>98.331651524101176</v>
      </c>
      <c r="K174" s="11">
        <f t="shared" si="45"/>
        <v>97.420317969531681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33755.555534903135</v>
      </c>
      <c r="I179" s="10">
        <f t="shared" ref="I179:K179" si="46">I$36*($J$73*I45+(1-$J$73)*I59)+I$35*I146</f>
        <v>29988.77444250563</v>
      </c>
      <c r="J179" s="10">
        <f t="shared" si="46"/>
        <v>27041.954791533564</v>
      </c>
      <c r="K179" s="10">
        <f t="shared" si="46"/>
        <v>23118.373249510023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7">H$36*($J$73*H46+(1-$J$73)*H60)+H$35*H147</f>
        <v>98258.745814470487</v>
      </c>
      <c r="I180" s="10">
        <f t="shared" si="47"/>
        <v>94551.160279502001</v>
      </c>
      <c r="J180" s="10">
        <f t="shared" si="47"/>
        <v>93306.322049613242</v>
      </c>
      <c r="K180" s="10">
        <f t="shared" si="47"/>
        <v>88430.708166646582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7"/>
        <v>14036.963687781501</v>
      </c>
      <c r="I181" s="10">
        <f t="shared" si="47"/>
        <v>15062.692069145231</v>
      </c>
      <c r="J181" s="10">
        <f t="shared" si="47"/>
        <v>15696.644648881487</v>
      </c>
      <c r="K181" s="10">
        <f t="shared" si="47"/>
        <v>15891.969937141486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7"/>
        <v>2172.3872373947556</v>
      </c>
      <c r="I182" s="10">
        <f t="shared" si="47"/>
        <v>1964.9301222793326</v>
      </c>
      <c r="J182" s="10">
        <f t="shared" si="47"/>
        <v>1810.6085733126749</v>
      </c>
      <c r="K182" s="10">
        <f t="shared" si="47"/>
        <v>1589.6323681763752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7"/>
        <v>1503.9603951194463</v>
      </c>
      <c r="I183" s="10">
        <f t="shared" si="47"/>
        <v>1581.3250927261981</v>
      </c>
      <c r="J183" s="10">
        <f t="shared" si="47"/>
        <v>1622.1327497133982</v>
      </c>
      <c r="K183" s="10">
        <f t="shared" si="47"/>
        <v>1620.3370189895691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7"/>
        <v>15039.603951194464</v>
      </c>
      <c r="I184" s="10">
        <f t="shared" si="47"/>
        <v>12226.546121979796</v>
      </c>
      <c r="J184" s="10">
        <f t="shared" si="47"/>
        <v>9589.6949677615776</v>
      </c>
      <c r="K184" s="10">
        <f t="shared" si="47"/>
        <v>6705.2817579232706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7"/>
        <v>2172.3872373947556</v>
      </c>
      <c r="I185" s="10">
        <f t="shared" si="47"/>
        <v>14164.38068950754</v>
      </c>
      <c r="J185" s="10">
        <f t="shared" si="47"/>
        <v>18923.337315314868</v>
      </c>
      <c r="K185" s="10">
        <f t="shared" si="47"/>
        <v>24988.926139126143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167030.37956557376</v>
      </c>
      <c r="I186" s="10">
        <f t="shared" si="47"/>
        <v>169539.80881764568</v>
      </c>
      <c r="J186" s="10">
        <f t="shared" si="47"/>
        <v>167990.69509613083</v>
      </c>
      <c r="K186" s="10">
        <f t="shared" si="47"/>
        <v>162345.22863751341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  <pageSetUpPr fitToPage="1"/>
  </sheetPr>
  <dimension ref="A1:GB1593"/>
  <sheetViews>
    <sheetView showGridLines="0" topLeftCell="A37" zoomScale="115" zoomScaleNormal="115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179200</v>
      </c>
      <c r="I7" s="10">
        <f t="shared" si="0"/>
        <v>197026.5997265706</v>
      </c>
      <c r="J7" s="10">
        <f t="shared" si="0"/>
        <v>210960.15652501237</v>
      </c>
      <c r="K7" s="10">
        <f t="shared" si="0"/>
        <v>219828.9365343824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22460.450940435054</v>
      </c>
      <c r="J8" s="76">
        <f t="shared" si="0"/>
        <v>19028.37793854532</v>
      </c>
      <c r="K8" s="76">
        <f t="shared" si="0"/>
        <v>14323.902651057895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179200</v>
      </c>
      <c r="I9" s="96">
        <f t="shared" si="1"/>
        <v>174566.14878613554</v>
      </c>
      <c r="J9" s="96">
        <f t="shared" si="1"/>
        <v>191931.77858646706</v>
      </c>
      <c r="K9" s="96">
        <f t="shared" si="1"/>
        <v>205505.0338833245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3808.9479439951956</v>
      </c>
      <c r="I13" s="86">
        <f t="shared" ref="I13:K13" si="2">I133+I167</f>
        <v>2725.8265290885493</v>
      </c>
      <c r="J13" s="86">
        <f t="shared" si="2"/>
        <v>2376.2739525720599</v>
      </c>
      <c r="K13" s="86">
        <f t="shared" si="2"/>
        <v>1962.3461824574588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10537.022711480739</v>
      </c>
      <c r="I14" s="86">
        <f t="shared" si="3"/>
        <v>8382.2347638621122</v>
      </c>
      <c r="J14" s="86">
        <f t="shared" si="3"/>
        <v>8265.1476192230875</v>
      </c>
      <c r="K14" s="86">
        <f t="shared" si="3"/>
        <v>7896.7378250085385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1744.7346539514629</v>
      </c>
      <c r="I15" s="86">
        <f t="shared" si="3"/>
        <v>1742.8526007433452</v>
      </c>
      <c r="J15" s="86">
        <f t="shared" si="3"/>
        <v>1671.0645808258273</v>
      </c>
      <c r="K15" s="86">
        <f t="shared" si="3"/>
        <v>1543.7965923160882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268.71711769333638</v>
      </c>
      <c r="I16" s="86">
        <f t="shared" si="3"/>
        <v>292.67647842688774</v>
      </c>
      <c r="J16" s="86">
        <f t="shared" si="3"/>
        <v>317.50398321815669</v>
      </c>
      <c r="K16" s="86">
        <f t="shared" si="3"/>
        <v>331.5677001491951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289.13034571123421</v>
      </c>
      <c r="I17" s="86">
        <f t="shared" si="3"/>
        <v>269.97939137994626</v>
      </c>
      <c r="J17" s="86">
        <f t="shared" si="3"/>
        <v>249.34782386825725</v>
      </c>
      <c r="K17" s="86">
        <f t="shared" si="3"/>
        <v>219.09565287121606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2089.6511999999998</v>
      </c>
      <c r="I18" s="86">
        <f t="shared" si="3"/>
        <v>1355.1751638488529</v>
      </c>
      <c r="J18" s="86">
        <f t="shared" si="3"/>
        <v>1093.9871174830644</v>
      </c>
      <c r="K18" s="86">
        <f t="shared" si="3"/>
        <v>658.23750170273513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258.00164643359227</v>
      </c>
      <c r="I19" s="86">
        <f t="shared" si="3"/>
        <v>988.70901222187274</v>
      </c>
      <c r="J19" s="86">
        <f t="shared" si="3"/>
        <v>1320.5307389863842</v>
      </c>
      <c r="K19" s="86">
        <f t="shared" si="3"/>
        <v>1671.38607316968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18996.205619265562</v>
      </c>
      <c r="I20" s="13">
        <f t="shared" ref="I20:K20" si="4">SUM(I13:I19)</f>
        <v>15757.453939571564</v>
      </c>
      <c r="J20" s="13">
        <f t="shared" si="4"/>
        <v>15293.855816176838</v>
      </c>
      <c r="K20" s="13">
        <f t="shared" si="4"/>
        <v>14283.167527674912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-0.34245451768615243</v>
      </c>
      <c r="J23" s="177">
        <f t="shared" ref="J23:K23" si="5">J118/$G118-1</f>
        <v>-0.38414747384364645</v>
      </c>
      <c r="K23" s="177">
        <f t="shared" si="5"/>
        <v>-0.45527404523114334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-0.1346474769032886</v>
      </c>
      <c r="J24" s="177">
        <f t="shared" ref="J24:K24" si="6">J129/$G129-1</f>
        <v>-0.13236531357592307</v>
      </c>
      <c r="K24" s="177">
        <f t="shared" si="6"/>
        <v>-0.15303015518665264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179200</v>
      </c>
      <c r="H34" s="125">
        <f>'Init. parc'!C9</f>
        <v>179200</v>
      </c>
      <c r="I34" s="125">
        <f>'Init. parc'!D9</f>
        <v>197026.5997265706</v>
      </c>
      <c r="J34" s="125">
        <f>'Init. parc'!E9</f>
        <v>210960.15652501237</v>
      </c>
      <c r="K34" s="125">
        <f>'Init. parc'!F9</f>
        <v>219828.9365343824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parc'!N9</f>
        <v>22460.450940435054</v>
      </c>
      <c r="J35" s="125">
        <f>'Init. parc'!O9</f>
        <v>19028.37793854532</v>
      </c>
      <c r="K35" s="125">
        <f>'Init. parc'!P9</f>
        <v>14323.902651057895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179200</v>
      </c>
      <c r="H36" s="125">
        <f>H34-H35</f>
        <v>179200</v>
      </c>
      <c r="I36" s="125">
        <f>I34-I35</f>
        <v>174566.14878613554</v>
      </c>
      <c r="J36" s="125">
        <f>J34-J35</f>
        <v>191931.77858646706</v>
      </c>
      <c r="K36" s="125">
        <f>K34-K35</f>
        <v>205505.0338833245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0.158</v>
      </c>
      <c r="H45" s="55">
        <f>'Init. énergie'!B48</f>
        <v>0.158</v>
      </c>
      <c r="I45" s="47">
        <f>H45+((K45-H45)/3)</f>
        <v>0.13533333333333333</v>
      </c>
      <c r="J45" s="47">
        <f>H45+((K45-H45)/3*2)</f>
        <v>0.11266666666666666</v>
      </c>
      <c r="K45" s="47">
        <v>0.09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0.52700000000000002</v>
      </c>
      <c r="H46" s="55">
        <f>'Init. énergie'!B49</f>
        <v>0.52700000000000002</v>
      </c>
      <c r="I46" s="47">
        <f t="shared" ref="I46:I49" si="8">H46+((K46-H46)/3)</f>
        <v>0.50133333333333341</v>
      </c>
      <c r="J46" s="47">
        <f t="shared" ref="J46:J49" si="9">H46+((K46-H46)/3*2)</f>
        <v>0.47566666666666668</v>
      </c>
      <c r="K46" s="47">
        <v>0.45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8.5999999999999993E-2</v>
      </c>
      <c r="H47" s="55">
        <f>'Init. énergie'!B50</f>
        <v>8.5999999999999993E-2</v>
      </c>
      <c r="I47" s="47">
        <v>0.1</v>
      </c>
      <c r="J47" s="47">
        <v>0.09</v>
      </c>
      <c r="K47" s="47">
        <v>0.08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1.4999999999999999E-2</v>
      </c>
      <c r="H48" s="55">
        <f>'Init. énergie'!B51</f>
        <v>1.4999999999999999E-2</v>
      </c>
      <c r="I48" s="47">
        <f t="shared" si="8"/>
        <v>1.6666666666666666E-2</v>
      </c>
      <c r="J48" s="47">
        <f t="shared" si="9"/>
        <v>1.8333333333333333E-2</v>
      </c>
      <c r="K48" s="47">
        <v>0.02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1.2999999999999999E-2</v>
      </c>
      <c r="H49" s="55">
        <f>'Init. énergie'!B52</f>
        <v>1.2999999999999999E-2</v>
      </c>
      <c r="I49" s="47">
        <f t="shared" si="8"/>
        <v>1.2E-2</v>
      </c>
      <c r="J49" s="47">
        <f t="shared" si="9"/>
        <v>1.0999999999999999E-2</v>
      </c>
      <c r="K49" s="47">
        <v>0.01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0.16900000000000001</v>
      </c>
      <c r="H50" s="55">
        <f>'Init. énergie'!B53</f>
        <v>0.16900000000000001</v>
      </c>
      <c r="I50" s="47">
        <v>0.13</v>
      </c>
      <c r="J50" s="47">
        <v>0.13</v>
      </c>
      <c r="K50" s="47">
        <f>1-K45-K46-K47-K48-K49-K51</f>
        <v>8.9999999999999969E-2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3.2000000000000001E-2</v>
      </c>
      <c r="H51" s="55">
        <f>'Init. énergie'!B54</f>
        <v>3.2000000000000001E-2</v>
      </c>
      <c r="I51" s="47">
        <v>0.1</v>
      </c>
      <c r="J51" s="47">
        <v>0.16</v>
      </c>
      <c r="K51" s="123">
        <v>0.26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1</v>
      </c>
      <c r="H52" s="149">
        <f t="shared" si="10"/>
        <v>1</v>
      </c>
      <c r="I52" s="155">
        <f t="shared" si="10"/>
        <v>0.9953333333333334</v>
      </c>
      <c r="J52" s="155">
        <f t="shared" si="10"/>
        <v>0.9976666666666667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-3.6952124131709591E-2</v>
      </c>
      <c r="J55" s="142">
        <f>(I$81*(J45-I45)+I$82*(J46-I46)+I$83*(J47-I47)+I$84*(J48-I48)+I$85*(J49-I49)+I$86*(J50-I50)+I$87*(J51-I51))/(I$81*I45+I$82*I46+I$83*I47+I$84*I48+I$85*I49+I$86*I50+I$87*I51)</f>
        <v>-4.2151267375887883E-2</v>
      </c>
      <c r="K55" s="142">
        <f>(J$81*(K45-J45)+J$82*(K46-J46)+J$83*(K47-J47)+J$84*(K48-J48)+J$85*(K49-J49)+J$86*(K50-J50)+J$87*(K51-J51))/(J$81*J45+J$82*J46+J$83*J47+J$84*J48+J$85*J49+J$86*J50+J$87*J51)</f>
        <v>-5.3826914890633605E-2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0.158</v>
      </c>
      <c r="H59" s="55">
        <f>H45</f>
        <v>0.158</v>
      </c>
      <c r="I59" s="47">
        <f>H59+((K59-H59)/3)</f>
        <v>0.14200000000000002</v>
      </c>
      <c r="J59" s="47">
        <f>H59+((K59-H59)/3*2)</f>
        <v>0.126</v>
      </c>
      <c r="K59" s="47">
        <v>0.11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0.52700000000000002</v>
      </c>
      <c r="H60" s="55">
        <f t="shared" ref="H60:H65" si="12">H46</f>
        <v>0.52700000000000002</v>
      </c>
      <c r="I60" s="47">
        <f t="shared" ref="I60:I65" si="13">H60+((K60-H60)/3)</f>
        <v>0.52133333333333332</v>
      </c>
      <c r="J60" s="47">
        <f t="shared" ref="J60:J65" si="14">H60+((K60-H60)/3*2)</f>
        <v>0.51566666666666672</v>
      </c>
      <c r="K60" s="47">
        <v>0.51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8.5999999999999993E-2</v>
      </c>
      <c r="H61" s="55">
        <f t="shared" si="12"/>
        <v>8.5999999999999993E-2</v>
      </c>
      <c r="I61" s="47">
        <v>0.08</v>
      </c>
      <c r="J61" s="47">
        <v>0.08</v>
      </c>
      <c r="K61" s="47">
        <v>0.08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1.4999999999999999E-2</v>
      </c>
      <c r="H62" s="55">
        <f t="shared" si="12"/>
        <v>1.4999999999999999E-2</v>
      </c>
      <c r="I62" s="47">
        <f t="shared" si="13"/>
        <v>1.6666666666666666E-2</v>
      </c>
      <c r="J62" s="47">
        <f t="shared" si="14"/>
        <v>1.8333333333333333E-2</v>
      </c>
      <c r="K62" s="47">
        <v>0.02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1.2999999999999999E-2</v>
      </c>
      <c r="H63" s="55">
        <f t="shared" si="12"/>
        <v>1.2999999999999999E-2</v>
      </c>
      <c r="I63" s="47">
        <f t="shared" si="13"/>
        <v>1.2E-2</v>
      </c>
      <c r="J63" s="47">
        <f t="shared" si="14"/>
        <v>1.0999999999999999E-2</v>
      </c>
      <c r="K63" s="47">
        <v>0.01</v>
      </c>
      <c r="L63" s="64"/>
      <c r="M63" s="494"/>
      <c r="N63" s="33"/>
      <c r="O63" s="42"/>
    </row>
    <row r="64" spans="1:15">
      <c r="C64" s="40"/>
      <c r="D64" s="32"/>
      <c r="E64" s="151" t="s">
        <v>25</v>
      </c>
      <c r="F64" s="55"/>
      <c r="G64" s="55">
        <f t="shared" si="11"/>
        <v>0.16900000000000001</v>
      </c>
      <c r="H64" s="55">
        <f t="shared" si="12"/>
        <v>0.16900000000000001</v>
      </c>
      <c r="I64" s="47">
        <f t="shared" si="13"/>
        <v>0.12933333333333333</v>
      </c>
      <c r="J64" s="47">
        <f t="shared" si="14"/>
        <v>8.9666666666666645E-2</v>
      </c>
      <c r="K64" s="47">
        <f>1-K59-K60-K61-K62-K63-K65</f>
        <v>4.9999999999999961E-2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3.2000000000000001E-2</v>
      </c>
      <c r="H65" s="55">
        <f t="shared" si="12"/>
        <v>3.2000000000000001E-2</v>
      </c>
      <c r="I65" s="47">
        <f t="shared" si="13"/>
        <v>9.4666666666666663E-2</v>
      </c>
      <c r="J65" s="47">
        <f t="shared" si="14"/>
        <v>0.15733333333333333</v>
      </c>
      <c r="K65" s="123">
        <v>0.22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</v>
      </c>
      <c r="H66" s="149">
        <v>1</v>
      </c>
      <c r="I66" s="47">
        <f t="shared" ref="I66:J66" si="16">SUM(I59:I65)</f>
        <v>0.996</v>
      </c>
      <c r="J66" s="47">
        <f t="shared" si="16"/>
        <v>0.998</v>
      </c>
      <c r="K66" s="47">
        <f>SUM(K59:K65)</f>
        <v>0.99999999999999989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-3.1498066852509561E-2</v>
      </c>
      <c r="J69" s="142">
        <f>(I$101*(J59-I59)+I$102*(J60-I60)+I$103*(J61-I61)+I$104*(J62-I62)+I$105*(J63-I63)+I$106*(J64-I64)+I$107*(J65-I65))/(I$101*I59+I$102*I60+I$103*I61+I$104*I62+I$105*I63+I$106*I64+I$107*I65)</f>
        <v>-2.5795183624449505E-2</v>
      </c>
      <c r="K69" s="142">
        <f>(J$101*(K59-J59)+J$102*(K60-J60)+J$103*(K61-J61)+J$104*(K62-J62)+J$105*(K63-J63)+J$106*(K64-J64)+J$107*(K65-J65))/(J$101*J59+J$102*J60+J$103*J61+J$104*J62+J$105*J63+J$106*J64+J$107*J65)</f>
        <v>-2.6355784160759663E-2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bord'!J12</f>
        <v>0.83</v>
      </c>
      <c r="I73" s="92">
        <f>'Tableau de bord'!J24</f>
        <v>0.54400000000000004</v>
      </c>
      <c r="J73" s="92">
        <f>'Tableau de bord'!J27</f>
        <v>0.45152000000000003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48.7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137.2475283606029</v>
      </c>
      <c r="H81" s="54">
        <f>'Init. énergie'!D48</f>
        <v>134.52715105091531</v>
      </c>
      <c r="I81" s="81">
        <f>G81*(1-H$77)/(1+I$55)</f>
        <v>96.196756116491343</v>
      </c>
      <c r="J81" s="81">
        <f>G81*(1-I$77)/(1+I$55)/(1+J$55)</f>
        <v>85.551488506413122</v>
      </c>
      <c r="K81" s="81">
        <f>G81*(1-J$77)/(1+I$55)/(1+J$55)/(1+K$55)</f>
        <v>74.693488832435349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113.83187323259207</v>
      </c>
      <c r="H82" s="54">
        <f>'Init. énergie'!D49</f>
        <v>111.57561660808248</v>
      </c>
      <c r="I82" s="81">
        <f t="shared" ref="I82:I87" si="18">G82*(1-H$77)/(1+I$55)</f>
        <v>79.784729666449181</v>
      </c>
      <c r="J82" s="81">
        <f t="shared" ref="J82:J87" si="19">G82*(1-I$77)/(1+I$55)/(1+J$55)</f>
        <v>70.955639863581126</v>
      </c>
      <c r="K82" s="81">
        <f t="shared" ref="K82:K87" si="20">G82*(1-J$77)/(1+I$55)/(1+J$55)/(1+K$55)</f>
        <v>61.950111988424467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115.50147162190179</v>
      </c>
      <c r="H83" s="54">
        <f>'Init. énergie'!D50</f>
        <v>113.21212196009803</v>
      </c>
      <c r="I83" s="81">
        <f t="shared" si="18"/>
        <v>80.95495073335924</v>
      </c>
      <c r="J83" s="81">
        <f t="shared" si="19"/>
        <v>71.996362630100222</v>
      </c>
      <c r="K83" s="81">
        <f t="shared" si="20"/>
        <v>62.858748596574515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101.9907194369971</v>
      </c>
      <c r="H84" s="54">
        <f>'Init. énergie'!D51</f>
        <v>99.969165808532892</v>
      </c>
      <c r="I84" s="81">
        <f t="shared" si="18"/>
        <v>71.485268121175253</v>
      </c>
      <c r="J84" s="81">
        <f t="shared" si="19"/>
        <v>63.574608343764666</v>
      </c>
      <c r="K84" s="81">
        <f t="shared" si="20"/>
        <v>55.505864143970697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126.62133992839577</v>
      </c>
      <c r="H85" s="54">
        <f>'Init. énergie'!D52</f>
        <v>124.11158383895697</v>
      </c>
      <c r="I85" s="81">
        <f t="shared" si="18"/>
        <v>88.748863471203194</v>
      </c>
      <c r="J85" s="81">
        <f t="shared" si="19"/>
        <v>78.927790080774272</v>
      </c>
      <c r="K85" s="81">
        <f t="shared" si="20"/>
        <v>68.910455094246359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70.39530223380261</v>
      </c>
      <c r="H86" s="54">
        <f>'Init. énergie'!D53</f>
        <v>69</v>
      </c>
      <c r="I86" s="81">
        <f t="shared" si="18"/>
        <v>49.34004860866888</v>
      </c>
      <c r="J86" s="81">
        <f t="shared" si="19"/>
        <v>43.880009803436195</v>
      </c>
      <c r="K86" s="81">
        <f t="shared" si="20"/>
        <v>38.310859102988289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45.901732836134151</v>
      </c>
      <c r="H87" s="54">
        <f>'Init. énergie'!D54</f>
        <v>44.991916579518737</v>
      </c>
      <c r="I87" s="81">
        <f t="shared" si="18"/>
        <v>32.172512333777249</v>
      </c>
      <c r="J87" s="81">
        <f t="shared" si="19"/>
        <v>28.612257109922691</v>
      </c>
      <c r="K87" s="81">
        <f t="shared" si="20"/>
        <v>24.980854736976013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137.2475283606029</v>
      </c>
      <c r="H101" s="54">
        <f>H81</f>
        <v>134.52715105091531</v>
      </c>
      <c r="I101" s="81">
        <f>$H101*(1+$G91)^(I$100-$H$100)</f>
        <v>125.01505335719065</v>
      </c>
      <c r="J101" s="81">
        <f>$H101*(1+$G91)^(J$100-$H$100)</f>
        <v>116.17553366595948</v>
      </c>
      <c r="K101" s="81">
        <f>$H101*(1+$G91)^(K$100-$H$100)</f>
        <v>107.96103557231471</v>
      </c>
      <c r="L101" s="67"/>
      <c r="M101" s="79">
        <f>(K101-G101)/H101</f>
        <v>-0.21769949455930981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113.83187323259207</v>
      </c>
      <c r="H102" s="54">
        <f t="shared" si="22"/>
        <v>111.57561660808248</v>
      </c>
      <c r="I102" s="81">
        <f t="shared" ref="I102:K107" si="23">$H102*(1+$G92)^(I$100-$H$100)</f>
        <v>104.76742992797396</v>
      </c>
      <c r="J102" s="81">
        <f t="shared" si="23"/>
        <v>98.374669191994641</v>
      </c>
      <c r="K102" s="81">
        <f t="shared" si="23"/>
        <v>92.371985695244845</v>
      </c>
      <c r="L102" s="67"/>
      <c r="M102" s="79">
        <f t="shared" ref="M102:M107" si="24">(K102-G102)/H102</f>
        <v>-0.19233492217862128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115.50147162190179</v>
      </c>
      <c r="H103" s="54">
        <f t="shared" si="22"/>
        <v>113.21212196009803</v>
      </c>
      <c r="I103" s="81">
        <f t="shared" si="23"/>
        <v>108.70102486427788</v>
      </c>
      <c r="J103" s="81">
        <f t="shared" si="23"/>
        <v>104.36967881150495</v>
      </c>
      <c r="K103" s="81">
        <f t="shared" si="23"/>
        <v>100.21092136727822</v>
      </c>
      <c r="L103" s="67"/>
      <c r="M103" s="79">
        <f t="shared" si="24"/>
        <v>-0.13506106934390621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101.9907194369971</v>
      </c>
      <c r="H104" s="54">
        <f t="shared" si="22"/>
        <v>99.969165808532892</v>
      </c>
      <c r="I104" s="81">
        <f t="shared" si="23"/>
        <v>95.985753027793905</v>
      </c>
      <c r="J104" s="81">
        <f t="shared" si="23"/>
        <v>92.16106496235507</v>
      </c>
      <c r="K104" s="81">
        <f t="shared" si="23"/>
        <v>88.488777001478368</v>
      </c>
      <c r="L104" s="67"/>
      <c r="M104" s="79">
        <f t="shared" si="24"/>
        <v>-0.1350610693439063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126.62133992839577</v>
      </c>
      <c r="H105" s="54">
        <f t="shared" si="22"/>
        <v>124.11158383895697</v>
      </c>
      <c r="I105" s="81">
        <f t="shared" si="23"/>
        <v>119.16618227135019</v>
      </c>
      <c r="J105" s="81">
        <f>$H105*(1+$G95)^(J$100-$H$100)</f>
        <v>114.41783722263067</v>
      </c>
      <c r="K105" s="81">
        <f>$H105*(1+$G95)^(K$100-$H$100)</f>
        <v>109.85869669714037</v>
      </c>
      <c r="L105" s="67"/>
      <c r="M105" s="79">
        <f t="shared" si="24"/>
        <v>-0.13506106934390619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70.39530223380261</v>
      </c>
      <c r="H106" s="54">
        <f t="shared" si="22"/>
        <v>69</v>
      </c>
      <c r="I106" s="81">
        <f t="shared" si="23"/>
        <v>62.674889766242217</v>
      </c>
      <c r="J106" s="81">
        <f t="shared" si="23"/>
        <v>56.929591408849475</v>
      </c>
      <c r="K106" s="81">
        <f t="shared" si="23"/>
        <v>51.710954579519566</v>
      </c>
      <c r="L106" s="67"/>
      <c r="M106" s="79">
        <f t="shared" si="24"/>
        <v>-0.27078764716352238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45.901732836134151</v>
      </c>
      <c r="H107" s="54">
        <f t="shared" si="22"/>
        <v>44.991916579518737</v>
      </c>
      <c r="I107" s="81">
        <f t="shared" si="23"/>
        <v>40.867585681062351</v>
      </c>
      <c r="J107" s="81">
        <f t="shared" si="23"/>
        <v>37.121325037290461</v>
      </c>
      <c r="K107" s="81">
        <f t="shared" si="23"/>
        <v>33.718477604188791</v>
      </c>
      <c r="L107" s="67"/>
      <c r="M107" s="79">
        <f t="shared" si="24"/>
        <v>-0.27078764716352255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1754.593905406711</v>
      </c>
      <c r="H111" s="54">
        <f t="shared" si="25"/>
        <v>1719.8161756727109</v>
      </c>
      <c r="I111" s="125">
        <f t="shared" si="25"/>
        <v>1026.1296317491626</v>
      </c>
      <c r="J111" s="125">
        <f t="shared" si="25"/>
        <v>835.30849021725066</v>
      </c>
      <c r="K111" s="125">
        <f t="shared" si="25"/>
        <v>623.77032678364196</v>
      </c>
      <c r="L111" s="46"/>
      <c r="M111" s="79">
        <f>(K111-G111)/H111</f>
        <v>-0.65752584178407558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4853.8851416551461</v>
      </c>
      <c r="H112" s="54">
        <f t="shared" si="25"/>
        <v>4757.6764946877838</v>
      </c>
      <c r="I112" s="125">
        <f t="shared" si="25"/>
        <v>3152.7053392061766</v>
      </c>
      <c r="J112" s="125">
        <f t="shared" si="25"/>
        <v>2924.9168141595892</v>
      </c>
      <c r="K112" s="125">
        <f t="shared" si="25"/>
        <v>2586.7476672559937</v>
      </c>
      <c r="L112" s="46"/>
      <c r="M112" s="79">
        <f t="shared" ref="M112:M118" si="26">(K112-G112)/H112</f>
        <v>-0.47652199070923384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803.71295050153219</v>
      </c>
      <c r="H113" s="54">
        <f t="shared" si="25"/>
        <v>787.78259095216447</v>
      </c>
      <c r="I113" s="125">
        <f t="shared" si="25"/>
        <v>638.08779194537738</v>
      </c>
      <c r="J113" s="125">
        <f t="shared" si="25"/>
        <v>561.53514796234003</v>
      </c>
      <c r="K113" s="125">
        <f t="shared" si="25"/>
        <v>466.61121654132785</v>
      </c>
      <c r="L113" s="46"/>
      <c r="M113" s="79">
        <f t="shared" si="26"/>
        <v>-0.42791213950635998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123.78468383283861</v>
      </c>
      <c r="H114" s="54">
        <f t="shared" si="25"/>
        <v>121.33115298089527</v>
      </c>
      <c r="I114" s="125">
        <f t="shared" si="25"/>
        <v>93.9079419661891</v>
      </c>
      <c r="J114" s="125">
        <f t="shared" si="25"/>
        <v>101.00642685452262</v>
      </c>
      <c r="K114" s="125">
        <f t="shared" si="25"/>
        <v>103.0073751532147</v>
      </c>
      <c r="L114" s="46"/>
      <c r="M114" s="79">
        <f t="shared" si="26"/>
        <v>-0.17124463230721543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133.18804822545161</v>
      </c>
      <c r="H115" s="54">
        <f t="shared" si="25"/>
        <v>130.54813369553648</v>
      </c>
      <c r="I115" s="125">
        <f t="shared" si="25"/>
        <v>83.942339511547161</v>
      </c>
      <c r="J115" s="125">
        <f t="shared" si="25"/>
        <v>75.239605212901779</v>
      </c>
      <c r="K115" s="125">
        <f t="shared" si="25"/>
        <v>63.941758310980532</v>
      </c>
      <c r="L115" s="46"/>
      <c r="M115" s="79">
        <f t="shared" si="26"/>
        <v>-0.53042726812140284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962.59894171723681</v>
      </c>
      <c r="H116" s="54">
        <f t="shared" si="25"/>
        <v>943.51930982400006</v>
      </c>
      <c r="I116" s="125">
        <f t="shared" si="25"/>
        <v>505.56843160022657</v>
      </c>
      <c r="J116" s="125">
        <f t="shared" si="25"/>
        <v>494.34932801017032</v>
      </c>
      <c r="K116" s="125">
        <f t="shared" si="25"/>
        <v>319.93654969903895</v>
      </c>
      <c r="L116" s="46"/>
      <c r="M116" s="79">
        <f t="shared" si="26"/>
        <v>-0.68113326916232086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118.84859627208628</v>
      </c>
      <c r="H117" s="54">
        <f t="shared" si="25"/>
        <v>116.4929033976956</v>
      </c>
      <c r="I117" s="125">
        <f t="shared" si="25"/>
        <v>253.58408806906942</v>
      </c>
      <c r="J117" s="125">
        <f t="shared" si="25"/>
        <v>396.73085800623812</v>
      </c>
      <c r="K117" s="125">
        <f t="shared" si="25"/>
        <v>602.67072854227627</v>
      </c>
      <c r="L117" s="46"/>
      <c r="M117" s="79">
        <f t="shared" si="26"/>
        <v>4.1532326704783689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8750.6122676110026</v>
      </c>
      <c r="H118" s="146">
        <f>SUM(H111:H117)</f>
        <v>8577.1667612107849</v>
      </c>
      <c r="I118" s="144">
        <f t="shared" ref="I118:J118" si="27">SUM(I111:I117)</f>
        <v>5753.9255640477486</v>
      </c>
      <c r="J118" s="144">
        <f t="shared" si="27"/>
        <v>5389.0866704230129</v>
      </c>
      <c r="K118" s="144">
        <f>SUM(K111:K117)</f>
        <v>4766.6856222864735</v>
      </c>
      <c r="L118" s="21"/>
      <c r="M118" s="79">
        <f t="shared" si="26"/>
        <v>-0.46448049294568489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2131.3777135840551</v>
      </c>
      <c r="H122" s="147">
        <f t="shared" si="28"/>
        <v>2089.1317683224847</v>
      </c>
      <c r="I122" s="143">
        <f>I$36*I59*(1-$J$73)*I101/1000</f>
        <v>1699.6968973393869</v>
      </c>
      <c r="J122" s="143">
        <f t="shared" ref="J122:K122" si="29">J$36*J59*(1-$J$73)*J101/1000</f>
        <v>1540.9654623548092</v>
      </c>
      <c r="K122" s="143">
        <f t="shared" si="29"/>
        <v>1338.5758556738167</v>
      </c>
      <c r="L122" s="46"/>
      <c r="M122" s="79">
        <f>(K122-G122)/H122</f>
        <v>-0.37948868038459654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5896.2148354336778</v>
      </c>
      <c r="H123" s="147">
        <f t="shared" si="28"/>
        <v>5779.3462167929538</v>
      </c>
      <c r="I123" s="143">
        <f t="shared" ref="I123:K128" si="30">I$36*I60*(1-$J$73)*I102/1000</f>
        <v>5229.5294246559361</v>
      </c>
      <c r="J123" s="143">
        <f t="shared" si="30"/>
        <v>5340.2308050634974</v>
      </c>
      <c r="K123" s="143">
        <f t="shared" si="30"/>
        <v>5309.9901577525443</v>
      </c>
      <c r="L123" s="46"/>
      <c r="M123" s="79">
        <f t="shared" ref="M123:M129" si="31">(K123-G123)/H123</f>
        <v>-0.10143442799425129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976.30332895792071</v>
      </c>
      <c r="H124" s="147">
        <f t="shared" si="28"/>
        <v>956.95206299929828</v>
      </c>
      <c r="I124" s="143">
        <f t="shared" si="30"/>
        <v>832.61542516076281</v>
      </c>
      <c r="J124" s="143">
        <f t="shared" si="30"/>
        <v>878.96588178766922</v>
      </c>
      <c r="K124" s="143">
        <f t="shared" si="30"/>
        <v>903.62513479372058</v>
      </c>
      <c r="L124" s="46"/>
      <c r="M124" s="79">
        <f t="shared" si="31"/>
        <v>-7.5947580839536191E-2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150.36637001380959</v>
      </c>
      <c r="H125" s="147">
        <f t="shared" si="28"/>
        <v>147.38596471244114</v>
      </c>
      <c r="I125" s="143">
        <f t="shared" si="30"/>
        <v>153.17093120480058</v>
      </c>
      <c r="J125" s="143">
        <f t="shared" si="30"/>
        <v>177.8675008851032</v>
      </c>
      <c r="K125" s="143">
        <f t="shared" si="30"/>
        <v>199.48095964668443</v>
      </c>
      <c r="L125" s="46"/>
      <c r="M125" s="79">
        <f t="shared" si="31"/>
        <v>0.33323790178189866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161.78902527173918</v>
      </c>
      <c r="H126" s="147">
        <f t="shared" si="28"/>
        <v>158.58221201569771</v>
      </c>
      <c r="I126" s="143">
        <f t="shared" si="30"/>
        <v>136.91628249208642</v>
      </c>
      <c r="J126" s="143">
        <f t="shared" si="30"/>
        <v>132.49335674526344</v>
      </c>
      <c r="K126" s="143">
        <f t="shared" si="30"/>
        <v>123.82767049833606</v>
      </c>
      <c r="L126" s="46"/>
      <c r="M126" s="79">
        <f t="shared" si="31"/>
        <v>-0.23937965230075997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1169.3087073730287</v>
      </c>
      <c r="H127" s="147">
        <f t="shared" si="28"/>
        <v>1146.1318901759998</v>
      </c>
      <c r="I127" s="143">
        <f t="shared" si="30"/>
        <v>776.11285408971378</v>
      </c>
      <c r="J127" s="143">
        <f t="shared" si="30"/>
        <v>537.37415578691321</v>
      </c>
      <c r="K127" s="143">
        <f t="shared" si="30"/>
        <v>291.43104903564011</v>
      </c>
      <c r="L127" s="46"/>
      <c r="M127" s="79">
        <f t="shared" si="31"/>
        <v>-0.76594820008243714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144.37030050344143</v>
      </c>
      <c r="H128" s="147">
        <f t="shared" si="28"/>
        <v>141.50874303589669</v>
      </c>
      <c r="I128" s="143">
        <f t="shared" si="30"/>
        <v>370.42210367731343</v>
      </c>
      <c r="J128" s="143">
        <f t="shared" si="30"/>
        <v>614.82553662414421</v>
      </c>
      <c r="K128" s="143">
        <f t="shared" si="30"/>
        <v>836.13017922217273</v>
      </c>
      <c r="L128" s="46"/>
      <c r="M128" s="79">
        <f t="shared" si="31"/>
        <v>4.8884603444131489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10629.730281137674</v>
      </c>
      <c r="H129" s="148">
        <f>SUM(H122:H128)</f>
        <v>10419.038858054771</v>
      </c>
      <c r="I129" s="145">
        <f t="shared" ref="I129:K129" si="32">SUM(I122:I128)</f>
        <v>9198.463918620002</v>
      </c>
      <c r="J129" s="145">
        <f t="shared" si="32"/>
        <v>9222.7226992474007</v>
      </c>
      <c r="K129" s="145">
        <f t="shared" si="32"/>
        <v>9003.0610066229146</v>
      </c>
      <c r="L129" s="21"/>
      <c r="M129" s="79">
        <f t="shared" si="31"/>
        <v>-0.15612469601811788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3808.9479439951956</v>
      </c>
      <c r="I133" s="143">
        <f t="shared" ref="I133:K133" si="33">I111+I122</f>
        <v>2725.8265290885493</v>
      </c>
      <c r="J133" s="143">
        <f t="shared" si="33"/>
        <v>2376.2739525720599</v>
      </c>
      <c r="K133" s="143">
        <f t="shared" si="33"/>
        <v>1962.3461824574588</v>
      </c>
      <c r="L133" s="46"/>
      <c r="M133" s="79">
        <f>(K133-G133)/H133</f>
        <v>0.5151937520046963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10537.022711480739</v>
      </c>
      <c r="I134" s="143">
        <f t="shared" si="34"/>
        <v>8382.2347638621122</v>
      </c>
      <c r="J134" s="143">
        <f t="shared" si="34"/>
        <v>8265.1476192230875</v>
      </c>
      <c r="K134" s="143">
        <f t="shared" si="34"/>
        <v>7896.7378250085385</v>
      </c>
      <c r="L134" s="46"/>
      <c r="M134" s="79">
        <f t="shared" ref="M134:M140" si="35">(K134-G134)/H134</f>
        <v>0.74942780719306545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1744.7346539514629</v>
      </c>
      <c r="I135" s="143">
        <f t="shared" si="34"/>
        <v>1470.7032171061401</v>
      </c>
      <c r="J135" s="143">
        <f t="shared" si="34"/>
        <v>1440.5010297500094</v>
      </c>
      <c r="K135" s="143">
        <f t="shared" si="34"/>
        <v>1370.2363513350483</v>
      </c>
      <c r="L135" s="46"/>
      <c r="M135" s="79">
        <f t="shared" si="35"/>
        <v>0.78535515313560522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268.71711769333638</v>
      </c>
      <c r="I136" s="143">
        <f t="shared" si="34"/>
        <v>247.07887317098968</v>
      </c>
      <c r="J136" s="143">
        <f t="shared" si="34"/>
        <v>278.8739277396258</v>
      </c>
      <c r="K136" s="143">
        <f t="shared" si="34"/>
        <v>302.48833479989912</v>
      </c>
      <c r="L136" s="46"/>
      <c r="M136" s="79">
        <f t="shared" si="35"/>
        <v>1.1256757194943678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289.13034571123421</v>
      </c>
      <c r="I137" s="143">
        <f t="shared" si="34"/>
        <v>220.85862200363357</v>
      </c>
      <c r="J137" s="143">
        <f t="shared" si="34"/>
        <v>207.73296195816522</v>
      </c>
      <c r="K137" s="143">
        <f t="shared" si="34"/>
        <v>187.76942880931659</v>
      </c>
      <c r="L137" s="46"/>
      <c r="M137" s="79">
        <f t="shared" si="35"/>
        <v>0.64942829970828886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2089.6511999999998</v>
      </c>
      <c r="I138" s="143">
        <f t="shared" si="34"/>
        <v>1281.6812856899403</v>
      </c>
      <c r="J138" s="143">
        <f t="shared" si="34"/>
        <v>1031.7234837970836</v>
      </c>
      <c r="K138" s="143">
        <f t="shared" si="34"/>
        <v>611.36759873467906</v>
      </c>
      <c r="L138" s="46"/>
      <c r="M138" s="79">
        <f t="shared" si="35"/>
        <v>0.29256920903099959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258.00164643359227</v>
      </c>
      <c r="I139" s="143">
        <f t="shared" si="34"/>
        <v>624.00619174638291</v>
      </c>
      <c r="J139" s="143">
        <f t="shared" si="34"/>
        <v>1011.5563946303823</v>
      </c>
      <c r="K139" s="143">
        <f t="shared" si="34"/>
        <v>1438.800907764449</v>
      </c>
      <c r="L139" s="46"/>
      <c r="M139" s="79">
        <f t="shared" si="35"/>
        <v>5.5767121165825033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18996.205619265562</v>
      </c>
      <c r="I140" s="145">
        <f t="shared" ref="I140:K140" si="36">SUM(I133:I139)</f>
        <v>14952.389482667746</v>
      </c>
      <c r="J140" s="145">
        <f t="shared" si="36"/>
        <v>14611.809369670415</v>
      </c>
      <c r="K140" s="145">
        <f t="shared" si="36"/>
        <v>13769.74662890939</v>
      </c>
      <c r="L140" s="21"/>
      <c r="M140" s="79">
        <f t="shared" si="35"/>
        <v>0.72486826605753285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énergie'!C48</f>
        <v>1.1068404808735261E-2</v>
      </c>
      <c r="I146" s="47">
        <v>0</v>
      </c>
      <c r="J146" s="47">
        <v>0</v>
      </c>
      <c r="K146" s="47">
        <v>0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énergie'!C49</f>
        <v>0.44151844048973238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énergie'!C50</f>
        <v>0.19276276753541544</v>
      </c>
      <c r="I148" s="47">
        <f>H148</f>
        <v>0.19276276753541544</v>
      </c>
      <c r="J148" s="47">
        <f t="shared" ref="J148:K148" si="37">I148</f>
        <v>0.19276276753541544</v>
      </c>
      <c r="K148" s="47">
        <f t="shared" si="37"/>
        <v>0.19276276753541544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énergie'!C51</f>
        <v>3.6575030316210601E-2</v>
      </c>
      <c r="I149" s="47">
        <f t="shared" ref="I149:K149" si="38">H149</f>
        <v>3.6575030316210601E-2</v>
      </c>
      <c r="J149" s="47">
        <f t="shared" si="38"/>
        <v>3.6575030316210601E-2</v>
      </c>
      <c r="K149" s="47">
        <f t="shared" si="38"/>
        <v>3.6575030316210601E-2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énergie'!C52</f>
        <v>3.1736685713051743E-2</v>
      </c>
      <c r="I150" s="47">
        <f t="shared" ref="I150:K150" si="39">H150</f>
        <v>3.1736685713051743E-2</v>
      </c>
      <c r="J150" s="47">
        <f t="shared" si="39"/>
        <v>3.1736685713051743E-2</v>
      </c>
      <c r="K150" s="47">
        <f t="shared" si="39"/>
        <v>3.1736685713051743E-2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énergie'!C53</f>
        <v>8.5410409228175652E-2</v>
      </c>
      <c r="I151" s="47">
        <f t="shared" ref="I151:K151" si="40">H151</f>
        <v>8.5410409228175652E-2</v>
      </c>
      <c r="J151" s="47">
        <f t="shared" si="40"/>
        <v>8.5410409228175652E-2</v>
      </c>
      <c r="K151" s="47">
        <f t="shared" si="40"/>
        <v>8.5410409228175652E-2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énergie'!C54</f>
        <v>0.20092826190867891</v>
      </c>
      <c r="I152" s="47">
        <v>0.65</v>
      </c>
      <c r="J152" s="47">
        <v>0.65</v>
      </c>
      <c r="K152" s="47">
        <v>0.65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1">SUM(I146:I152)</f>
        <v>0.99648489279285346</v>
      </c>
      <c r="J153" s="15">
        <f t="shared" si="41"/>
        <v>0.99648489279285346</v>
      </c>
      <c r="K153" s="15">
        <f t="shared" si="41"/>
        <v>0.99648489279285346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74.693488832435349</v>
      </c>
      <c r="J157" s="45">
        <f>K157</f>
        <v>74.693488832435349</v>
      </c>
      <c r="K157" s="45">
        <f t="shared" ref="K157:K163" si="42">K81</f>
        <v>74.693488832435349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3">J158</f>
        <v>61.950111988424467</v>
      </c>
      <c r="J158" s="45">
        <f t="shared" si="43"/>
        <v>61.950111988424467</v>
      </c>
      <c r="K158" s="45">
        <f t="shared" si="42"/>
        <v>61.950111988424467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3"/>
        <v>62.858748596574515</v>
      </c>
      <c r="J159" s="45">
        <f t="shared" si="43"/>
        <v>62.858748596574515</v>
      </c>
      <c r="K159" s="45">
        <f t="shared" si="42"/>
        <v>62.858748596574515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3"/>
        <v>55.505864143970697</v>
      </c>
      <c r="J160" s="45">
        <f t="shared" si="43"/>
        <v>55.505864143970697</v>
      </c>
      <c r="K160" s="45">
        <f t="shared" si="42"/>
        <v>55.505864143970697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3"/>
        <v>68.910455094246359</v>
      </c>
      <c r="J161" s="45">
        <f t="shared" si="43"/>
        <v>68.910455094246359</v>
      </c>
      <c r="K161" s="45">
        <f t="shared" si="42"/>
        <v>68.910455094246359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3"/>
        <v>38.310859102988289</v>
      </c>
      <c r="J162" s="45">
        <f t="shared" si="43"/>
        <v>38.310859102988289</v>
      </c>
      <c r="K162" s="45">
        <f t="shared" si="42"/>
        <v>38.310859102988289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3"/>
        <v>24.980854736976013</v>
      </c>
      <c r="J163" s="45">
        <f t="shared" si="43"/>
        <v>24.980854736976013</v>
      </c>
      <c r="K163" s="45">
        <f t="shared" si="42"/>
        <v>24.980854736976013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4">I$35*I146*I157/1000</f>
        <v>0</v>
      </c>
      <c r="J167" s="10">
        <f t="shared" si="44"/>
        <v>0</v>
      </c>
      <c r="K167" s="10">
        <f t="shared" si="44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5">H$35*H147*H158/1000</f>
        <v>0</v>
      </c>
      <c r="I168" s="10">
        <f t="shared" si="45"/>
        <v>0</v>
      </c>
      <c r="J168" s="10">
        <f t="shared" si="45"/>
        <v>0</v>
      </c>
      <c r="K168" s="10">
        <f t="shared" si="45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5"/>
        <v>0</v>
      </c>
      <c r="I169" s="10">
        <f t="shared" si="45"/>
        <v>272.14938363720501</v>
      </c>
      <c r="J169" s="10">
        <f t="shared" si="45"/>
        <v>230.56355107581783</v>
      </c>
      <c r="K169" s="10">
        <f t="shared" si="45"/>
        <v>173.56024098103993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5"/>
        <v>0</v>
      </c>
      <c r="I170" s="10">
        <f t="shared" si="45"/>
        <v>45.597605255898038</v>
      </c>
      <c r="J170" s="10">
        <f t="shared" si="45"/>
        <v>38.63005547853092</v>
      </c>
      <c r="K170" s="10">
        <f t="shared" si="45"/>
        <v>29.079365349295976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5"/>
        <v>0</v>
      </c>
      <c r="I171" s="10">
        <f t="shared" si="45"/>
        <v>49.120769376312715</v>
      </c>
      <c r="J171" s="10">
        <f t="shared" si="45"/>
        <v>41.614861910092031</v>
      </c>
      <c r="K171" s="10">
        <f t="shared" si="45"/>
        <v>31.326224061899474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5"/>
        <v>0</v>
      </c>
      <c r="I172" s="10">
        <f t="shared" si="45"/>
        <v>73.493878158912608</v>
      </c>
      <c r="J172" s="10">
        <f t="shared" si="45"/>
        <v>62.263633685980757</v>
      </c>
      <c r="K172" s="10">
        <f t="shared" si="45"/>
        <v>46.869902968056039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5"/>
        <v>0</v>
      </c>
      <c r="I173" s="10">
        <f t="shared" si="45"/>
        <v>364.70282047548983</v>
      </c>
      <c r="J173" s="10">
        <f t="shared" si="45"/>
        <v>308.97434435600184</v>
      </c>
      <c r="K173" s="10">
        <f t="shared" si="45"/>
        <v>232.5851654052309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6">SUM(I167:I173)</f>
        <v>805.06445690381815</v>
      </c>
      <c r="J174" s="11">
        <f t="shared" si="46"/>
        <v>682.04644650642342</v>
      </c>
      <c r="K174" s="11">
        <f t="shared" si="46"/>
        <v>513.42089876552234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28313.599999999999</v>
      </c>
      <c r="I179" s="10">
        <f t="shared" ref="I179:K179" si="47">I$36*($J$73*I45+(1-$J$73)*I59)+I$35*I146</f>
        <v>24262.925744298478</v>
      </c>
      <c r="J179" s="10">
        <f t="shared" si="47"/>
        <v>23027.923612996696</v>
      </c>
      <c r="K179" s="10">
        <f t="shared" si="47"/>
        <v>20749.761069185719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8">H$36*($J$73*H46+(1-$J$73)*H60)+H$35*H147</f>
        <v>94438.400000000009</v>
      </c>
      <c r="I180" s="10">
        <f t="shared" si="48"/>
        <v>89430.750083840336</v>
      </c>
      <c r="J180" s="10">
        <f t="shared" si="48"/>
        <v>95506.379024393726</v>
      </c>
      <c r="K180" s="10">
        <f t="shared" si="48"/>
        <v>99240.189306555578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8"/>
        <v>15411.199999999999</v>
      </c>
      <c r="I181" s="10">
        <f t="shared" si="48"/>
        <v>19871.232736260848</v>
      </c>
      <c r="J181" s="10">
        <f t="shared" si="48"/>
        <v>19889.115446734817</v>
      </c>
      <c r="K181" s="10">
        <f t="shared" si="48"/>
        <v>19201.517827591753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8"/>
        <v>2688</v>
      </c>
      <c r="I182" s="10">
        <f t="shared" si="48"/>
        <v>3730.927487164432</v>
      </c>
      <c r="J182" s="10">
        <f t="shared" si="48"/>
        <v>4214.7127740558371</v>
      </c>
      <c r="K182" s="10">
        <f t="shared" si="48"/>
        <v>4633.9978513753822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8"/>
        <v>2329.6</v>
      </c>
      <c r="I183" s="10">
        <f t="shared" si="48"/>
        <v>2807.614057903631</v>
      </c>
      <c r="J183" s="10">
        <f t="shared" si="48"/>
        <v>2715.1472147159175</v>
      </c>
      <c r="K183" s="10">
        <f t="shared" si="48"/>
        <v>2509.6435354542182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8"/>
        <v>30284.800000000003</v>
      </c>
      <c r="I184" s="10">
        <f t="shared" si="48"/>
        <v>24548.12495427873</v>
      </c>
      <c r="J184" s="10">
        <f t="shared" si="48"/>
        <v>22330.432838849676</v>
      </c>
      <c r="K184" s="10">
        <f t="shared" si="48"/>
        <v>15210.247397297569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8"/>
        <v>5734.4000000000005</v>
      </c>
      <c r="I185" s="10">
        <f t="shared" si="48"/>
        <v>31545.262436369834</v>
      </c>
      <c r="J185" s="10">
        <f t="shared" si="48"/>
        <v>42796.808255438242</v>
      </c>
      <c r="K185" s="10">
        <f t="shared" si="48"/>
        <v>58233.229493478968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179200</v>
      </c>
      <c r="I186" s="10">
        <f t="shared" si="48"/>
        <v>196196.83750011632</v>
      </c>
      <c r="J186" s="10">
        <f t="shared" si="48"/>
        <v>210480.51916718489</v>
      </c>
      <c r="K186" s="10">
        <f t="shared" si="48"/>
        <v>219778.58648093918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  <pageSetUpPr fitToPage="1"/>
  </sheetPr>
  <dimension ref="A1:GB1593"/>
  <sheetViews>
    <sheetView showGridLines="0" topLeftCell="A31" zoomScaleNormal="100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56508.434021496723</v>
      </c>
      <c r="I7" s="10">
        <f t="shared" si="0"/>
        <v>58708.196299912575</v>
      </c>
      <c r="J7" s="10">
        <f t="shared" si="0"/>
        <v>59578.850314187497</v>
      </c>
      <c r="K7" s="10">
        <f t="shared" si="0"/>
        <v>59003.698002486381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3336.8292087326572</v>
      </c>
      <c r="J8" s="76">
        <f t="shared" si="0"/>
        <v>2051.9847254707638</v>
      </c>
      <c r="K8" s="76">
        <f t="shared" si="0"/>
        <v>1198.8500763051807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56508.434021496723</v>
      </c>
      <c r="I9" s="96">
        <f t="shared" si="1"/>
        <v>55371.36709117992</v>
      </c>
      <c r="J9" s="96">
        <f t="shared" si="1"/>
        <v>57526.865588716733</v>
      </c>
      <c r="K9" s="96">
        <f t="shared" si="1"/>
        <v>57804.847926181203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775.02856364516128</v>
      </c>
      <c r="I13" s="86">
        <f t="shared" ref="I13:K13" si="2">I133+I167</f>
        <v>568.57449207522166</v>
      </c>
      <c r="J13" s="86">
        <f t="shared" si="2"/>
        <v>466.29985974803481</v>
      </c>
      <c r="K13" s="86">
        <f t="shared" si="2"/>
        <v>359.99718080947554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4659.8384813407274</v>
      </c>
      <c r="I14" s="86">
        <f t="shared" si="3"/>
        <v>3788.3253168365263</v>
      </c>
      <c r="J14" s="86">
        <f t="shared" si="3"/>
        <v>3531.851124992515</v>
      </c>
      <c r="K14" s="86">
        <f t="shared" si="3"/>
        <v>3158.5298013296733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196.33019618287977</v>
      </c>
      <c r="I15" s="86">
        <f t="shared" si="3"/>
        <v>198.0932523056151</v>
      </c>
      <c r="J15" s="86">
        <f t="shared" si="3"/>
        <v>183.63915546471179</v>
      </c>
      <c r="K15" s="86">
        <f t="shared" si="3"/>
        <v>164.28096893275773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23.048589382883492</v>
      </c>
      <c r="I16" s="86">
        <f t="shared" si="3"/>
        <v>25.232342169992879</v>
      </c>
      <c r="J16" s="86">
        <f t="shared" si="3"/>
        <v>30.330239222521811</v>
      </c>
      <c r="K16" s="86">
        <f t="shared" si="3"/>
        <v>34.061088258202346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21.255363322958676</v>
      </c>
      <c r="I17" s="86">
        <f t="shared" si="3"/>
        <v>20.156361333424215</v>
      </c>
      <c r="J17" s="86">
        <f t="shared" si="3"/>
        <v>20.896886874626247</v>
      </c>
      <c r="K17" s="86">
        <f t="shared" si="3"/>
        <v>20.784611725283536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922.21764323082652</v>
      </c>
      <c r="I18" s="86">
        <f t="shared" si="3"/>
        <v>677.383239048208</v>
      </c>
      <c r="J18" s="86">
        <f t="shared" si="3"/>
        <v>551.66469555367439</v>
      </c>
      <c r="K18" s="86">
        <f t="shared" si="3"/>
        <v>429.47513070410361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164.33662746238309</v>
      </c>
      <c r="I19" s="86">
        <f t="shared" si="3"/>
        <v>300.02346734792968</v>
      </c>
      <c r="J19" s="86">
        <f t="shared" si="3"/>
        <v>365.47801757048944</v>
      </c>
      <c r="K19" s="86">
        <f t="shared" si="3"/>
        <v>404.74920430433269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6762.0554645678212</v>
      </c>
      <c r="I20" s="13">
        <f t="shared" ref="I20:K20" si="4">SUM(I13:I19)</f>
        <v>5577.7884711169172</v>
      </c>
      <c r="J20" s="13">
        <f t="shared" si="4"/>
        <v>5150.1599794265721</v>
      </c>
      <c r="K20" s="13">
        <f t="shared" si="4"/>
        <v>4571.8779860638288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-0.33858240041958798</v>
      </c>
      <c r="J23" s="177">
        <f t="shared" ref="J23:K23" si="5">J118/$G118-1</f>
        <v>-0.41463697789026099</v>
      </c>
      <c r="K23" s="177">
        <f t="shared" si="5"/>
        <v>-0.51410257175962681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-0.12054028873438782</v>
      </c>
      <c r="J24" s="177">
        <f t="shared" ref="J24:K24" si="6">J129/$G129-1</f>
        <v>-0.1651640227022626</v>
      </c>
      <c r="K24" s="177">
        <f t="shared" si="6"/>
        <v>-0.23370921805023692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56508.434021496723</v>
      </c>
      <c r="H34" s="125">
        <f>'Init. parc'!C10</f>
        <v>56508.434021496723</v>
      </c>
      <c r="I34" s="125">
        <f>'Init. parc'!D10</f>
        <v>58708.196299912575</v>
      </c>
      <c r="J34" s="125">
        <f>'Init. parc'!E10</f>
        <v>59578.850314187497</v>
      </c>
      <c r="K34" s="125">
        <f>'Init. parc'!F10</f>
        <v>59003.698002486381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parc'!N10</f>
        <v>3336.8292087326572</v>
      </c>
      <c r="J35" s="125">
        <f>'Init. parc'!O10</f>
        <v>2051.9847254707638</v>
      </c>
      <c r="K35" s="125">
        <f>'Init. parc'!P10</f>
        <v>1198.8500763051807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56508.434021496723</v>
      </c>
      <c r="H36" s="125">
        <f>H34-H35</f>
        <v>56508.434021496723</v>
      </c>
      <c r="I36" s="125">
        <f>I34-I35</f>
        <v>55371.36709117992</v>
      </c>
      <c r="J36" s="125">
        <f>J34-J35</f>
        <v>57526.865588716733</v>
      </c>
      <c r="K36" s="125">
        <f>K34-K35</f>
        <v>57804.847926181203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0.115</v>
      </c>
      <c r="H45" s="55">
        <f>'Init. énergie'!B57</f>
        <v>0.115</v>
      </c>
      <c r="I45" s="47">
        <f>H45+((K45-H45)/3)</f>
        <v>9.6666666666666665E-2</v>
      </c>
      <c r="J45" s="47">
        <f>H45+((K45-H45)/3*2)</f>
        <v>7.8333333333333338E-2</v>
      </c>
      <c r="K45" s="47">
        <v>0.06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0.47399999999999998</v>
      </c>
      <c r="H46" s="55">
        <f>'Init. énergie'!B58</f>
        <v>0.47399999999999998</v>
      </c>
      <c r="I46" s="47">
        <f t="shared" ref="I46:I49" si="8">H46+((K46-H46)/3)</f>
        <v>0.44933333333333331</v>
      </c>
      <c r="J46" s="47">
        <f t="shared" ref="J46:J51" si="9">H46+((K46-H46)/3*2)</f>
        <v>0.42466666666666669</v>
      </c>
      <c r="K46" s="47">
        <v>0.4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7.4999999999999997E-2</v>
      </c>
      <c r="H47" s="55">
        <f>'Init. énergie'!B59</f>
        <v>7.4999999999999997E-2</v>
      </c>
      <c r="I47" s="47">
        <v>0.1</v>
      </c>
      <c r="J47" s="47">
        <v>0.09</v>
      </c>
      <c r="K47" s="47">
        <v>0.08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8.9999999999999993E-3</v>
      </c>
      <c r="H48" s="55">
        <f>'Init. énergie'!B60</f>
        <v>8.9999999999999993E-3</v>
      </c>
      <c r="I48" s="47">
        <f t="shared" si="8"/>
        <v>9.3333333333333324E-3</v>
      </c>
      <c r="J48" s="47">
        <f t="shared" si="9"/>
        <v>9.6666666666666672E-3</v>
      </c>
      <c r="K48" s="47">
        <v>0.01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8.0000000000000002E-3</v>
      </c>
      <c r="H49" s="55">
        <f>'Init. énergie'!B61</f>
        <v>8.0000000000000002E-3</v>
      </c>
      <c r="I49" s="47">
        <f t="shared" si="8"/>
        <v>8.6666666666666663E-3</v>
      </c>
      <c r="J49" s="47">
        <f t="shared" si="9"/>
        <v>9.3333333333333341E-3</v>
      </c>
      <c r="K49" s="47">
        <v>0.01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0.255</v>
      </c>
      <c r="H50" s="55">
        <f>'Init. énergie'!B62</f>
        <v>0.255</v>
      </c>
      <c r="I50" s="47">
        <v>0.22</v>
      </c>
      <c r="J50" s="47">
        <v>0.2</v>
      </c>
      <c r="K50" s="47">
        <f>1-K45-K46-K47-K48-K49-K51</f>
        <v>0.18999999999999989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6.4000000000000001E-2</v>
      </c>
      <c r="H51" s="55">
        <f>'Init. énergie'!B63</f>
        <v>6.4000000000000001E-2</v>
      </c>
      <c r="I51" s="47">
        <v>0.12</v>
      </c>
      <c r="J51" s="47">
        <f t="shared" si="9"/>
        <v>0.188</v>
      </c>
      <c r="K51" s="123">
        <v>0.25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1</v>
      </c>
      <c r="H52" s="149">
        <f t="shared" si="10"/>
        <v>1</v>
      </c>
      <c r="I52" s="155">
        <f t="shared" si="10"/>
        <v>1.004</v>
      </c>
      <c r="J52" s="155">
        <f t="shared" si="10"/>
        <v>1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-4.1520866442486058E-2</v>
      </c>
      <c r="J55" s="142">
        <f>(I$81*(J45-I45)+I$82*(J46-I46)+I$83*(J47-I47)+I$84*(J48-I48)+I$85*(J49-I49)+I$86*(J50-I50)+I$87*(J51-I51))/(I$81*I45+I$82*I46+I$83*I47+I$84*I48+I$85*I49+I$86*I50+I$87*I51)</f>
        <v>-4.4331604862578936E-2</v>
      </c>
      <c r="K55" s="142">
        <f>(J$81*(K45-J45)+J$82*(K46-J46)+J$83*(K47-J47)+J$84*(K48-J48)+J$85*(K49-J49)+J$86*(K50-J50)+J$87*(K51-J51))/(J$81*J45+J$82*J46+J$83*J47+J$84*J48+J$85*J49+J$86*J50+J$87*J51)</f>
        <v>-4.3036598982699036E-2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0.115</v>
      </c>
      <c r="H59" s="55">
        <f>H45</f>
        <v>0.115</v>
      </c>
      <c r="I59" s="47">
        <f>H59+((K59-H59)/3)</f>
        <v>0.10333333333333333</v>
      </c>
      <c r="J59" s="47">
        <f>H59+((K59-H59)/3*2)</f>
        <v>9.1666666666666674E-2</v>
      </c>
      <c r="K59" s="47">
        <v>0.08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0.47399999999999998</v>
      </c>
      <c r="H60" s="55">
        <f t="shared" ref="H60:H65" si="12">H46</f>
        <v>0.47399999999999998</v>
      </c>
      <c r="I60" s="47">
        <f t="shared" ref="I60:I65" si="13">H60+((K60-H60)/3)</f>
        <v>0.46599999999999997</v>
      </c>
      <c r="J60" s="47">
        <f t="shared" ref="J60:J65" si="14">H60+((K60-H60)/3*2)</f>
        <v>0.45800000000000002</v>
      </c>
      <c r="K60" s="47">
        <v>0.45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7.4999999999999997E-2</v>
      </c>
      <c r="H61" s="55">
        <f t="shared" si="12"/>
        <v>7.4999999999999997E-2</v>
      </c>
      <c r="I61" s="47">
        <v>0.08</v>
      </c>
      <c r="J61" s="47">
        <v>0.08</v>
      </c>
      <c r="K61" s="47">
        <v>0.08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8.9999999999999993E-3</v>
      </c>
      <c r="H62" s="55">
        <f t="shared" si="12"/>
        <v>8.9999999999999993E-3</v>
      </c>
      <c r="I62" s="47">
        <f t="shared" si="13"/>
        <v>1.2666666666666666E-2</v>
      </c>
      <c r="J62" s="47">
        <f t="shared" si="14"/>
        <v>1.6333333333333332E-2</v>
      </c>
      <c r="K62" s="47">
        <v>0.02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8.0000000000000002E-3</v>
      </c>
      <c r="H63" s="55">
        <f t="shared" si="12"/>
        <v>8.0000000000000002E-3</v>
      </c>
      <c r="I63" s="47">
        <f t="shared" si="13"/>
        <v>8.6666666666666663E-3</v>
      </c>
      <c r="J63" s="47">
        <f t="shared" si="14"/>
        <v>9.3333333333333341E-3</v>
      </c>
      <c r="K63" s="47">
        <v>0.01</v>
      </c>
      <c r="L63" s="64"/>
      <c r="M63" s="494"/>
      <c r="N63" s="33"/>
      <c r="O63" s="42"/>
    </row>
    <row r="64" spans="1:15">
      <c r="C64" s="40"/>
      <c r="D64" s="32"/>
      <c r="E64" s="151" t="s">
        <v>25</v>
      </c>
      <c r="F64" s="55"/>
      <c r="G64" s="55">
        <f t="shared" si="11"/>
        <v>0.255</v>
      </c>
      <c r="H64" s="55">
        <f t="shared" si="12"/>
        <v>0.255</v>
      </c>
      <c r="I64" s="47">
        <f t="shared" si="13"/>
        <v>0.22333333333333333</v>
      </c>
      <c r="J64" s="47">
        <f t="shared" si="14"/>
        <v>0.19166666666666665</v>
      </c>
      <c r="K64" s="47">
        <f>1-K59-K60-K61-K62-K63-K65</f>
        <v>0.15999999999999998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6.4000000000000001E-2</v>
      </c>
      <c r="H65" s="55">
        <f t="shared" si="12"/>
        <v>6.4000000000000001E-2</v>
      </c>
      <c r="I65" s="47">
        <f t="shared" si="13"/>
        <v>0.10933333333333334</v>
      </c>
      <c r="J65" s="47">
        <f t="shared" si="14"/>
        <v>0.15466666666666667</v>
      </c>
      <c r="K65" s="123">
        <v>0.2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</v>
      </c>
      <c r="H66" s="149">
        <v>1</v>
      </c>
      <c r="I66" s="47">
        <f t="shared" ref="I66:J66" si="16">SUM(I59:I65)</f>
        <v>1.0033333333333332</v>
      </c>
      <c r="J66" s="47">
        <f t="shared" si="16"/>
        <v>1.0016666666666667</v>
      </c>
      <c r="K66" s="47">
        <f>SUM(K59:K65)</f>
        <v>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-1.9393758637543487E-2</v>
      </c>
      <c r="J69" s="142">
        <f>(I$101*(J59-I59)+I$102*(J60-I60)+I$103*(J61-I61)+I$104*(J62-I62)+I$105*(J63-I63)+I$106*(J64-I64)+I$107*(J65-I65))/(I$101*I59+I$102*I60+I$103*I61+I$104*I62+I$105*I63+I$106*I64+I$107*I65)</f>
        <v>-2.1720508144698884E-2</v>
      </c>
      <c r="K69" s="142">
        <f>(J$101*(K59-J59)+J$102*(K60-J60)+J$103*(K61-J61)+J$104*(K62-J62)+J$105*(K63-J63)+J$106*(K64-J64)+J$107*(K65-J65))/(J$101*J59+J$102*J60+J$103*J61+J$104*J62+J$105*J63+J$106*J64+J$107*J65)</f>
        <v>-2.2165714076874996E-2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bord'!K12</f>
        <v>0.77</v>
      </c>
      <c r="I73" s="92">
        <f>'Tableau de bord'!K24</f>
        <v>0.50149999999999995</v>
      </c>
      <c r="J73" s="92">
        <f>'Tableau de bord'!K27</f>
        <v>0.38615499999999997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48.7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121.67495192230112</v>
      </c>
      <c r="H81" s="54">
        <f>'Init. énergie'!D57</f>
        <v>119.26323797509556</v>
      </c>
      <c r="I81" s="81">
        <f>G81*(1-H$77)/(1+I$55)</f>
        <v>85.688451289195427</v>
      </c>
      <c r="J81" s="81">
        <f>G81*(1-I$77)/(1+I$55)/(1+J$55)</f>
        <v>76.379909898058415</v>
      </c>
      <c r="K81" s="81">
        <f>G81*(1-J$77)/(1+I$55)/(1+J$55)/(1+K$55)</f>
        <v>65.934023432888864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177.48997849304948</v>
      </c>
      <c r="H82" s="54">
        <f>'Init. énergie'!D58</f>
        <v>173.97195732387533</v>
      </c>
      <c r="I82" s="81">
        <f t="shared" ref="I82:I87" si="18">G82*(1-H$77)/(1+I$55)</f>
        <v>124.99566374297017</v>
      </c>
      <c r="J82" s="81">
        <f t="shared" ref="J82:J87" si="19">G82*(1-I$77)/(1+I$55)/(1+J$55)</f>
        <v>111.4170858581019</v>
      </c>
      <c r="K82" s="81">
        <f t="shared" ref="K82:K87" si="20">G82*(1-J$77)/(1+I$55)/(1+J$55)/(1+K$55)</f>
        <v>96.179437231556889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47.261462002481188</v>
      </c>
      <c r="H83" s="54">
        <f>'Init. énergie'!D59</f>
        <v>46.324694613006521</v>
      </c>
      <c r="I83" s="81">
        <f t="shared" si="18"/>
        <v>33.283444297079775</v>
      </c>
      <c r="J83" s="81">
        <f t="shared" si="19"/>
        <v>29.667784144309159</v>
      </c>
      <c r="K83" s="81">
        <f t="shared" si="20"/>
        <v>25.610351957517732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46.23630888628297</v>
      </c>
      <c r="H84" s="54">
        <f>'Init. énergie'!D60</f>
        <v>45.319861012282082</v>
      </c>
      <c r="I84" s="81">
        <f t="shared" si="18"/>
        <v>32.561489765982756</v>
      </c>
      <c r="J84" s="81">
        <f t="shared" si="19"/>
        <v>29.024257260510307</v>
      </c>
      <c r="K84" s="81">
        <f t="shared" si="20"/>
        <v>25.05483524255018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47.968911187374374</v>
      </c>
      <c r="H85" s="54">
        <f>'Init. énergie'!D61</f>
        <v>47.018121478275241</v>
      </c>
      <c r="I85" s="81">
        <f t="shared" si="18"/>
        <v>33.781658794489339</v>
      </c>
      <c r="J85" s="81">
        <f t="shared" si="19"/>
        <v>30.111876409363859</v>
      </c>
      <c r="K85" s="81">
        <f t="shared" si="20"/>
        <v>25.993709176052839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65.294193376280688</v>
      </c>
      <c r="H86" s="54">
        <f>'Init. énergie'!D62</f>
        <v>64</v>
      </c>
      <c r="I86" s="81">
        <f t="shared" si="18"/>
        <v>45.98282736255814</v>
      </c>
      <c r="J86" s="81">
        <f t="shared" si="19"/>
        <v>40.987602856267507</v>
      </c>
      <c r="K86" s="81">
        <f t="shared" si="20"/>
        <v>35.382047069576096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46.359176315872006</v>
      </c>
      <c r="H87" s="54">
        <f>'Init. énergie'!D63</f>
        <v>45.44029309187578</v>
      </c>
      <c r="I87" s="81">
        <f t="shared" si="18"/>
        <v>32.648018008558857</v>
      </c>
      <c r="J87" s="81">
        <f t="shared" si="19"/>
        <v>29.101385733159386</v>
      </c>
      <c r="K87" s="81">
        <f t="shared" si="20"/>
        <v>25.121415453626287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121.67495192230112</v>
      </c>
      <c r="H101" s="54">
        <f>H81</f>
        <v>119.26323797509556</v>
      </c>
      <c r="I101" s="81">
        <f>$H101*(1+$G91)^(I$100-$H$100)</f>
        <v>110.83041558922878</v>
      </c>
      <c r="J101" s="81">
        <f>$H101*(1+$G91)^(J$100-$H$100)</f>
        <v>102.99385819330321</v>
      </c>
      <c r="K101" s="81">
        <f>$H101*(1+$G91)^(K$100-$H$100)</f>
        <v>95.711405295616146</v>
      </c>
      <c r="L101" s="67"/>
      <c r="M101" s="79">
        <f>(K101-G101)/H101</f>
        <v>-0.21769949455930968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177.48997849304948</v>
      </c>
      <c r="H102" s="54">
        <f t="shared" si="22"/>
        <v>173.97195732387533</v>
      </c>
      <c r="I102" s="81">
        <f t="shared" ref="I102:K107" si="23">$H102*(1+$G92)^(I$100-$H$100)</f>
        <v>163.35643398130466</v>
      </c>
      <c r="J102" s="81">
        <f t="shared" si="23"/>
        <v>153.38865489344096</v>
      </c>
      <c r="K102" s="81">
        <f t="shared" si="23"/>
        <v>144.02909561989952</v>
      </c>
      <c r="L102" s="67"/>
      <c r="M102" s="79">
        <f t="shared" ref="M102:M107" si="24">(K102-G102)/H102</f>
        <v>-0.19233492217862111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47.261462002481188</v>
      </c>
      <c r="H103" s="54">
        <f t="shared" si="22"/>
        <v>46.324694613006521</v>
      </c>
      <c r="I103" s="81">
        <f t="shared" si="23"/>
        <v>44.478821647149182</v>
      </c>
      <c r="J103" s="81">
        <f t="shared" si="23"/>
        <v>42.706500099915253</v>
      </c>
      <c r="K103" s="81">
        <f t="shared" si="23"/>
        <v>41.004799211018636</v>
      </c>
      <c r="L103" s="67"/>
      <c r="M103" s="79">
        <f t="shared" si="24"/>
        <v>-0.13506106934390621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46.23630888628297</v>
      </c>
      <c r="H104" s="54">
        <f t="shared" si="22"/>
        <v>45.319861012282082</v>
      </c>
      <c r="I104" s="81">
        <f t="shared" si="23"/>
        <v>43.514027062207944</v>
      </c>
      <c r="J104" s="81">
        <f t="shared" si="23"/>
        <v>41.780149119553087</v>
      </c>
      <c r="K104" s="81">
        <f t="shared" si="23"/>
        <v>40.115359995446944</v>
      </c>
      <c r="L104" s="67"/>
      <c r="M104" s="79">
        <f t="shared" si="24"/>
        <v>-0.1350610693439063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47.968911187374374</v>
      </c>
      <c r="H105" s="54">
        <f t="shared" si="22"/>
        <v>47.018121478275241</v>
      </c>
      <c r="I105" s="81">
        <f t="shared" si="23"/>
        <v>45.144617938377607</v>
      </c>
      <c r="J105" s="81">
        <f>$H105*(1+$G95)^(J$100-$H$100)</f>
        <v>43.345766796399154</v>
      </c>
      <c r="K105" s="81">
        <f>$H105*(1+$G95)^(K$100-$H$100)</f>
        <v>41.618593421976833</v>
      </c>
      <c r="L105" s="67"/>
      <c r="M105" s="79">
        <f t="shared" si="24"/>
        <v>-0.13506106934390627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65.294193376280688</v>
      </c>
      <c r="H106" s="54">
        <f t="shared" si="22"/>
        <v>64</v>
      </c>
      <c r="I106" s="81">
        <f t="shared" si="23"/>
        <v>58.133231087529012</v>
      </c>
      <c r="J106" s="81">
        <f t="shared" si="23"/>
        <v>52.804258698063279</v>
      </c>
      <c r="K106" s="81">
        <f t="shared" si="23"/>
        <v>47.963783957815252</v>
      </c>
      <c r="L106" s="67"/>
      <c r="M106" s="79">
        <f t="shared" si="24"/>
        <v>-0.27078764716352244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46.359176315872006</v>
      </c>
      <c r="H107" s="54">
        <f t="shared" si="22"/>
        <v>45.44029309187578</v>
      </c>
      <c r="I107" s="81">
        <f t="shared" si="23"/>
        <v>41.274860296797861</v>
      </c>
      <c r="J107" s="81">
        <f t="shared" si="23"/>
        <v>37.491265495925411</v>
      </c>
      <c r="K107" s="81">
        <f t="shared" si="23"/>
        <v>34.054506263102105</v>
      </c>
      <c r="L107" s="67"/>
      <c r="M107" s="79">
        <f t="shared" si="24"/>
        <v>-0.27078764716352233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305.33315012626258</v>
      </c>
      <c r="H111" s="54">
        <f t="shared" si="25"/>
        <v>299.28115499439724</v>
      </c>
      <c r="I111" s="125">
        <f t="shared" si="25"/>
        <v>177.11116731595527</v>
      </c>
      <c r="J111" s="125">
        <f t="shared" si="25"/>
        <v>132.91014245374728</v>
      </c>
      <c r="K111" s="125">
        <f t="shared" si="25"/>
        <v>88.305296686356897</v>
      </c>
      <c r="L111" s="46"/>
      <c r="M111" s="79">
        <f>(K111-G111)/H111</f>
        <v>-0.72516377933641907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1835.8073874019944</v>
      </c>
      <c r="H112" s="54">
        <f t="shared" si="25"/>
        <v>1799.4199287621288</v>
      </c>
      <c r="I112" s="125">
        <f t="shared" si="25"/>
        <v>1200.9100884687471</v>
      </c>
      <c r="J112" s="125">
        <f t="shared" si="25"/>
        <v>1051.0716994478732</v>
      </c>
      <c r="K112" s="125">
        <f t="shared" si="25"/>
        <v>858.75276502773045</v>
      </c>
      <c r="L112" s="46"/>
      <c r="M112" s="79">
        <f t="shared" ref="M112:M118" si="26">(K112-G112)/H112</f>
        <v>-0.54298310625380652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77.346978004892634</v>
      </c>
      <c r="H113" s="54">
        <f t="shared" si="25"/>
        <v>75.81388690699994</v>
      </c>
      <c r="I113" s="125">
        <f t="shared" si="25"/>
        <v>71.166428474261906</v>
      </c>
      <c r="J113" s="125">
        <f t="shared" si="25"/>
        <v>59.314379863561115</v>
      </c>
      <c r="K113" s="125">
        <f t="shared" si="25"/>
        <v>45.73318619842312</v>
      </c>
      <c r="L113" s="46"/>
      <c r="M113" s="79">
        <f t="shared" si="26"/>
        <v>-0.41699209862765385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9.0803084329477581</v>
      </c>
      <c r="H114" s="54">
        <f t="shared" si="25"/>
        <v>8.9003280331473746</v>
      </c>
      <c r="I114" s="125">
        <f t="shared" si="25"/>
        <v>6.4981233642123408</v>
      </c>
      <c r="J114" s="125">
        <f t="shared" si="25"/>
        <v>6.2326140192234298</v>
      </c>
      <c r="K114" s="125">
        <f t="shared" si="25"/>
        <v>5.592647883261562</v>
      </c>
      <c r="L114" s="46"/>
      <c r="M114" s="79">
        <f t="shared" si="26"/>
        <v>-0.39185752892445624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8.3738423909864572</v>
      </c>
      <c r="H115" s="54">
        <f t="shared" si="25"/>
        <v>8.2078648239771077</v>
      </c>
      <c r="I115" s="125">
        <f t="shared" si="25"/>
        <v>6.2600812939626014</v>
      </c>
      <c r="J115" s="125">
        <f t="shared" si="25"/>
        <v>6.243196008784099</v>
      </c>
      <c r="K115" s="125">
        <f t="shared" si="25"/>
        <v>5.8022198587314211</v>
      </c>
      <c r="L115" s="46"/>
      <c r="M115" s="79">
        <f t="shared" si="26"/>
        <v>-0.31331199860196535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363.32031013840952</v>
      </c>
      <c r="H116" s="54">
        <f t="shared" si="25"/>
        <v>356.11895402179982</v>
      </c>
      <c r="I116" s="125">
        <f t="shared" si="25"/>
        <v>216.30435371208492</v>
      </c>
      <c r="J116" s="125">
        <f t="shared" si="25"/>
        <v>182.10207286634065</v>
      </c>
      <c r="K116" s="125">
        <f t="shared" si="25"/>
        <v>150.05915009763632</v>
      </c>
      <c r="L116" s="46"/>
      <c r="M116" s="79">
        <f t="shared" si="26"/>
        <v>-0.59884810295078661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64.742672074198182</v>
      </c>
      <c r="H117" s="54">
        <f t="shared" si="25"/>
        <v>63.459410377736546</v>
      </c>
      <c r="I117" s="125">
        <f t="shared" si="25"/>
        <v>83.769317298800317</v>
      </c>
      <c r="J117" s="125">
        <f t="shared" si="25"/>
        <v>121.53570734161816</v>
      </c>
      <c r="K117" s="125">
        <f t="shared" si="25"/>
        <v>140.18774180827262</v>
      </c>
      <c r="L117" s="46"/>
      <c r="M117" s="79">
        <f t="shared" si="26"/>
        <v>1.1888712688156777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2664.0046485696917</v>
      </c>
      <c r="H118" s="146">
        <f>SUM(H111:H117)</f>
        <v>2611.2015279201869</v>
      </c>
      <c r="I118" s="144">
        <f t="shared" ref="I118:J118" si="27">SUM(I111:I117)</f>
        <v>1762.0195599280246</v>
      </c>
      <c r="J118" s="144">
        <f t="shared" si="27"/>
        <v>1559.4098120011479</v>
      </c>
      <c r="K118" s="144">
        <f>SUM(K111:K117)</f>
        <v>1294.4330075604123</v>
      </c>
      <c r="L118" s="21"/>
      <c r="M118" s="79">
        <f t="shared" si="26"/>
        <v>-0.52449863649556705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485.36786404230332</v>
      </c>
      <c r="H122" s="147">
        <f t="shared" si="28"/>
        <v>475.74740865076404</v>
      </c>
      <c r="I122" s="143">
        <f>I$36*I59*(1-$J$73)*I101/1000</f>
        <v>389.2632190068652</v>
      </c>
      <c r="J122" s="143">
        <f t="shared" ref="J122:K122" si="29">J$36*J59*(1-$J$73)*J101/1000</f>
        <v>333.38971729428749</v>
      </c>
      <c r="K122" s="143">
        <f t="shared" si="29"/>
        <v>271.69188412311865</v>
      </c>
      <c r="L122" s="46"/>
      <c r="M122" s="79">
        <f>(K122-G122)/H122</f>
        <v>-0.44913745410653327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2918.2612829557488</v>
      </c>
      <c r="H123" s="147">
        <f t="shared" si="28"/>
        <v>2860.4185525785988</v>
      </c>
      <c r="I123" s="143">
        <f t="shared" ref="I123:K128" si="30">I$36*I60*(1-$J$73)*I102/1000</f>
        <v>2587.415228367779</v>
      </c>
      <c r="J123" s="143">
        <f t="shared" si="30"/>
        <v>2480.779425544642</v>
      </c>
      <c r="K123" s="143">
        <f t="shared" si="30"/>
        <v>2299.7770363019431</v>
      </c>
      <c r="L123" s="46"/>
      <c r="M123" s="79">
        <f t="shared" ref="M123:M129" si="31">(K123-G123)/H123</f>
        <v>-0.21622158970275765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122.95336254460857</v>
      </c>
      <c r="H124" s="147">
        <f t="shared" si="28"/>
        <v>120.51630927587985</v>
      </c>
      <c r="I124" s="143">
        <f t="shared" si="30"/>
        <v>120.94480789930937</v>
      </c>
      <c r="J124" s="143">
        <f t="shared" si="30"/>
        <v>120.64613202899771</v>
      </c>
      <c r="K124" s="143">
        <f t="shared" si="30"/>
        <v>116.39857466644152</v>
      </c>
      <c r="L124" s="46"/>
      <c r="M124" s="79">
        <f t="shared" si="31"/>
        <v>-5.4389218501225078E-2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14.434364257934812</v>
      </c>
      <c r="H125" s="147">
        <f t="shared" si="28"/>
        <v>14.148261349736115</v>
      </c>
      <c r="I125" s="143">
        <f t="shared" si="30"/>
        <v>18.734218805780539</v>
      </c>
      <c r="J125" s="143">
        <f t="shared" si="30"/>
        <v>24.097625203298382</v>
      </c>
      <c r="K125" s="143">
        <f t="shared" si="30"/>
        <v>28.468440374940787</v>
      </c>
      <c r="L125" s="46"/>
      <c r="M125" s="79">
        <f t="shared" si="31"/>
        <v>0.99192938058553248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13.311342032331789</v>
      </c>
      <c r="H126" s="147">
        <f t="shared" si="28"/>
        <v>13.047498498981568</v>
      </c>
      <c r="I126" s="143">
        <f t="shared" si="30"/>
        <v>13.298481210950971</v>
      </c>
      <c r="J126" s="143">
        <f t="shared" si="30"/>
        <v>14.286074188968822</v>
      </c>
      <c r="K126" s="143">
        <f t="shared" si="30"/>
        <v>14.767615764347196</v>
      </c>
      <c r="L126" s="46"/>
      <c r="M126" s="79">
        <f t="shared" si="31"/>
        <v>0.11161325154619318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577.54620755114399</v>
      </c>
      <c r="H127" s="147">
        <f t="shared" si="28"/>
        <v>566.0986892090267</v>
      </c>
      <c r="I127" s="143">
        <f t="shared" si="30"/>
        <v>441.28785884979106</v>
      </c>
      <c r="J127" s="143">
        <f t="shared" si="30"/>
        <v>357.39212143870537</v>
      </c>
      <c r="K127" s="143">
        <f t="shared" si="30"/>
        <v>272.3054957332219</v>
      </c>
      <c r="L127" s="46"/>
      <c r="M127" s="79">
        <f t="shared" si="31"/>
        <v>-0.53920052746353342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102.91713311853057</v>
      </c>
      <c r="H128" s="147">
        <f t="shared" si="28"/>
        <v>100.87721708464655</v>
      </c>
      <c r="I128" s="143">
        <f t="shared" si="30"/>
        <v>153.38474541135326</v>
      </c>
      <c r="J128" s="143">
        <f t="shared" si="30"/>
        <v>204.76525202615605</v>
      </c>
      <c r="K128" s="143">
        <f t="shared" si="30"/>
        <v>241.67268626261983</v>
      </c>
      <c r="L128" s="46"/>
      <c r="M128" s="79">
        <f t="shared" si="31"/>
        <v>1.3754895025272043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4234.7915565026015</v>
      </c>
      <c r="H129" s="148">
        <f>SUM(H122:H128)</f>
        <v>4150.8539366476334</v>
      </c>
      <c r="I129" s="145">
        <f t="shared" ref="I129:K129" si="32">SUM(I122:I128)</f>
        <v>3724.32855955183</v>
      </c>
      <c r="J129" s="145">
        <f t="shared" si="32"/>
        <v>3535.3563477250559</v>
      </c>
      <c r="K129" s="145">
        <f t="shared" si="32"/>
        <v>3245.0817332266329</v>
      </c>
      <c r="L129" s="21"/>
      <c r="M129" s="79">
        <f t="shared" si="31"/>
        <v>-0.23843523245611742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775.02856364516128</v>
      </c>
      <c r="I133" s="143">
        <f t="shared" ref="I133:K133" si="33">I111+I122</f>
        <v>566.37438632282044</v>
      </c>
      <c r="J133" s="143">
        <f t="shared" si="33"/>
        <v>466.29985974803481</v>
      </c>
      <c r="K133" s="143">
        <f t="shared" si="33"/>
        <v>359.99718080947554</v>
      </c>
      <c r="L133" s="46"/>
      <c r="M133" s="79">
        <f>(K133-G133)/H133</f>
        <v>0.46449537177870581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4659.8384813407274</v>
      </c>
      <c r="I134" s="143">
        <f t="shared" si="34"/>
        <v>3788.3253168365263</v>
      </c>
      <c r="J134" s="143">
        <f t="shared" si="34"/>
        <v>3531.851124992515</v>
      </c>
      <c r="K134" s="143">
        <f t="shared" si="34"/>
        <v>3158.5298013296733</v>
      </c>
      <c r="L134" s="46"/>
      <c r="M134" s="79">
        <f t="shared" ref="M134:M140" si="35">(K134-G134)/H134</f>
        <v>0.67781958837785772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196.33019618287977</v>
      </c>
      <c r="I135" s="143">
        <f t="shared" si="34"/>
        <v>192.11123637357127</v>
      </c>
      <c r="J135" s="143">
        <f t="shared" si="34"/>
        <v>179.96051189255883</v>
      </c>
      <c r="K135" s="143">
        <f t="shared" si="34"/>
        <v>162.13176086486465</v>
      </c>
      <c r="L135" s="46"/>
      <c r="M135" s="79">
        <f t="shared" si="35"/>
        <v>0.82581163782793965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23.048589382883492</v>
      </c>
      <c r="I136" s="143">
        <f t="shared" si="34"/>
        <v>25.232342169992879</v>
      </c>
      <c r="J136" s="143">
        <f t="shared" si="34"/>
        <v>30.330239222521811</v>
      </c>
      <c r="K136" s="143">
        <f t="shared" si="34"/>
        <v>34.061088258202346</v>
      </c>
      <c r="L136" s="46"/>
      <c r="M136" s="79">
        <f t="shared" si="35"/>
        <v>1.4777949180480883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21.255363322958676</v>
      </c>
      <c r="I137" s="143">
        <f t="shared" si="34"/>
        <v>19.558562504913574</v>
      </c>
      <c r="J137" s="143">
        <f t="shared" si="34"/>
        <v>20.529270197752922</v>
      </c>
      <c r="K137" s="143">
        <f t="shared" si="34"/>
        <v>20.569835623078617</v>
      </c>
      <c r="L137" s="46"/>
      <c r="M137" s="79">
        <f t="shared" si="35"/>
        <v>0.96774801307961666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922.21764323082652</v>
      </c>
      <c r="I138" s="143">
        <f t="shared" si="34"/>
        <v>657.59221256187595</v>
      </c>
      <c r="J138" s="143">
        <f t="shared" si="34"/>
        <v>539.49419430504599</v>
      </c>
      <c r="K138" s="143">
        <f t="shared" si="34"/>
        <v>422.36464583085819</v>
      </c>
      <c r="L138" s="46"/>
      <c r="M138" s="79">
        <f t="shared" si="35"/>
        <v>0.45798803452857212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164.33662746238309</v>
      </c>
      <c r="I139" s="143">
        <f t="shared" si="34"/>
        <v>237.1540627101536</v>
      </c>
      <c r="J139" s="143">
        <f t="shared" si="34"/>
        <v>326.30095936777423</v>
      </c>
      <c r="K139" s="143">
        <f t="shared" si="34"/>
        <v>381.86042807089245</v>
      </c>
      <c r="L139" s="46"/>
      <c r="M139" s="79">
        <f t="shared" si="35"/>
        <v>2.3236477099927155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6762.0554645678212</v>
      </c>
      <c r="I140" s="145">
        <f t="shared" ref="I140:K140" si="36">SUM(I133:I139)</f>
        <v>5486.3481194798542</v>
      </c>
      <c r="J140" s="145">
        <f t="shared" si="36"/>
        <v>5094.766159726204</v>
      </c>
      <c r="K140" s="145">
        <f t="shared" si="36"/>
        <v>4539.5147407870454</v>
      </c>
      <c r="L140" s="21"/>
      <c r="M140" s="79">
        <f t="shared" si="35"/>
        <v>0.67132172526141454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énergie'!C57</f>
        <v>1.9344819899405983E-2</v>
      </c>
      <c r="I146" s="47">
        <v>0.01</v>
      </c>
      <c r="J146" s="47">
        <v>0</v>
      </c>
      <c r="K146" s="47">
        <v>0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énergie'!C58</f>
        <v>0.52399466367463399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énergie'!C59</f>
        <v>6.7035227617333368E-2</v>
      </c>
      <c r="I148" s="47">
        <v>7.0000000000000007E-2</v>
      </c>
      <c r="J148" s="47">
        <v>7.0000000000000007E-2</v>
      </c>
      <c r="K148" s="47">
        <v>7.0000000000000007E-2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énergie'!C60</f>
        <v>7.5158331919586794E-3</v>
      </c>
      <c r="I149" s="47">
        <v>0</v>
      </c>
      <c r="J149" s="47">
        <v>0</v>
      </c>
      <c r="K149" s="47">
        <f t="shared" ref="K149" si="37">J149</f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énergie'!C61</f>
        <v>6.8921199229294077E-3</v>
      </c>
      <c r="I150" s="47">
        <f t="shared" ref="I150:K150" si="38">H150</f>
        <v>6.8921199229294077E-3</v>
      </c>
      <c r="J150" s="47">
        <f t="shared" si="38"/>
        <v>6.8921199229294077E-3</v>
      </c>
      <c r="K150" s="47">
        <f t="shared" si="38"/>
        <v>6.8921199229294077E-3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énergie'!C62</f>
        <v>0.16762986130287999</v>
      </c>
      <c r="I151" s="47">
        <f t="shared" ref="I151:K151" si="39">H151</f>
        <v>0.16762986130287999</v>
      </c>
      <c r="J151" s="47">
        <f t="shared" si="39"/>
        <v>0.16762986130287999</v>
      </c>
      <c r="K151" s="47">
        <f t="shared" si="39"/>
        <v>0.16762986130287999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énergie'!C63</f>
        <v>0.20758747439085867</v>
      </c>
      <c r="I152" s="47">
        <v>0.75</v>
      </c>
      <c r="J152" s="47">
        <v>0.76</v>
      </c>
      <c r="K152" s="47">
        <v>0.76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0">SUM(I146:I152)</f>
        <v>1.0045219812258095</v>
      </c>
      <c r="J153" s="15">
        <f t="shared" si="40"/>
        <v>1.0045219812258095</v>
      </c>
      <c r="K153" s="15">
        <f t="shared" si="40"/>
        <v>1.0045219812258095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65.934023432888864</v>
      </c>
      <c r="J157" s="45">
        <f>K157</f>
        <v>65.934023432888864</v>
      </c>
      <c r="K157" s="45">
        <f t="shared" ref="K157:K163" si="41">K81</f>
        <v>65.934023432888864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2">J158</f>
        <v>96.179437231556889</v>
      </c>
      <c r="J158" s="45">
        <f t="shared" si="42"/>
        <v>96.179437231556889</v>
      </c>
      <c r="K158" s="45">
        <f t="shared" si="41"/>
        <v>96.179437231556889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2"/>
        <v>25.610351957517732</v>
      </c>
      <c r="J159" s="45">
        <f t="shared" si="42"/>
        <v>25.610351957517732</v>
      </c>
      <c r="K159" s="45">
        <f t="shared" si="41"/>
        <v>25.610351957517732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2"/>
        <v>25.05483524255018</v>
      </c>
      <c r="J160" s="45">
        <f t="shared" si="42"/>
        <v>25.05483524255018</v>
      </c>
      <c r="K160" s="45">
        <f t="shared" si="41"/>
        <v>25.05483524255018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2"/>
        <v>25.993709176052839</v>
      </c>
      <c r="J161" s="45">
        <f t="shared" si="42"/>
        <v>25.993709176052839</v>
      </c>
      <c r="K161" s="45">
        <f t="shared" si="41"/>
        <v>25.993709176052839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2"/>
        <v>35.382047069576096</v>
      </c>
      <c r="J162" s="45">
        <f t="shared" si="42"/>
        <v>35.382047069576096</v>
      </c>
      <c r="K162" s="45">
        <f t="shared" si="41"/>
        <v>35.382047069576096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2"/>
        <v>25.121415453626287</v>
      </c>
      <c r="J163" s="45">
        <f t="shared" si="42"/>
        <v>25.121415453626287</v>
      </c>
      <c r="K163" s="45">
        <f t="shared" si="41"/>
        <v>25.121415453626287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3">I$35*I146*I157/1000</f>
        <v>2.2001057524012704</v>
      </c>
      <c r="J167" s="10">
        <f t="shared" si="43"/>
        <v>0</v>
      </c>
      <c r="K167" s="10">
        <f t="shared" si="43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4">H$35*H147*H158/1000</f>
        <v>0</v>
      </c>
      <c r="I168" s="10">
        <f t="shared" si="44"/>
        <v>0</v>
      </c>
      <c r="J168" s="10">
        <f t="shared" si="44"/>
        <v>0</v>
      </c>
      <c r="K168" s="10">
        <f t="shared" si="44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4"/>
        <v>0</v>
      </c>
      <c r="I169" s="10">
        <f t="shared" si="44"/>
        <v>5.9820159320438133</v>
      </c>
      <c r="J169" s="10">
        <f t="shared" si="44"/>
        <v>3.6786435721529664</v>
      </c>
      <c r="K169" s="10">
        <f t="shared" si="44"/>
        <v>2.1492080678930865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4"/>
        <v>0</v>
      </c>
      <c r="I170" s="10">
        <f t="shared" si="44"/>
        <v>0</v>
      </c>
      <c r="J170" s="10">
        <f t="shared" si="44"/>
        <v>0</v>
      </c>
      <c r="K170" s="10">
        <f t="shared" si="44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4"/>
        <v>0</v>
      </c>
      <c r="I171" s="10">
        <f t="shared" si="44"/>
        <v>0.59779882851063926</v>
      </c>
      <c r="J171" s="10">
        <f t="shared" si="44"/>
        <v>0.36761667687332567</v>
      </c>
      <c r="K171" s="10">
        <f t="shared" si="44"/>
        <v>0.21477610220492002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4"/>
        <v>0</v>
      </c>
      <c r="I172" s="10">
        <f t="shared" si="44"/>
        <v>19.791026486332036</v>
      </c>
      <c r="J172" s="10">
        <f t="shared" si="44"/>
        <v>12.170501248628442</v>
      </c>
      <c r="K172" s="10">
        <f t="shared" si="44"/>
        <v>7.1104848732454107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4"/>
        <v>0</v>
      </c>
      <c r="I173" s="10">
        <f t="shared" si="44"/>
        <v>62.869404637776114</v>
      </c>
      <c r="J173" s="10">
        <f t="shared" si="44"/>
        <v>39.177058202715223</v>
      </c>
      <c r="K173" s="10">
        <f t="shared" si="44"/>
        <v>22.888776233440254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5">SUM(I167:I173)</f>
        <v>91.44035163706387</v>
      </c>
      <c r="J174" s="11">
        <f t="shared" si="45"/>
        <v>55.39381970036996</v>
      </c>
      <c r="K174" s="11">
        <f t="shared" si="45"/>
        <v>32.363245276783672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6498.4699124721237</v>
      </c>
      <c r="I179" s="10">
        <f t="shared" ref="I179:K179" si="46">I$36*($J$73*I45+(1-$J$73)*I59)+I$35*I146</f>
        <v>5612.530023115286</v>
      </c>
      <c r="J179" s="10">
        <f t="shared" si="46"/>
        <v>4977.1055218802221</v>
      </c>
      <c r="K179" s="10">
        <f t="shared" si="46"/>
        <v>4177.9552130758066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7">H$36*($J$73*H46+(1-$J$73)*H60)+H$35*H147</f>
        <v>26784.997726189446</v>
      </c>
      <c r="I180" s="10">
        <f t="shared" si="47"/>
        <v>25446.691560171599</v>
      </c>
      <c r="J180" s="10">
        <f t="shared" si="47"/>
        <v>25606.828213585231</v>
      </c>
      <c r="K180" s="10">
        <f t="shared" si="47"/>
        <v>24896.100014234817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7"/>
        <v>4238.1325516122542</v>
      </c>
      <c r="I181" s="10">
        <f t="shared" si="47"/>
        <v>5090.9260170875714</v>
      </c>
      <c r="J181" s="10">
        <f t="shared" si="47"/>
        <v>4967.9310456944013</v>
      </c>
      <c r="K181" s="10">
        <f t="shared" si="47"/>
        <v>4708.3073394358589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7"/>
        <v>508.57590619347047</v>
      </c>
      <c r="I182" s="10">
        <f t="shared" si="47"/>
        <v>630.09754895796368</v>
      </c>
      <c r="J182" s="10">
        <f t="shared" si="47"/>
        <v>791.51022607296716</v>
      </c>
      <c r="K182" s="10">
        <f t="shared" si="47"/>
        <v>932.8806480142789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7"/>
        <v>452.0674721719738</v>
      </c>
      <c r="I183" s="10">
        <f t="shared" si="47"/>
        <v>502.8830085258117</v>
      </c>
      <c r="J183" s="10">
        <f t="shared" si="47"/>
        <v>551.05993696932012</v>
      </c>
      <c r="K183" s="10">
        <f t="shared" si="47"/>
        <v>586.31109775732045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7"/>
        <v>14409.650675481666</v>
      </c>
      <c r="I184" s="10">
        <f t="shared" si="47"/>
        <v>12854.351100284455</v>
      </c>
      <c r="J184" s="10">
        <f t="shared" si="47"/>
        <v>11555.075542608756</v>
      </c>
      <c r="K184" s="10">
        <f t="shared" si="47"/>
        <v>10119.387671731009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7"/>
        <v>3616.5397773757904</v>
      </c>
      <c r="I185" s="10">
        <f t="shared" si="47"/>
        <v>8784.6319646155061</v>
      </c>
      <c r="J185" s="10">
        <f t="shared" si="47"/>
        <v>11197.473161792997</v>
      </c>
      <c r="K185" s="10">
        <f t="shared" si="47"/>
        <v>13588.177195774904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56508.434021496723</v>
      </c>
      <c r="I186" s="10">
        <f t="shared" si="47"/>
        <v>58922.111222758176</v>
      </c>
      <c r="J186" s="10">
        <f t="shared" si="47"/>
        <v>59646.983648603898</v>
      </c>
      <c r="K186" s="10">
        <f t="shared" si="47"/>
        <v>59009.119180023998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  <pageSetUpPr fitToPage="1"/>
  </sheetPr>
  <dimension ref="A1:GB1593"/>
  <sheetViews>
    <sheetView showGridLines="0" topLeftCell="A37" zoomScale="115" zoomScaleNormal="115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41814.604215450461</v>
      </c>
      <c r="I7" s="10">
        <f t="shared" si="0"/>
        <v>43442.364577824766</v>
      </c>
      <c r="J7" s="10">
        <f t="shared" si="0"/>
        <v>44086.623326910783</v>
      </c>
      <c r="K7" s="10">
        <f t="shared" si="0"/>
        <v>43661.027277509813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2714.940071976017</v>
      </c>
      <c r="J8" s="76">
        <f t="shared" si="0"/>
        <v>1773.7602281094607</v>
      </c>
      <c r="K8" s="76">
        <f t="shared" si="0"/>
        <v>1146.2522064996804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41814.604215450461</v>
      </c>
      <c r="I9" s="96">
        <f t="shared" si="1"/>
        <v>40727.42450584875</v>
      </c>
      <c r="J9" s="96">
        <f t="shared" si="1"/>
        <v>42312.863098801325</v>
      </c>
      <c r="K9" s="96">
        <f t="shared" si="1"/>
        <v>42514.775071010132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1184.8678605253267</v>
      </c>
      <c r="I13" s="86">
        <f t="shared" ref="I13:K13" si="2">I133+I167</f>
        <v>869.56559609581188</v>
      </c>
      <c r="J13" s="86">
        <f t="shared" si="2"/>
        <v>745.39706248910841</v>
      </c>
      <c r="K13" s="86">
        <f t="shared" si="2"/>
        <v>606.19537127465651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2573.6286999919075</v>
      </c>
      <c r="I14" s="86">
        <f t="shared" si="3"/>
        <v>2018.4325148574621</v>
      </c>
      <c r="J14" s="86">
        <f t="shared" si="3"/>
        <v>1867.099180897721</v>
      </c>
      <c r="K14" s="86">
        <f t="shared" si="3"/>
        <v>1658.1870679388794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324.73142968208481</v>
      </c>
      <c r="I15" s="86">
        <f t="shared" si="3"/>
        <v>337.82086392474281</v>
      </c>
      <c r="J15" s="86">
        <f t="shared" si="3"/>
        <v>299.45708436039803</v>
      </c>
      <c r="K15" s="86">
        <f t="shared" si="3"/>
        <v>259.72403746490124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87.743683724161968</v>
      </c>
      <c r="I16" s="86">
        <f t="shared" si="3"/>
        <v>76.551150368717714</v>
      </c>
      <c r="J16" s="86">
        <f t="shared" si="3"/>
        <v>78.589529784994056</v>
      </c>
      <c r="K16" s="86">
        <f t="shared" si="3"/>
        <v>77.264855347845526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74.66951741609185</v>
      </c>
      <c r="I17" s="86">
        <f t="shared" si="3"/>
        <v>59.782466396329269</v>
      </c>
      <c r="J17" s="86">
        <f t="shared" si="3"/>
        <v>51.130879556713985</v>
      </c>
      <c r="K17" s="86">
        <f t="shared" si="3"/>
        <v>41.658887814115026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601.96304228562485</v>
      </c>
      <c r="I18" s="86">
        <f t="shared" si="3"/>
        <v>439.96417648707074</v>
      </c>
      <c r="J18" s="86">
        <f t="shared" si="3"/>
        <v>381.02143888609356</v>
      </c>
      <c r="K18" s="86">
        <f t="shared" si="3"/>
        <v>302.88320874930008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131.45762730537484</v>
      </c>
      <c r="I19" s="86">
        <f t="shared" si="3"/>
        <v>233.33035679121053</v>
      </c>
      <c r="J19" s="86">
        <f t="shared" si="3"/>
        <v>281.0272204675864</v>
      </c>
      <c r="K19" s="86">
        <f t="shared" si="3"/>
        <v>320.30157377091541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4979.061860930572</v>
      </c>
      <c r="I20" s="13">
        <f t="shared" ref="I20:K20" si="4">SUM(I13:I19)</f>
        <v>4035.4471249213448</v>
      </c>
      <c r="J20" s="13">
        <f t="shared" si="4"/>
        <v>3703.7223964426148</v>
      </c>
      <c r="K20" s="13">
        <f t="shared" si="4"/>
        <v>3266.2150023606137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-0.34255000000000002</v>
      </c>
      <c r="J23" s="177">
        <f t="shared" ref="J23:K23" si="5">J118/$G118-1</f>
        <v>-0.41814835418624174</v>
      </c>
      <c r="K23" s="177">
        <f t="shared" si="5"/>
        <v>-0.51704629189655349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-0.12710026974411293</v>
      </c>
      <c r="J24" s="177">
        <f t="shared" ref="J24:K24" si="6">J129/$G129-1</f>
        <v>-0.17195608635623383</v>
      </c>
      <c r="K24" s="177">
        <f t="shared" si="6"/>
        <v>-0.23962457846693264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41814.604215450461</v>
      </c>
      <c r="H34" s="125">
        <f>'Init. parc'!C11</f>
        <v>41814.604215450461</v>
      </c>
      <c r="I34" s="125">
        <f>'Init. parc'!D11</f>
        <v>43442.364577824766</v>
      </c>
      <c r="J34" s="125">
        <f>'Init. parc'!E11</f>
        <v>44086.623326910783</v>
      </c>
      <c r="K34" s="125">
        <f>'Init. parc'!F11</f>
        <v>43661.027277509813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parc'!N11</f>
        <v>2714.940071976017</v>
      </c>
      <c r="J35" s="125">
        <f>'Init. parc'!O11</f>
        <v>1773.7602281094607</v>
      </c>
      <c r="K35" s="125">
        <f>'Init. parc'!P11</f>
        <v>1146.2522064996804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41814.604215450461</v>
      </c>
      <c r="H36" s="125">
        <f>H34-H35</f>
        <v>41814.604215450461</v>
      </c>
      <c r="I36" s="125">
        <f>I34-I35</f>
        <v>40727.42450584875</v>
      </c>
      <c r="J36" s="125">
        <f>J34-J35</f>
        <v>42312.863098801325</v>
      </c>
      <c r="K36" s="125">
        <f>K34-K35</f>
        <v>42514.775071010132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0.19600000000000001</v>
      </c>
      <c r="H45" s="55">
        <f>'Init. énergie'!B66</f>
        <v>0.19600000000000001</v>
      </c>
      <c r="I45" s="47">
        <f>H45+((K45-H45)/3)</f>
        <v>0.17400000000000002</v>
      </c>
      <c r="J45" s="47">
        <f>H45+((K45-H45)/3*2)</f>
        <v>0.152</v>
      </c>
      <c r="K45" s="47">
        <v>0.13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0.41</v>
      </c>
      <c r="H46" s="55">
        <f>'Init. énergie'!B67</f>
        <v>0.41</v>
      </c>
      <c r="I46" s="47">
        <f t="shared" ref="I46:I51" si="8">H46+((K46-H46)/3)</f>
        <v>0.3833333333333333</v>
      </c>
      <c r="J46" s="47">
        <f t="shared" ref="J46:J50" si="9">H46+((K46-H46)/3*2)</f>
        <v>0.35666666666666669</v>
      </c>
      <c r="K46" s="47">
        <v>0.33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6.2E-2</v>
      </c>
      <c r="H47" s="55">
        <f>'Init. énergie'!B68</f>
        <v>6.2E-2</v>
      </c>
      <c r="I47" s="47">
        <v>0.09</v>
      </c>
      <c r="J47" s="47">
        <v>0.08</v>
      </c>
      <c r="K47" s="47">
        <v>7.0000000000000007E-2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1.7000000000000001E-2</v>
      </c>
      <c r="H48" s="55">
        <f>'Init. énergie'!B69</f>
        <v>1.7000000000000001E-2</v>
      </c>
      <c r="I48" s="47">
        <f t="shared" si="8"/>
        <v>1.8000000000000002E-2</v>
      </c>
      <c r="J48" s="47">
        <f t="shared" si="9"/>
        <v>1.9E-2</v>
      </c>
      <c r="K48" s="47">
        <v>0.02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1.4E-2</v>
      </c>
      <c r="H49" s="55">
        <f>'Init. énergie'!B70</f>
        <v>1.4E-2</v>
      </c>
      <c r="I49" s="47">
        <f t="shared" si="8"/>
        <v>1.2666666666666666E-2</v>
      </c>
      <c r="J49" s="47">
        <f t="shared" si="9"/>
        <v>1.1333333333333334E-2</v>
      </c>
      <c r="K49" s="47">
        <v>0.01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0.23599999999999999</v>
      </c>
      <c r="H50" s="55">
        <f>'Init. énergie'!B71</f>
        <v>0.23599999999999999</v>
      </c>
      <c r="I50" s="47">
        <v>0.19</v>
      </c>
      <c r="J50" s="47">
        <f t="shared" si="9"/>
        <v>0.18533333333333332</v>
      </c>
      <c r="K50" s="47">
        <f>1-K45-K46-K47-K48-K49-K51</f>
        <v>0.15999999999999998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6.6000000000000003E-2</v>
      </c>
      <c r="H51" s="55">
        <f>'Init. énergie'!B72</f>
        <v>6.6000000000000003E-2</v>
      </c>
      <c r="I51" s="47">
        <f t="shared" si="8"/>
        <v>0.13733333333333336</v>
      </c>
      <c r="J51" s="47">
        <v>0.2</v>
      </c>
      <c r="K51" s="123">
        <v>0.28000000000000003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1.0009999999999999</v>
      </c>
      <c r="H52" s="149">
        <f t="shared" si="10"/>
        <v>1.0009999999999999</v>
      </c>
      <c r="I52" s="155">
        <f t="shared" si="10"/>
        <v>1.0053333333333334</v>
      </c>
      <c r="J52" s="155">
        <f t="shared" si="10"/>
        <v>1.0043333333333333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-2.6296973121779147E-2</v>
      </c>
      <c r="J55" s="142">
        <f>(I$81*(J45-I45)+I$82*(J46-I46)+I$83*(J47-I47)+I$84*(J48-I48)+I$85*(J49-I49)+I$86*(J50-I50)+I$87*(J51-I51))/(I$81*I45+I$82*I46+I$83*I47+I$84*I48+I$85*I49+I$86*I50+I$87*I51)</f>
        <v>-4.9874255310420008E-2</v>
      </c>
      <c r="K55" s="142">
        <f>(J$81*(K45-J45)+J$82*(K46-J46)+J$83*(K47-J47)+J$84*(K48-J48)+J$85*(K49-J49)+J$86*(K50-J50)+J$87*(K51-J51))/(J$81*J45+J$82*J46+J$83*J47+J$84*J48+J$85*J49+J$86*J50+J$87*J51)</f>
        <v>-5.6441192506027707E-2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0.19600000000000001</v>
      </c>
      <c r="H59" s="55">
        <f>H45</f>
        <v>0.19600000000000001</v>
      </c>
      <c r="I59" s="47">
        <f>H59+((K59-H59)/3)</f>
        <v>0.18066666666666667</v>
      </c>
      <c r="J59" s="47">
        <f>H59+((K59-H59)/3*2)</f>
        <v>0.16533333333333333</v>
      </c>
      <c r="K59" s="47">
        <v>0.15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0.41</v>
      </c>
      <c r="H60" s="55">
        <f t="shared" ref="H60:H65" si="12">H46</f>
        <v>0.41</v>
      </c>
      <c r="I60" s="47">
        <f t="shared" ref="I60:I65" si="13">H60+((K60-H60)/3)</f>
        <v>0.40333333333333332</v>
      </c>
      <c r="J60" s="47">
        <f t="shared" ref="J60:J65" si="14">H60+((K60-H60)/3*2)</f>
        <v>0.39666666666666667</v>
      </c>
      <c r="K60" s="47">
        <v>0.39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6.2E-2</v>
      </c>
      <c r="H61" s="55">
        <f t="shared" si="12"/>
        <v>6.2E-2</v>
      </c>
      <c r="I61" s="47">
        <f t="shared" si="13"/>
        <v>6.133333333333333E-2</v>
      </c>
      <c r="J61" s="47">
        <v>0.06</v>
      </c>
      <c r="K61" s="47">
        <v>0.06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1.7000000000000001E-2</v>
      </c>
      <c r="H62" s="55">
        <f t="shared" si="12"/>
        <v>1.7000000000000001E-2</v>
      </c>
      <c r="I62" s="47">
        <f t="shared" si="13"/>
        <v>1.8000000000000002E-2</v>
      </c>
      <c r="J62" s="47">
        <f t="shared" si="14"/>
        <v>1.9E-2</v>
      </c>
      <c r="K62" s="47">
        <v>0.02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1.4E-2</v>
      </c>
      <c r="H63" s="55">
        <f t="shared" si="12"/>
        <v>1.4E-2</v>
      </c>
      <c r="I63" s="47">
        <f t="shared" si="13"/>
        <v>1.2666666666666666E-2</v>
      </c>
      <c r="J63" s="47">
        <f t="shared" si="14"/>
        <v>1.1333333333333334E-2</v>
      </c>
      <c r="K63" s="47">
        <v>0.01</v>
      </c>
      <c r="L63" s="64"/>
      <c r="M63" s="494"/>
      <c r="N63" s="33"/>
      <c r="O63" s="42"/>
    </row>
    <row r="64" spans="1:15" ht="11.25" customHeight="1">
      <c r="C64" s="40"/>
      <c r="D64" s="32"/>
      <c r="E64" s="151" t="s">
        <v>25</v>
      </c>
      <c r="F64" s="55"/>
      <c r="G64" s="55">
        <f t="shared" si="11"/>
        <v>0.23599999999999999</v>
      </c>
      <c r="H64" s="55">
        <f t="shared" si="12"/>
        <v>0.23599999999999999</v>
      </c>
      <c r="I64" s="47">
        <f t="shared" si="13"/>
        <v>0.2173333333333333</v>
      </c>
      <c r="J64" s="47">
        <f t="shared" si="14"/>
        <v>0.19866666666666663</v>
      </c>
      <c r="K64" s="47">
        <f>1-K59-K60-K61-K62-K63-K65</f>
        <v>0.17999999999999994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6.6000000000000003E-2</v>
      </c>
      <c r="H65" s="55">
        <f t="shared" si="12"/>
        <v>6.6000000000000003E-2</v>
      </c>
      <c r="I65" s="47">
        <f t="shared" si="13"/>
        <v>0.10733333333333334</v>
      </c>
      <c r="J65" s="47">
        <f t="shared" si="14"/>
        <v>0.14866666666666667</v>
      </c>
      <c r="K65" s="123">
        <v>0.19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1.0009999999999999</v>
      </c>
      <c r="H66" s="149">
        <v>1</v>
      </c>
      <c r="I66" s="47">
        <f t="shared" ref="I66:J66" si="16">SUM(I59:I65)</f>
        <v>1.0006666666666666</v>
      </c>
      <c r="J66" s="47">
        <f t="shared" si="16"/>
        <v>0.9996666666666667</v>
      </c>
      <c r="K66" s="47">
        <f>SUM(K59:K65)</f>
        <v>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-2.1142333757725652E-2</v>
      </c>
      <c r="J69" s="142">
        <f>(I$101*(J59-I59)+I$102*(J60-I60)+I$103*(J61-I61)+I$104*(J62-I62)+I$105*(J63-I63)+I$106*(J64-I64)+I$107*(J65-I65))/(I$101*I59+I$102*I60+I$103*I61+I$104*I62+I$105*I63+I$106*I64+I$107*I65)</f>
        <v>-2.2510681200166579E-2</v>
      </c>
      <c r="K69" s="142">
        <f>(J$101*(K59-J59)+J$102*(K60-J60)+J$103*(K61-J61)+J$104*(K62-J62)+J$105*(K63-J63)+J$106*(K64-J64)+J$107*(K65-J65))/(J$101*J59+J$102*J60+J$103*J61+J$104*J62+J$105*J63+J$106*J64+J$107*J65)</f>
        <v>-2.1676107050483326E-2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bord'!L12</f>
        <v>0.86</v>
      </c>
      <c r="I73" s="92">
        <f>'Tableau de bord'!L24</f>
        <v>0.52500000000000002</v>
      </c>
      <c r="J73" s="92">
        <f>'Tableau de bord'!L27</f>
        <v>0.45150000000000001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48.7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147.49606862713017</v>
      </c>
      <c r="H81" s="54">
        <f>'Init. énergie'!D66</f>
        <v>144.57255544511395</v>
      </c>
      <c r="I81" s="81">
        <f>G81*(1-H$77)/(1+I$55)</f>
        <v>102.24867703504081</v>
      </c>
      <c r="J81" s="81">
        <f>G81*(1-I$77)/(1+I$55)/(1+J$55)</f>
        <v>91.672839483113378</v>
      </c>
      <c r="K81" s="81">
        <f>G81*(1-J$77)/(1+I$55)/(1+J$55)/(1+K$55)</f>
        <v>80.259689552836733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153.15410119902847</v>
      </c>
      <c r="H82" s="54">
        <f>'Init. énergie'!D67</f>
        <v>150.1184403986914</v>
      </c>
      <c r="I82" s="81">
        <f t="shared" ref="I82:I87" si="18">G82*(1-H$77)/(1+I$55)</f>
        <v>106.17099408716703</v>
      </c>
      <c r="J82" s="81">
        <f t="shared" ref="J82:J87" si="19">G82*(1-I$77)/(1+I$55)/(1+J$55)</f>
        <v>95.189461428238573</v>
      </c>
      <c r="K82" s="81">
        <f t="shared" ref="K82:K87" si="20">G82*(1-J$77)/(1+I$55)/(1+J$55)/(1+K$55)</f>
        <v>83.338496614795716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127.79069490556745</v>
      </c>
      <c r="H83" s="54">
        <f>'Init. énergie'!D68</f>
        <v>125.25776108181995</v>
      </c>
      <c r="I83" s="81">
        <f t="shared" si="18"/>
        <v>88.58832383197084</v>
      </c>
      <c r="J83" s="81">
        <f t="shared" si="19"/>
        <v>79.425410931656344</v>
      </c>
      <c r="K83" s="81">
        <f t="shared" si="20"/>
        <v>69.537050013111781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125.93125708529116</v>
      </c>
      <c r="H84" s="54">
        <f>'Init. énergie'!D69</f>
        <v>123.43517909796911</v>
      </c>
      <c r="I84" s="81">
        <f t="shared" si="18"/>
        <v>87.299306036975864</v>
      </c>
      <c r="J84" s="81">
        <f t="shared" si="19"/>
        <v>78.269719485683368</v>
      </c>
      <c r="K84" s="81">
        <f t="shared" si="20"/>
        <v>68.525240657192938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130.1313410964313</v>
      </c>
      <c r="H85" s="54">
        <f>'Init. énergie'!D70</f>
        <v>127.55201342600625</v>
      </c>
      <c r="I85" s="81">
        <f t="shared" si="18"/>
        <v>90.210929631912236</v>
      </c>
      <c r="J85" s="81">
        <f t="shared" si="19"/>
        <v>80.880186537128679</v>
      </c>
      <c r="K85" s="81">
        <f t="shared" si="20"/>
        <v>70.810707937559044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62.233528061767529</v>
      </c>
      <c r="H86" s="54">
        <f>'Init. énergie'!D71</f>
        <v>61</v>
      </c>
      <c r="I86" s="81">
        <f t="shared" si="18"/>
        <v>43.142139114400536</v>
      </c>
      <c r="J86" s="81">
        <f t="shared" si="19"/>
        <v>38.679839276915182</v>
      </c>
      <c r="K86" s="81">
        <f t="shared" si="20"/>
        <v>33.864249322076319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48.596887025627844</v>
      </c>
      <c r="H87" s="54">
        <f>'Init. énergie'!D72</f>
        <v>47.633650234662667</v>
      </c>
      <c r="I87" s="81">
        <f t="shared" si="18"/>
        <v>33.688812540172364</v>
      </c>
      <c r="J87" s="81">
        <f t="shared" si="19"/>
        <v>30.204294020484344</v>
      </c>
      <c r="K87" s="81">
        <f t="shared" si="20"/>
        <v>26.443898486347468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147.49606862713017</v>
      </c>
      <c r="H101" s="54">
        <f>H81</f>
        <v>144.57255544511395</v>
      </c>
      <c r="I101" s="81">
        <f>$H101*(1+$G91)^(I$100-$H$100)</f>
        <v>134.35017088941282</v>
      </c>
      <c r="J101" s="81">
        <f>$H101*(1+$G91)^(J$100-$H$100)</f>
        <v>124.85058704566502</v>
      </c>
      <c r="K101" s="81">
        <f>$H101*(1+$G91)^(K$100-$H$100)</f>
        <v>116.02269637958108</v>
      </c>
      <c r="L101" s="67"/>
      <c r="M101" s="79">
        <f>(K101-G101)/H101</f>
        <v>-0.21769949455930976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153.15410119902847</v>
      </c>
      <c r="H102" s="54">
        <f t="shared" si="22"/>
        <v>150.1184403986914</v>
      </c>
      <c r="I102" s="81">
        <f t="shared" ref="I102:K107" si="23">$H102*(1+$G92)^(I$100-$H$100)</f>
        <v>140.95842499899163</v>
      </c>
      <c r="J102" s="81">
        <f t="shared" si="23"/>
        <v>132.35734081320464</v>
      </c>
      <c r="K102" s="81">
        <f t="shared" si="23"/>
        <v>124.28108264737018</v>
      </c>
      <c r="L102" s="67"/>
      <c r="M102" s="79">
        <f t="shared" ref="M102:M107" si="24">(K102-G102)/H102</f>
        <v>-0.19233492217862116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127.79069490556745</v>
      </c>
      <c r="H103" s="54">
        <f t="shared" si="22"/>
        <v>125.25776108181995</v>
      </c>
      <c r="I103" s="81">
        <f t="shared" si="23"/>
        <v>120.2666884611311</v>
      </c>
      <c r="J103" s="81">
        <f t="shared" si="23"/>
        <v>115.47449218702421</v>
      </c>
      <c r="K103" s="81">
        <f t="shared" si="23"/>
        <v>110.87324775023333</v>
      </c>
      <c r="L103" s="67"/>
      <c r="M103" s="79">
        <f t="shared" si="24"/>
        <v>-0.13506106934390619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125.93125708529116</v>
      </c>
      <c r="H104" s="54">
        <f t="shared" si="22"/>
        <v>123.43517909796911</v>
      </c>
      <c r="I104" s="81">
        <f t="shared" si="23"/>
        <v>118.51672983378921</v>
      </c>
      <c r="J104" s="81">
        <f t="shared" si="23"/>
        <v>113.79426313585255</v>
      </c>
      <c r="K104" s="81">
        <f t="shared" si="23"/>
        <v>109.25996980166288</v>
      </c>
      <c r="L104" s="67"/>
      <c r="M104" s="79">
        <f t="shared" si="24"/>
        <v>-0.13506106934390621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130.1313410964313</v>
      </c>
      <c r="H105" s="54">
        <f t="shared" si="22"/>
        <v>127.55201342600625</v>
      </c>
      <c r="I105" s="81">
        <f t="shared" si="23"/>
        <v>122.46952307629908</v>
      </c>
      <c r="J105" s="81">
        <f>$H105*(1+$G95)^(J$100-$H$100)</f>
        <v>117.58955174186289</v>
      </c>
      <c r="K105" s="81">
        <f>$H105*(1+$G95)^(K$100-$H$100)</f>
        <v>112.90402976614661</v>
      </c>
      <c r="L105" s="67"/>
      <c r="M105" s="79">
        <f t="shared" si="24"/>
        <v>-0.13506106934390624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62.233528061767529</v>
      </c>
      <c r="H106" s="54">
        <f t="shared" si="22"/>
        <v>61</v>
      </c>
      <c r="I106" s="81">
        <f t="shared" si="23"/>
        <v>55.408235880301092</v>
      </c>
      <c r="J106" s="81">
        <f t="shared" si="23"/>
        <v>50.329059071591566</v>
      </c>
      <c r="K106" s="81">
        <f t="shared" si="23"/>
        <v>45.715481584792663</v>
      </c>
      <c r="L106" s="67"/>
      <c r="M106" s="79">
        <f t="shared" si="24"/>
        <v>-0.27078764716352238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48.596887025627844</v>
      </c>
      <c r="H107" s="54">
        <f t="shared" si="22"/>
        <v>47.633650234662667</v>
      </c>
      <c r="I107" s="81">
        <f t="shared" si="23"/>
        <v>43.267156197408987</v>
      </c>
      <c r="J107" s="81">
        <f t="shared" si="23"/>
        <v>39.300931089440468</v>
      </c>
      <c r="K107" s="81">
        <f t="shared" si="23"/>
        <v>35.698282952773376</v>
      </c>
      <c r="L107" s="67"/>
      <c r="M107" s="79">
        <f t="shared" si="24"/>
        <v>-0.27078764716352233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545.78583643018783</v>
      </c>
      <c r="H111" s="54">
        <f t="shared" si="25"/>
        <v>534.96783902718494</v>
      </c>
      <c r="I111" s="125">
        <f t="shared" si="25"/>
        <v>327.1535579110124</v>
      </c>
      <c r="J111" s="125">
        <f t="shared" si="25"/>
        <v>266.20391538381125</v>
      </c>
      <c r="K111" s="125">
        <f t="shared" si="25"/>
        <v>200.28040836004391</v>
      </c>
      <c r="L111" s="46"/>
      <c r="M111" s="79">
        <f>(K111-G111)/H111</f>
        <v>-0.64584336265602449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1185.4909222223732</v>
      </c>
      <c r="H112" s="54">
        <f t="shared" si="25"/>
        <v>1161.9933580463464</v>
      </c>
      <c r="I112" s="125">
        <f t="shared" si="25"/>
        <v>748.38861366248921</v>
      </c>
      <c r="J112" s="125">
        <f t="shared" si="25"/>
        <v>648.60689348047708</v>
      </c>
      <c r="K112" s="125">
        <f t="shared" si="25"/>
        <v>527.90678272460104</v>
      </c>
      <c r="L112" s="46"/>
      <c r="M112" s="79">
        <f t="shared" ref="M112:M118" si="26">(K112-G112)/H112</f>
        <v>-0.56591041157357824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149.58108061571394</v>
      </c>
      <c r="H113" s="54">
        <f t="shared" si="25"/>
        <v>146.61624050146131</v>
      </c>
      <c r="I113" s="125">
        <f t="shared" si="25"/>
        <v>146.61003450071456</v>
      </c>
      <c r="J113" s="125">
        <f t="shared" si="25"/>
        <v>121.38908140013773</v>
      </c>
      <c r="K113" s="125">
        <f t="shared" si="25"/>
        <v>93.435506237127385</v>
      </c>
      <c r="L113" s="46"/>
      <c r="M113" s="79">
        <f t="shared" si="26"/>
        <v>-0.38294239564836585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40.417384425994364</v>
      </c>
      <c r="H114" s="54">
        <f t="shared" si="25"/>
        <v>39.616273201459137</v>
      </c>
      <c r="I114" s="125">
        <f t="shared" si="25"/>
        <v>28.895352607067679</v>
      </c>
      <c r="J114" s="125">
        <f t="shared" si="25"/>
        <v>28.410412915866345</v>
      </c>
      <c r="K114" s="125">
        <f t="shared" si="25"/>
        <v>26.307416794843391</v>
      </c>
      <c r="L114" s="46"/>
      <c r="M114" s="79">
        <f t="shared" si="26"/>
        <v>-0.35616595128466749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34.395029502033701</v>
      </c>
      <c r="H115" s="54">
        <f t="shared" si="25"/>
        <v>33.713287113365467</v>
      </c>
      <c r="I115" s="125">
        <f t="shared" si="25"/>
        <v>21.011942426958534</v>
      </c>
      <c r="J115" s="125">
        <f t="shared" si="25"/>
        <v>17.511767156216273</v>
      </c>
      <c r="K115" s="125">
        <f t="shared" si="25"/>
        <v>13.592413462438181</v>
      </c>
      <c r="L115" s="46"/>
      <c r="M115" s="79">
        <f t="shared" si="26"/>
        <v>-0.61704502351384261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277.28231432343551</v>
      </c>
      <c r="H116" s="54">
        <f t="shared" si="25"/>
        <v>271.78631359195958</v>
      </c>
      <c r="I116" s="125">
        <f t="shared" si="25"/>
        <v>150.73009672105366</v>
      </c>
      <c r="J116" s="125">
        <f t="shared" si="25"/>
        <v>136.95199566908053</v>
      </c>
      <c r="K116" s="125">
        <f t="shared" si="25"/>
        <v>104.00616331341149</v>
      </c>
      <c r="L116" s="46"/>
      <c r="M116" s="79">
        <f t="shared" si="26"/>
        <v>-0.63754553612353115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60.553343933374634</v>
      </c>
      <c r="H117" s="54">
        <f t="shared" si="25"/>
        <v>59.353118728376728</v>
      </c>
      <c r="I117" s="125">
        <f t="shared" si="25"/>
        <v>85.07586365555332</v>
      </c>
      <c r="J117" s="125">
        <f t="shared" si="25"/>
        <v>115.4061232569882</v>
      </c>
      <c r="K117" s="125">
        <f t="shared" si="25"/>
        <v>142.12849360099071</v>
      </c>
      <c r="L117" s="46"/>
      <c r="M117" s="79">
        <f t="shared" si="26"/>
        <v>1.3744037620152045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2293.5059114531132</v>
      </c>
      <c r="H118" s="146">
        <f>SUM(H111:H117)</f>
        <v>2248.0464302101532</v>
      </c>
      <c r="I118" s="144">
        <f t="shared" ref="I118:J118" si="27">SUM(I111:I117)</f>
        <v>1507.8654614848492</v>
      </c>
      <c r="J118" s="144">
        <f t="shared" si="27"/>
        <v>1334.4801892625776</v>
      </c>
      <c r="K118" s="144">
        <f>SUM(K111:K117)</f>
        <v>1107.657184493456</v>
      </c>
      <c r="L118" s="21"/>
      <c r="M118" s="79">
        <f t="shared" si="26"/>
        <v>-0.52750188386847552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663.04215123357244</v>
      </c>
      <c r="H122" s="147">
        <f t="shared" si="28"/>
        <v>649.90002149814165</v>
      </c>
      <c r="I122" s="143">
        <f>I$36*I59*(1-$J$73)*I101/1000</f>
        <v>542.22537056870567</v>
      </c>
      <c r="J122" s="143">
        <f t="shared" ref="J122:K122" si="29">J$36*J59*(1-$J$73)*J101/1000</f>
        <v>479.07119097200308</v>
      </c>
      <c r="K122" s="143">
        <f t="shared" si="29"/>
        <v>405.83615153713947</v>
      </c>
      <c r="L122" s="46"/>
      <c r="M122" s="79">
        <f>(K122-G122)/H122</f>
        <v>-0.39576241142987628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1440.1811092778996</v>
      </c>
      <c r="H123" s="147">
        <f t="shared" si="28"/>
        <v>1411.6353419455611</v>
      </c>
      <c r="I123" s="143">
        <f t="shared" ref="I123:K128" si="30">I$36*I60*(1-$J$73)*I102/1000</f>
        <v>1270.0439011949729</v>
      </c>
      <c r="J123" s="143">
        <f t="shared" si="30"/>
        <v>1218.4922874172439</v>
      </c>
      <c r="K123" s="143">
        <f t="shared" si="30"/>
        <v>1130.2802852142784</v>
      </c>
      <c r="L123" s="46"/>
      <c r="M123" s="79">
        <f t="shared" ref="M123:M129" si="31">(K123-G123)/H123</f>
        <v>-0.21953320015104327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181.71699383769453</v>
      </c>
      <c r="H124" s="147">
        <f t="shared" si="28"/>
        <v>178.11518918062353</v>
      </c>
      <c r="I124" s="143">
        <f t="shared" si="30"/>
        <v>164.7803801245646</v>
      </c>
      <c r="J124" s="143">
        <f t="shared" si="30"/>
        <v>160.80011544319603</v>
      </c>
      <c r="K124" s="143">
        <f t="shared" si="30"/>
        <v>155.12955164623276</v>
      </c>
      <c r="L124" s="46"/>
      <c r="M124" s="79">
        <f t="shared" si="31"/>
        <v>-0.14927105494916501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49.100632021390702</v>
      </c>
      <c r="H125" s="147">
        <f t="shared" si="28"/>
        <v>48.127410522702839</v>
      </c>
      <c r="I125" s="143">
        <f t="shared" si="30"/>
        <v>47.655797761650042</v>
      </c>
      <c r="J125" s="143">
        <f t="shared" si="30"/>
        <v>50.179116869127718</v>
      </c>
      <c r="K125" s="143">
        <f t="shared" si="30"/>
        <v>50.957438553002135</v>
      </c>
      <c r="L125" s="46"/>
      <c r="M125" s="79">
        <f t="shared" si="31"/>
        <v>3.8581060386274749E-2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41.784437833589109</v>
      </c>
      <c r="H126" s="147">
        <f t="shared" si="28"/>
        <v>40.956230302726375</v>
      </c>
      <c r="I126" s="143">
        <f t="shared" si="30"/>
        <v>34.654046015470541</v>
      </c>
      <c r="J126" s="143">
        <f t="shared" si="30"/>
        <v>30.929681075701211</v>
      </c>
      <c r="K126" s="143">
        <f t="shared" si="30"/>
        <v>26.328490524199179</v>
      </c>
      <c r="L126" s="46"/>
      <c r="M126" s="79">
        <f t="shared" si="31"/>
        <v>-0.37737719499934197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336.85348705737408</v>
      </c>
      <c r="H127" s="147">
        <f t="shared" si="28"/>
        <v>330.17672869366521</v>
      </c>
      <c r="I127" s="143">
        <f t="shared" si="30"/>
        <v>269.00741011780093</v>
      </c>
      <c r="J127" s="143">
        <f t="shared" si="30"/>
        <v>232.05603149655667</v>
      </c>
      <c r="K127" s="143">
        <f t="shared" si="30"/>
        <v>191.88999074464925</v>
      </c>
      <c r="L127" s="46"/>
      <c r="M127" s="79">
        <f t="shared" si="31"/>
        <v>-0.4390481936333574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73.562589473878162</v>
      </c>
      <c r="H128" s="147">
        <f t="shared" si="28"/>
        <v>72.1045085769981</v>
      </c>
      <c r="I128" s="143">
        <f t="shared" si="30"/>
        <v>103.7424613465498</v>
      </c>
      <c r="J128" s="143">
        <f t="shared" si="30"/>
        <v>135.60181054740005</v>
      </c>
      <c r="K128" s="143">
        <f t="shared" si="30"/>
        <v>158.16757135756134</v>
      </c>
      <c r="L128" s="46"/>
      <c r="M128" s="79">
        <f t="shared" si="31"/>
        <v>1.1733660426148835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2786.2414007353987</v>
      </c>
      <c r="H129" s="148">
        <f>SUM(H122:H128)</f>
        <v>2731.0154307204189</v>
      </c>
      <c r="I129" s="145">
        <f t="shared" ref="I129:K129" si="32">SUM(I122:I128)</f>
        <v>2432.1093671297144</v>
      </c>
      <c r="J129" s="145">
        <f t="shared" si="32"/>
        <v>2307.1302338212286</v>
      </c>
      <c r="K129" s="145">
        <f t="shared" si="32"/>
        <v>2118.5894795770628</v>
      </c>
      <c r="L129" s="21"/>
      <c r="M129" s="79">
        <f t="shared" si="31"/>
        <v>-0.2444702119395257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1184.8678605253267</v>
      </c>
      <c r="I133" s="143">
        <f t="shared" ref="I133:K133" si="33">I111+I122</f>
        <v>869.37892847971807</v>
      </c>
      <c r="J133" s="143">
        <f t="shared" si="33"/>
        <v>745.27510635581439</v>
      </c>
      <c r="K133" s="143">
        <f t="shared" si="33"/>
        <v>606.11655989718338</v>
      </c>
      <c r="L133" s="46"/>
      <c r="M133" s="79">
        <f>(K133-G133)/H133</f>
        <v>0.5115478105959036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2573.6286999919075</v>
      </c>
      <c r="I134" s="143">
        <f t="shared" si="34"/>
        <v>2018.4325148574621</v>
      </c>
      <c r="J134" s="143">
        <f t="shared" si="34"/>
        <v>1867.099180897721</v>
      </c>
      <c r="K134" s="143">
        <f t="shared" si="34"/>
        <v>1658.1870679388794</v>
      </c>
      <c r="L134" s="46"/>
      <c r="M134" s="79">
        <f t="shared" ref="M134:M140" si="35">(K134-G134)/H134</f>
        <v>0.64429926039606777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324.73142968208481</v>
      </c>
      <c r="I135" s="143">
        <f t="shared" si="34"/>
        <v>311.39041462527916</v>
      </c>
      <c r="J135" s="143">
        <f t="shared" si="34"/>
        <v>282.18919684333378</v>
      </c>
      <c r="K135" s="143">
        <f t="shared" si="34"/>
        <v>248.56505788336014</v>
      </c>
      <c r="L135" s="46"/>
      <c r="M135" s="79">
        <f t="shared" si="35"/>
        <v>0.76544810622953163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87.743683724161968</v>
      </c>
      <c r="I136" s="143">
        <f t="shared" si="34"/>
        <v>76.551150368717714</v>
      </c>
      <c r="J136" s="143">
        <f t="shared" si="34"/>
        <v>78.589529784994056</v>
      </c>
      <c r="K136" s="143">
        <f t="shared" si="34"/>
        <v>77.264855347845526</v>
      </c>
      <c r="L136" s="46"/>
      <c r="M136" s="79">
        <f t="shared" si="35"/>
        <v>0.88057455612123003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74.66951741609185</v>
      </c>
      <c r="I137" s="143">
        <f t="shared" si="34"/>
        <v>55.665988442429075</v>
      </c>
      <c r="J137" s="143">
        <f t="shared" si="34"/>
        <v>48.441448231917484</v>
      </c>
      <c r="K137" s="143">
        <f t="shared" si="34"/>
        <v>39.920903986637356</v>
      </c>
      <c r="L137" s="46"/>
      <c r="M137" s="79">
        <f t="shared" si="35"/>
        <v>0.53463455193074672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601.96304228562485</v>
      </c>
      <c r="I138" s="143">
        <f t="shared" si="34"/>
        <v>419.73750683885459</v>
      </c>
      <c r="J138" s="143">
        <f t="shared" si="34"/>
        <v>369.0080271656372</v>
      </c>
      <c r="K138" s="143">
        <f t="shared" si="34"/>
        <v>295.89615405806074</v>
      </c>
      <c r="L138" s="46"/>
      <c r="M138" s="79">
        <f t="shared" si="35"/>
        <v>0.49155202773671491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131.45762730537484</v>
      </c>
      <c r="I139" s="143">
        <f t="shared" si="34"/>
        <v>188.81832500210311</v>
      </c>
      <c r="J139" s="143">
        <f t="shared" si="34"/>
        <v>251.00793380438824</v>
      </c>
      <c r="K139" s="143">
        <f t="shared" si="34"/>
        <v>300.29606495855205</v>
      </c>
      <c r="L139" s="46"/>
      <c r="M139" s="79">
        <f t="shared" si="35"/>
        <v>2.284356344428514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4979.061860930572</v>
      </c>
      <c r="I140" s="145">
        <f t="shared" ref="I140:K140" si="36">SUM(I133:I139)</f>
        <v>3939.9748286145632</v>
      </c>
      <c r="J140" s="145">
        <f t="shared" si="36"/>
        <v>3641.6104230838064</v>
      </c>
      <c r="K140" s="145">
        <f t="shared" si="36"/>
        <v>3226.2466640705188</v>
      </c>
      <c r="L140" s="21"/>
      <c r="M140" s="79">
        <f t="shared" si="35"/>
        <v>0.64796275968893924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énergie'!C66</f>
        <v>8.566654622007622E-4</v>
      </c>
      <c r="I146" s="47">
        <f>H146</f>
        <v>8.566654622007622E-4</v>
      </c>
      <c r="J146" s="47">
        <f>I146</f>
        <v>8.566654622007622E-4</v>
      </c>
      <c r="K146" s="47">
        <f>J146</f>
        <v>8.566654622007622E-4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énergie'!C67</f>
        <v>0.12133733261175747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énergie'!C68</f>
        <v>0.13508370055286556</v>
      </c>
      <c r="I148" s="47">
        <v>0.14000000000000001</v>
      </c>
      <c r="J148" s="47">
        <v>0.14000000000000001</v>
      </c>
      <c r="K148" s="47">
        <v>0.14000000000000001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énergie'!C69</f>
        <v>2.0851083900283521E-2</v>
      </c>
      <c r="I149" s="47">
        <v>0</v>
      </c>
      <c r="J149" s="47">
        <v>0</v>
      </c>
      <c r="K149" s="47">
        <f t="shared" ref="K149" si="37">J149</f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énergie'!C70</f>
        <v>2.1412462228474215E-2</v>
      </c>
      <c r="I150" s="47">
        <f t="shared" ref="I150:K150" si="38">H150</f>
        <v>2.1412462228474215E-2</v>
      </c>
      <c r="J150" s="47">
        <f t="shared" si="38"/>
        <v>2.1412462228474215E-2</v>
      </c>
      <c r="K150" s="47">
        <f t="shared" si="38"/>
        <v>2.1412462228474215E-2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énergie'!C71</f>
        <v>0.23233774569965782</v>
      </c>
      <c r="I151" s="47">
        <v>0.22</v>
      </c>
      <c r="J151" s="47">
        <v>0.2</v>
      </c>
      <c r="K151" s="47">
        <v>0.18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énergie'!C72</f>
        <v>0.46812100954476071</v>
      </c>
      <c r="I152" s="47">
        <v>0.62</v>
      </c>
      <c r="J152" s="47">
        <v>0.64</v>
      </c>
      <c r="K152" s="47">
        <v>0.66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39">SUM(I146:I152)</f>
        <v>1.002269127690675</v>
      </c>
      <c r="J153" s="15">
        <f t="shared" si="39"/>
        <v>1.002269127690675</v>
      </c>
      <c r="K153" s="15">
        <f t="shared" si="39"/>
        <v>1.002269127690675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80.259689552836733</v>
      </c>
      <c r="J157" s="45">
        <f>K157</f>
        <v>80.259689552836733</v>
      </c>
      <c r="K157" s="45">
        <f t="shared" ref="K157:K163" si="40">K81</f>
        <v>80.259689552836733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1">J158</f>
        <v>83.338496614795716</v>
      </c>
      <c r="J158" s="45">
        <f t="shared" si="41"/>
        <v>83.338496614795716</v>
      </c>
      <c r="K158" s="45">
        <f t="shared" si="40"/>
        <v>83.338496614795716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1"/>
        <v>69.537050013111781</v>
      </c>
      <c r="J159" s="45">
        <f t="shared" si="41"/>
        <v>69.537050013111781</v>
      </c>
      <c r="K159" s="45">
        <f t="shared" si="40"/>
        <v>69.537050013111781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1"/>
        <v>68.525240657192938</v>
      </c>
      <c r="J160" s="45">
        <f t="shared" si="41"/>
        <v>68.525240657192938</v>
      </c>
      <c r="K160" s="45">
        <f t="shared" si="40"/>
        <v>68.525240657192938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1"/>
        <v>70.810707937559044</v>
      </c>
      <c r="J161" s="45">
        <f t="shared" si="41"/>
        <v>70.810707937559044</v>
      </c>
      <c r="K161" s="45">
        <f t="shared" si="40"/>
        <v>70.810707937559044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1"/>
        <v>33.864249322076319</v>
      </c>
      <c r="J162" s="45">
        <f t="shared" si="41"/>
        <v>33.864249322076319</v>
      </c>
      <c r="K162" s="45">
        <f t="shared" si="40"/>
        <v>33.864249322076319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1"/>
        <v>26.443898486347468</v>
      </c>
      <c r="J163" s="45">
        <f t="shared" si="41"/>
        <v>26.443898486347468</v>
      </c>
      <c r="K163" s="45">
        <f t="shared" si="40"/>
        <v>26.443898486347468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2">I$35*I146*I157/1000</f>
        <v>0.1866676160937725</v>
      </c>
      <c r="J167" s="10">
        <f t="shared" si="42"/>
        <v>0.1219561332940037</v>
      </c>
      <c r="K167" s="10">
        <f t="shared" si="42"/>
        <v>7.8811377473164385E-2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3">H$35*H147*H158/1000</f>
        <v>0</v>
      </c>
      <c r="I168" s="10">
        <f t="shared" si="43"/>
        <v>0</v>
      </c>
      <c r="J168" s="10">
        <f t="shared" si="43"/>
        <v>0</v>
      </c>
      <c r="K168" s="10">
        <f t="shared" si="43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3"/>
        <v>0</v>
      </c>
      <c r="I169" s="10">
        <f t="shared" si="43"/>
        <v>26.430449299463664</v>
      </c>
      <c r="J169" s="10">
        <f t="shared" si="43"/>
        <v>17.26788751706426</v>
      </c>
      <c r="K169" s="10">
        <f t="shared" si="43"/>
        <v>11.158979581541121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3"/>
        <v>0</v>
      </c>
      <c r="I170" s="10">
        <f t="shared" si="43"/>
        <v>0</v>
      </c>
      <c r="J170" s="10">
        <f t="shared" si="43"/>
        <v>0</v>
      </c>
      <c r="K170" s="10">
        <f t="shared" si="43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3"/>
        <v>0</v>
      </c>
      <c r="I171" s="10">
        <f t="shared" si="43"/>
        <v>4.1164779539001914</v>
      </c>
      <c r="J171" s="10">
        <f t="shared" si="43"/>
        <v>2.6894313247965016</v>
      </c>
      <c r="K171" s="10">
        <f t="shared" si="43"/>
        <v>1.7379838274776716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3"/>
        <v>0</v>
      </c>
      <c r="I172" s="10">
        <f t="shared" si="43"/>
        <v>20.226669648216163</v>
      </c>
      <c r="J172" s="10">
        <f t="shared" si="43"/>
        <v>12.01341172045635</v>
      </c>
      <c r="K172" s="10">
        <f t="shared" si="43"/>
        <v>6.9870546912393507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3"/>
        <v>0</v>
      </c>
      <c r="I173" s="10">
        <f t="shared" si="43"/>
        <v>44.512031789107425</v>
      </c>
      <c r="J173" s="10">
        <f t="shared" si="43"/>
        <v>30.019286663198148</v>
      </c>
      <c r="K173" s="10">
        <f t="shared" si="43"/>
        <v>20.005508812363367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4">SUM(I167:I173)</f>
        <v>95.472296306781217</v>
      </c>
      <c r="J174" s="11">
        <f t="shared" si="44"/>
        <v>62.111973358809266</v>
      </c>
      <c r="K174" s="11">
        <f t="shared" si="44"/>
        <v>39.968338290094678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8195.6624262282912</v>
      </c>
      <c r="I179" s="10">
        <f t="shared" ref="I179:K179" si="45">I$36*($J$73*I45+(1-$J$73)*I59)+I$35*I146</f>
        <v>7237.8242750190102</v>
      </c>
      <c r="J179" s="10">
        <f t="shared" si="45"/>
        <v>6742.5227822726811</v>
      </c>
      <c r="K179" s="10">
        <f t="shared" si="45"/>
        <v>5994.2897964365793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6">H$36*($J$73*H46+(1-$J$73)*H60)+H$35*H147</f>
        <v>17143.987728334687</v>
      </c>
      <c r="I180" s="10">
        <f t="shared" si="46"/>
        <v>16058.95924073785</v>
      </c>
      <c r="J180" s="10">
        <f t="shared" si="46"/>
        <v>16019.932054960173</v>
      </c>
      <c r="K180" s="10">
        <f t="shared" si="46"/>
        <v>15429.037021020287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6"/>
        <v>2592.5054613579287</v>
      </c>
      <c r="I181" s="10">
        <f t="shared" si="46"/>
        <v>3405.1753684812329</v>
      </c>
      <c r="J181" s="10">
        <f t="shared" si="46"/>
        <v>3169.1833716455794</v>
      </c>
      <c r="K181" s="10">
        <f t="shared" si="46"/>
        <v>2903.3160226161735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6"/>
        <v>710.84827166265791</v>
      </c>
      <c r="I182" s="10">
        <f t="shared" si="46"/>
        <v>733.09364110527758</v>
      </c>
      <c r="J182" s="10">
        <f t="shared" si="46"/>
        <v>803.94439887722513</v>
      </c>
      <c r="K182" s="10">
        <f t="shared" si="46"/>
        <v>850.29550142020264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6"/>
        <v>585.40445901630642</v>
      </c>
      <c r="I183" s="10">
        <f t="shared" si="46"/>
        <v>574.01426215117499</v>
      </c>
      <c r="J183" s="10">
        <f t="shared" si="46"/>
        <v>517.52635567317861</v>
      </c>
      <c r="K183" s="10">
        <f t="shared" si="46"/>
        <v>449.69183278608097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6"/>
        <v>9868.2465948463087</v>
      </c>
      <c r="I184" s="10">
        <f t="shared" si="46"/>
        <v>8946.0965959458372</v>
      </c>
      <c r="J184" s="10">
        <f t="shared" si="46"/>
        <v>8506.1840787289693</v>
      </c>
      <c r="K184" s="10">
        <f t="shared" si="46"/>
        <v>7475.076491060543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6"/>
        <v>2759.7638782197305</v>
      </c>
      <c r="I185" s="10">
        <f t="shared" si="46"/>
        <v>6606.3260398512848</v>
      </c>
      <c r="J185" s="10">
        <f t="shared" si="46"/>
        <v>8406.40408805277</v>
      </c>
      <c r="K185" s="10">
        <f t="shared" si="46"/>
        <v>10561.921604792211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41833.48350925374</v>
      </c>
      <c r="I186" s="10">
        <f t="shared" si="46"/>
        <v>43561.489423291663</v>
      </c>
      <c r="J186" s="10">
        <f t="shared" si="46"/>
        <v>44165.697130210574</v>
      </c>
      <c r="K186" s="10">
        <f t="shared" si="46"/>
        <v>43663.628270132074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V130"/>
  <sheetViews>
    <sheetView zoomScaleNormal="100" workbookViewId="0">
      <pane ySplit="1" topLeftCell="A101" activePane="bottomLeft" state="frozen"/>
      <selection pane="bottomLeft" activeCell="C1" sqref="C1:C1048576"/>
    </sheetView>
  </sheetViews>
  <sheetFormatPr baseColWidth="10" defaultRowHeight="15"/>
  <cols>
    <col min="1" max="1" width="23.5703125" customWidth="1"/>
    <col min="2" max="2" width="16.7109375" customWidth="1"/>
    <col min="3" max="3" width="17.85546875" customWidth="1"/>
    <col min="4" max="4" width="19" customWidth="1"/>
    <col min="5" max="5" width="18.42578125" customWidth="1"/>
    <col min="6" max="6" width="19" customWidth="1"/>
    <col min="7" max="7" width="20.28515625" customWidth="1"/>
    <col min="8" max="8" width="17.5703125" customWidth="1"/>
    <col min="9" max="9" width="24.85546875" customWidth="1"/>
    <col min="10" max="10" width="19.7109375" customWidth="1"/>
    <col min="11" max="11" width="31.5703125" customWidth="1"/>
    <col min="12" max="12" width="17.28515625" bestFit="1" customWidth="1"/>
  </cols>
  <sheetData>
    <row r="1" spans="1:18" ht="90">
      <c r="A1" s="74" t="s">
        <v>325</v>
      </c>
      <c r="B1" s="104" t="s">
        <v>323</v>
      </c>
      <c r="C1" s="104" t="s">
        <v>324</v>
      </c>
      <c r="D1" s="104" t="s">
        <v>377</v>
      </c>
      <c r="E1" s="104" t="s">
        <v>326</v>
      </c>
      <c r="F1" s="104" t="s">
        <v>327</v>
      </c>
      <c r="G1" s="104" t="s">
        <v>328</v>
      </c>
    </row>
    <row r="2" spans="1:18">
      <c r="A2" s="516" t="s">
        <v>0</v>
      </c>
      <c r="B2" s="516"/>
      <c r="C2" s="516"/>
      <c r="D2" s="516"/>
      <c r="E2" s="516"/>
      <c r="F2" s="516"/>
      <c r="G2" s="516"/>
      <c r="L2" s="16" t="s">
        <v>207</v>
      </c>
      <c r="M2" s="521" t="s">
        <v>18</v>
      </c>
      <c r="N2" s="521"/>
      <c r="O2" s="521"/>
      <c r="P2" s="521"/>
    </row>
    <row r="3" spans="1:18">
      <c r="A3" s="6" t="s">
        <v>15</v>
      </c>
      <c r="B3" s="55">
        <v>0.09</v>
      </c>
      <c r="C3" s="55">
        <v>2.5832473286687414E-3</v>
      </c>
      <c r="D3" s="126">
        <v>143.27774761989451</v>
      </c>
      <c r="E3" s="338"/>
      <c r="F3" s="338"/>
      <c r="G3" s="339"/>
      <c r="L3" t="s">
        <v>208</v>
      </c>
      <c r="M3" s="16">
        <v>2020</v>
      </c>
      <c r="N3" s="16">
        <v>2030</v>
      </c>
      <c r="O3" s="16">
        <v>2040</v>
      </c>
      <c r="P3" s="16">
        <v>2050</v>
      </c>
      <c r="R3" t="s">
        <v>279</v>
      </c>
    </row>
    <row r="4" spans="1:18" ht="30">
      <c r="A4" s="6" t="s">
        <v>16</v>
      </c>
      <c r="B4" s="55">
        <v>0.42499999999999999</v>
      </c>
      <c r="C4" s="55">
        <v>0.18262447255667691</v>
      </c>
      <c r="D4" s="126">
        <v>143.46337556823548</v>
      </c>
      <c r="E4" s="338"/>
      <c r="F4" s="338"/>
      <c r="G4" s="339"/>
      <c r="H4" s="332" t="s">
        <v>329</v>
      </c>
      <c r="I4" s="332" t="s">
        <v>279</v>
      </c>
      <c r="J4" s="331" t="s">
        <v>331</v>
      </c>
      <c r="L4" s="6" t="s">
        <v>15</v>
      </c>
      <c r="M4" s="107">
        <v>270.95450323639699</v>
      </c>
      <c r="N4" s="107">
        <v>270.95450323639699</v>
      </c>
      <c r="O4" s="107">
        <v>270.95450323639699</v>
      </c>
      <c r="P4" s="107">
        <v>270.95450323639699</v>
      </c>
      <c r="R4" t="s">
        <v>280</v>
      </c>
    </row>
    <row r="5" spans="1:18" ht="30">
      <c r="A5" s="6" t="s">
        <v>68</v>
      </c>
      <c r="B5" s="55">
        <v>0.08</v>
      </c>
      <c r="C5" s="55">
        <v>0.13911656645249823</v>
      </c>
      <c r="D5" s="126">
        <v>120.33544112585447</v>
      </c>
      <c r="E5" s="338"/>
      <c r="F5" s="338"/>
      <c r="G5" s="339"/>
      <c r="H5" s="332" t="s">
        <v>330</v>
      </c>
      <c r="I5" s="517" t="s">
        <v>361</v>
      </c>
      <c r="J5" s="519" t="s">
        <v>395</v>
      </c>
      <c r="L5" s="6" t="s">
        <v>16</v>
      </c>
      <c r="M5" s="107">
        <v>205.21567582745899</v>
      </c>
      <c r="N5" s="107">
        <v>205.21567582745899</v>
      </c>
      <c r="O5" s="107">
        <v>205.21567582745899</v>
      </c>
      <c r="P5" s="107">
        <v>205.21567582745899</v>
      </c>
      <c r="R5" t="s">
        <v>280</v>
      </c>
    </row>
    <row r="6" spans="1:18">
      <c r="A6" s="6" t="s">
        <v>22</v>
      </c>
      <c r="B6" s="55">
        <v>1.2999999999999999E-2</v>
      </c>
      <c r="C6" s="55">
        <v>2.2541262662018457E-2</v>
      </c>
      <c r="D6" s="126">
        <v>105.48221754152573</v>
      </c>
      <c r="E6" s="338"/>
      <c r="F6" s="338"/>
      <c r="G6" s="339"/>
      <c r="H6" s="332" t="s">
        <v>334</v>
      </c>
      <c r="I6" s="518"/>
      <c r="J6" s="520"/>
      <c r="L6" s="6" t="s">
        <v>68</v>
      </c>
      <c r="M6" s="107">
        <v>150</v>
      </c>
      <c r="N6" s="107">
        <f>M6+(P6-M6)*(N3-M3)/30</f>
        <v>116.66666666666666</v>
      </c>
      <c r="O6" s="107">
        <f>N6+(Q6-N6)*(O3-N3)/30</f>
        <v>77.777777777777771</v>
      </c>
      <c r="P6" s="107">
        <v>50</v>
      </c>
      <c r="R6" t="s">
        <v>282</v>
      </c>
    </row>
    <row r="7" spans="1:18" ht="45">
      <c r="A7" s="6" t="s">
        <v>42</v>
      </c>
      <c r="B7" s="55">
        <v>1.2E-2</v>
      </c>
      <c r="C7" s="55">
        <v>2.2378153328661055E-2</v>
      </c>
      <c r="D7" s="126">
        <v>119.38786370580362</v>
      </c>
      <c r="E7" s="338"/>
      <c r="F7" s="338"/>
      <c r="G7" s="339"/>
      <c r="H7" s="332" t="s">
        <v>333</v>
      </c>
      <c r="I7" s="518"/>
      <c r="J7" s="520"/>
      <c r="L7" s="6" t="s">
        <v>22</v>
      </c>
      <c r="M7" s="107">
        <v>270.95450323639699</v>
      </c>
      <c r="N7" s="107">
        <v>270.95450323639699</v>
      </c>
      <c r="O7" s="107">
        <v>270.95450323639699</v>
      </c>
      <c r="P7" s="107">
        <v>270.95450323639699</v>
      </c>
      <c r="R7" t="s">
        <v>280</v>
      </c>
    </row>
    <row r="8" spans="1:18">
      <c r="A8" s="6" t="s">
        <v>25</v>
      </c>
      <c r="B8" s="55">
        <v>0.30599999999999999</v>
      </c>
      <c r="C8" s="55">
        <v>0.17192765066376023</v>
      </c>
      <c r="D8" s="126">
        <v>73</v>
      </c>
      <c r="E8" s="338"/>
      <c r="F8" s="338"/>
      <c r="G8" s="339"/>
      <c r="L8" s="6" t="s">
        <v>42</v>
      </c>
      <c r="M8" s="107">
        <v>0</v>
      </c>
      <c r="N8" s="107">
        <v>0</v>
      </c>
      <c r="O8" s="107">
        <v>0</v>
      </c>
      <c r="P8" s="107">
        <v>0</v>
      </c>
      <c r="R8" t="s">
        <v>280</v>
      </c>
    </row>
    <row r="9" spans="1:18">
      <c r="A9" s="6" t="s">
        <v>26</v>
      </c>
      <c r="B9" s="55">
        <v>7.2999999999999995E-2</v>
      </c>
      <c r="C9" s="55">
        <v>0.45882864700771653</v>
      </c>
      <c r="D9" s="126">
        <v>54.925506119527036</v>
      </c>
      <c r="E9" s="338"/>
      <c r="F9" s="338"/>
      <c r="G9" s="339"/>
      <c r="L9" s="6" t="s">
        <v>25</v>
      </c>
      <c r="M9" s="107">
        <v>79</v>
      </c>
      <c r="N9" s="107">
        <f>M9+(P9-M9)*(N3-M3)/30</f>
        <v>69.333333333333329</v>
      </c>
      <c r="O9" s="107">
        <f>N9+(Q9-N9)*(O3-N3)/30</f>
        <v>46.222222222222221</v>
      </c>
      <c r="P9" s="107">
        <v>50</v>
      </c>
      <c r="R9" t="s">
        <v>281</v>
      </c>
    </row>
    <row r="10" spans="1:18">
      <c r="B10" s="55">
        <f>SUM(B3:B9)</f>
        <v>0.99899999999999989</v>
      </c>
      <c r="C10" s="55">
        <f>SUM(C3:C9)</f>
        <v>1</v>
      </c>
      <c r="E10" s="338"/>
      <c r="F10" s="338"/>
      <c r="L10" s="6" t="s">
        <v>26</v>
      </c>
      <c r="M10" s="107">
        <v>79</v>
      </c>
      <c r="N10" s="107">
        <f>M10+(P10-M10)*(N3-M3)/30</f>
        <v>69.333333333333329</v>
      </c>
      <c r="O10" s="107">
        <f>N10+(Q10-N10)*(O3-N3)/30</f>
        <v>46.222222222222221</v>
      </c>
      <c r="P10" s="107">
        <v>50</v>
      </c>
      <c r="R10" t="s">
        <v>281</v>
      </c>
    </row>
    <row r="11" spans="1:18">
      <c r="A11" s="516" t="s">
        <v>48</v>
      </c>
      <c r="B11" s="516"/>
      <c r="C11" s="516"/>
      <c r="D11" s="516"/>
      <c r="E11" s="516"/>
      <c r="F11" s="516"/>
      <c r="G11" s="516"/>
    </row>
    <row r="12" spans="1:18">
      <c r="A12" s="6" t="s">
        <v>15</v>
      </c>
      <c r="B12" s="55">
        <v>0.08</v>
      </c>
      <c r="C12" s="55">
        <v>0</v>
      </c>
      <c r="D12" s="54">
        <v>213.18589628380153</v>
      </c>
      <c r="E12" s="338"/>
      <c r="F12" s="338"/>
      <c r="G12" s="339"/>
    </row>
    <row r="13" spans="1:18">
      <c r="A13" s="6" t="s">
        <v>16</v>
      </c>
      <c r="B13" s="55">
        <v>0.34499999999999997</v>
      </c>
      <c r="C13" s="55">
        <v>0.38923402073260943</v>
      </c>
      <c r="D13" s="54">
        <v>158.46053551606883</v>
      </c>
      <c r="E13" s="338"/>
      <c r="F13" s="338"/>
      <c r="G13" s="339"/>
      <c r="L13" s="16" t="s">
        <v>207</v>
      </c>
      <c r="M13" s="521" t="s">
        <v>19</v>
      </c>
      <c r="N13" s="521"/>
      <c r="O13" s="521"/>
      <c r="P13" s="521"/>
    </row>
    <row r="14" spans="1:18">
      <c r="A14" s="6" t="s">
        <v>68</v>
      </c>
      <c r="B14" s="55">
        <v>6.6000000000000003E-2</v>
      </c>
      <c r="C14" s="55">
        <v>6.6076657693018501E-2</v>
      </c>
      <c r="D14" s="54">
        <v>140.53752265291996</v>
      </c>
      <c r="E14" s="338"/>
      <c r="F14" s="338"/>
      <c r="G14" s="339"/>
      <c r="L14" t="s">
        <v>208</v>
      </c>
      <c r="M14" s="16">
        <v>2020</v>
      </c>
      <c r="N14" s="16">
        <v>2030</v>
      </c>
      <c r="O14" s="16">
        <v>2040</v>
      </c>
      <c r="P14" s="16">
        <v>2050</v>
      </c>
      <c r="R14" t="s">
        <v>279</v>
      </c>
    </row>
    <row r="15" spans="1:18">
      <c r="A15" s="6" t="s">
        <v>22</v>
      </c>
      <c r="B15" s="55">
        <v>1.4E-2</v>
      </c>
      <c r="C15" s="55">
        <v>1.4740928196769911E-2</v>
      </c>
      <c r="D15" s="54">
        <v>133.41371741069062</v>
      </c>
      <c r="E15" s="338"/>
      <c r="F15" s="338"/>
      <c r="G15" s="339"/>
      <c r="L15" s="6" t="s">
        <v>15</v>
      </c>
      <c r="M15" s="107">
        <v>270.95450323639699</v>
      </c>
      <c r="N15" s="107">
        <v>270.95450323639699</v>
      </c>
      <c r="O15" s="107">
        <v>270.95450323639699</v>
      </c>
      <c r="P15" s="107">
        <v>270.95450323639699</v>
      </c>
      <c r="R15" t="s">
        <v>280</v>
      </c>
    </row>
    <row r="16" spans="1:18">
      <c r="A16" s="6" t="s">
        <v>42</v>
      </c>
      <c r="B16" s="55">
        <v>2.7E-2</v>
      </c>
      <c r="C16" s="55">
        <v>2.5736644706610589E-2</v>
      </c>
      <c r="D16" s="54">
        <v>117.86752281231102</v>
      </c>
      <c r="E16" s="338"/>
      <c r="F16" s="338"/>
      <c r="G16" s="339"/>
      <c r="L16" s="6" t="s">
        <v>16</v>
      </c>
      <c r="M16" s="107">
        <v>205.21567582745899</v>
      </c>
      <c r="N16" s="107">
        <f>M16*0.85</f>
        <v>174.43332445334013</v>
      </c>
      <c r="O16" s="107">
        <f>N16*0.5</f>
        <v>87.216662226670067</v>
      </c>
      <c r="P16" s="107">
        <v>0</v>
      </c>
      <c r="R16" t="s">
        <v>280</v>
      </c>
    </row>
    <row r="17" spans="1:22">
      <c r="A17" s="6" t="s">
        <v>25</v>
      </c>
      <c r="B17" s="55">
        <v>0.36199999999999999</v>
      </c>
      <c r="C17" s="55">
        <v>8.0042733231366181E-2</v>
      </c>
      <c r="D17" s="54">
        <v>48</v>
      </c>
      <c r="E17" s="338"/>
      <c r="F17" s="338"/>
      <c r="G17" s="339"/>
      <c r="L17" s="6" t="s">
        <v>68</v>
      </c>
      <c r="M17" s="107">
        <v>150</v>
      </c>
      <c r="N17" s="107">
        <f>M17+(P17-M17)*(N14-M14)/30</f>
        <v>116.66666666666666</v>
      </c>
      <c r="O17" s="107">
        <f>N17+(Q17-N17)*(O14-N14)/30</f>
        <v>77.777777777777771</v>
      </c>
      <c r="P17" s="107">
        <f>M17/3</f>
        <v>50</v>
      </c>
      <c r="R17" t="s">
        <v>282</v>
      </c>
    </row>
    <row r="18" spans="1:22">
      <c r="A18" s="6" t="s">
        <v>26</v>
      </c>
      <c r="B18" s="55">
        <v>0.107</v>
      </c>
      <c r="C18" s="55">
        <v>0.42416901543962537</v>
      </c>
      <c r="D18" s="54">
        <v>45.999932951694888</v>
      </c>
      <c r="E18" s="338"/>
      <c r="F18" s="338"/>
      <c r="G18" s="339"/>
      <c r="L18" s="6" t="s">
        <v>22</v>
      </c>
      <c r="M18" s="107">
        <v>270.95450323639699</v>
      </c>
      <c r="N18" s="107">
        <v>270.95450323639699</v>
      </c>
      <c r="O18" s="107">
        <v>270.95450323639699</v>
      </c>
      <c r="P18" s="107">
        <v>270.95450323639699</v>
      </c>
      <c r="R18" t="s">
        <v>280</v>
      </c>
    </row>
    <row r="19" spans="1:22">
      <c r="B19" s="55">
        <f>SUM(B12:B18)</f>
        <v>1.0010000000000001</v>
      </c>
      <c r="C19" s="55">
        <f>SUM(C12:C18)</f>
        <v>1</v>
      </c>
      <c r="E19" s="338"/>
      <c r="F19" s="338"/>
      <c r="L19" s="6" t="s">
        <v>42</v>
      </c>
      <c r="M19" s="107">
        <v>0</v>
      </c>
      <c r="N19" s="107">
        <v>0</v>
      </c>
      <c r="O19" s="107">
        <v>0</v>
      </c>
      <c r="P19" s="107">
        <v>0</v>
      </c>
      <c r="R19" t="s">
        <v>280</v>
      </c>
    </row>
    <row r="20" spans="1:22">
      <c r="A20" s="516" t="s">
        <v>3</v>
      </c>
      <c r="B20" s="516"/>
      <c r="C20" s="516"/>
      <c r="D20" s="516"/>
      <c r="E20" s="516"/>
      <c r="F20" s="516"/>
      <c r="G20" s="516"/>
      <c r="L20" s="6" t="s">
        <v>25</v>
      </c>
      <c r="M20" s="107">
        <v>79</v>
      </c>
      <c r="N20" s="107">
        <f>M20+(P20-M20)*(N14-M14)/30</f>
        <v>66</v>
      </c>
      <c r="O20" s="107">
        <f>N20+(Q20-N20)*(O14-N14)/30</f>
        <v>44</v>
      </c>
      <c r="P20" s="107">
        <v>40</v>
      </c>
      <c r="R20" t="s">
        <v>281</v>
      </c>
    </row>
    <row r="21" spans="1:22">
      <c r="A21" s="6" t="s">
        <v>15</v>
      </c>
      <c r="B21" s="55">
        <v>0.184</v>
      </c>
      <c r="C21" s="55">
        <v>4.1021151124009851E-5</v>
      </c>
      <c r="D21" s="54">
        <v>101.20496711697824</v>
      </c>
      <c r="E21" s="338"/>
      <c r="F21" s="338"/>
      <c r="G21" s="339"/>
      <c r="L21" s="6" t="s">
        <v>26</v>
      </c>
      <c r="M21" s="107">
        <v>79</v>
      </c>
      <c r="N21" s="107">
        <f>M21+(P21-M21)*(N14-M14)/30</f>
        <v>66</v>
      </c>
      <c r="O21" s="107">
        <f>N21+(Q21-N21)*(O14-N14)/30</f>
        <v>44</v>
      </c>
      <c r="P21" s="107">
        <v>40</v>
      </c>
      <c r="R21" t="s">
        <v>281</v>
      </c>
    </row>
    <row r="22" spans="1:22">
      <c r="A22" s="6" t="s">
        <v>16</v>
      </c>
      <c r="B22" s="55">
        <v>0.39300000000000002</v>
      </c>
      <c r="C22" s="55">
        <v>0.24387457929202933</v>
      </c>
      <c r="D22" s="54">
        <v>108.58725762596659</v>
      </c>
      <c r="E22" s="338"/>
      <c r="F22" s="338"/>
      <c r="G22" s="339"/>
    </row>
    <row r="23" spans="1:22">
      <c r="A23" s="6" t="s">
        <v>68</v>
      </c>
      <c r="B23" s="55">
        <v>4.2000000000000003E-2</v>
      </c>
      <c r="C23" s="55">
        <v>3.8798739172946649E-2</v>
      </c>
      <c r="D23" s="54">
        <v>50.751277606007875</v>
      </c>
      <c r="E23" s="338"/>
      <c r="F23" s="338"/>
      <c r="G23" s="339"/>
    </row>
    <row r="24" spans="1:22">
      <c r="A24" s="6" t="s">
        <v>22</v>
      </c>
      <c r="B24" s="55">
        <v>1.7999999999999999E-2</v>
      </c>
      <c r="C24" s="55">
        <v>1.4755157309534661E-2</v>
      </c>
      <c r="D24" s="54">
        <v>47.976367366236985</v>
      </c>
      <c r="E24" s="338"/>
      <c r="F24" s="338"/>
      <c r="G24" s="339"/>
    </row>
    <row r="25" spans="1:22">
      <c r="A25" s="6" t="s">
        <v>42</v>
      </c>
      <c r="B25" s="55">
        <v>1.4E-2</v>
      </c>
      <c r="C25" s="55">
        <v>1.1548604741342878E-2</v>
      </c>
      <c r="D25" s="54">
        <v>55.138631733186472</v>
      </c>
      <c r="E25" s="338"/>
      <c r="F25" s="338"/>
      <c r="G25" s="339"/>
    </row>
    <row r="26" spans="1:22">
      <c r="A26" s="6" t="s">
        <v>25</v>
      </c>
      <c r="B26" s="55">
        <v>0.26200000000000001</v>
      </c>
      <c r="C26" s="55">
        <v>0.37540666329243721</v>
      </c>
      <c r="D26" s="54">
        <v>55</v>
      </c>
      <c r="E26" s="338"/>
      <c r="F26" s="338"/>
      <c r="G26" s="339"/>
      <c r="L26" t="s">
        <v>258</v>
      </c>
    </row>
    <row r="27" spans="1:22">
      <c r="A27" s="6" t="s">
        <v>26</v>
      </c>
      <c r="B27" s="55">
        <v>8.7999999999999995E-2</v>
      </c>
      <c r="C27" s="55">
        <v>0.31557523504058516</v>
      </c>
      <c r="D27" s="54">
        <v>50.720582443629688</v>
      </c>
      <c r="E27" s="338"/>
      <c r="F27" s="338"/>
      <c r="G27" s="339"/>
    </row>
    <row r="28" spans="1:22" ht="45">
      <c r="B28" s="55">
        <f>SUM(B21:B27)</f>
        <v>1.0010000000000001</v>
      </c>
      <c r="C28" s="55">
        <f>SUM(C21:C27)</f>
        <v>0.99999999999999989</v>
      </c>
      <c r="E28" s="338">
        <f>SUM(E21:E27)</f>
        <v>0</v>
      </c>
      <c r="F28" s="338"/>
      <c r="L28" s="262" t="s">
        <v>233</v>
      </c>
      <c r="M28" s="263" t="s">
        <v>131</v>
      </c>
      <c r="N28" s="263" t="s">
        <v>226</v>
      </c>
      <c r="O28" s="263" t="s">
        <v>227</v>
      </c>
      <c r="P28" s="263" t="s">
        <v>16</v>
      </c>
      <c r="Q28" s="263" t="s">
        <v>228</v>
      </c>
      <c r="R28" s="263" t="s">
        <v>229</v>
      </c>
      <c r="S28" s="263" t="s">
        <v>230</v>
      </c>
      <c r="T28" s="263" t="s">
        <v>79</v>
      </c>
      <c r="U28" s="263" t="s">
        <v>231</v>
      </c>
      <c r="V28" s="263" t="s">
        <v>17</v>
      </c>
    </row>
    <row r="29" spans="1:22">
      <c r="A29" s="516" t="s">
        <v>43</v>
      </c>
      <c r="B29" s="516"/>
      <c r="C29" s="516"/>
      <c r="D29" s="516"/>
      <c r="E29" s="516"/>
      <c r="F29" s="516"/>
      <c r="G29" s="516"/>
      <c r="K29">
        <v>2019</v>
      </c>
      <c r="L29" t="s">
        <v>232</v>
      </c>
      <c r="M29" s="220">
        <v>0.40432760307999993</v>
      </c>
      <c r="N29" s="220">
        <v>0</v>
      </c>
      <c r="O29" s="220">
        <v>32.93541245267501</v>
      </c>
      <c r="P29" s="220">
        <v>70.504948999999996</v>
      </c>
      <c r="Q29" s="220">
        <v>0</v>
      </c>
      <c r="R29" s="220">
        <v>0</v>
      </c>
      <c r="S29" s="220">
        <v>11.474464380852645</v>
      </c>
      <c r="T29" s="220">
        <v>137.76608700000003</v>
      </c>
      <c r="U29" s="220">
        <v>9.3080608682609078</v>
      </c>
      <c r="V29" s="264">
        <v>262.3933013048686</v>
      </c>
    </row>
    <row r="30" spans="1:22">
      <c r="A30" s="6" t="s">
        <v>15</v>
      </c>
      <c r="B30" s="55">
        <v>0.20200000000000001</v>
      </c>
      <c r="C30" s="55">
        <v>5.6584972145073235E-2</v>
      </c>
      <c r="D30" s="54">
        <v>106.20162996399759</v>
      </c>
      <c r="E30" s="338"/>
      <c r="F30" s="338"/>
      <c r="G30" s="339"/>
      <c r="K30">
        <v>2020</v>
      </c>
      <c r="L30" t="s">
        <v>232</v>
      </c>
      <c r="M30" s="220">
        <v>0.35525487623000002</v>
      </c>
      <c r="N30" s="220">
        <v>0</v>
      </c>
      <c r="O30" s="220">
        <v>32.886842187182005</v>
      </c>
      <c r="P30" s="220">
        <v>62.61667825</v>
      </c>
      <c r="Q30" s="220">
        <v>0</v>
      </c>
      <c r="R30" s="220">
        <v>0</v>
      </c>
      <c r="S30" s="220">
        <v>11.563797787814609</v>
      </c>
      <c r="T30" s="220">
        <v>127.63966800000001</v>
      </c>
      <c r="U30" s="220">
        <v>9.5330378016015072</v>
      </c>
      <c r="V30" s="264">
        <v>244.59527890282811</v>
      </c>
    </row>
    <row r="31" spans="1:22">
      <c r="A31" s="6" t="s">
        <v>16</v>
      </c>
      <c r="B31" s="55">
        <v>0.58799999999999997</v>
      </c>
      <c r="C31" s="55">
        <v>0.5881912261494745</v>
      </c>
      <c r="D31" s="54">
        <v>91.367679124341691</v>
      </c>
      <c r="E31" s="338"/>
      <c r="F31" s="338"/>
      <c r="G31" s="339"/>
      <c r="K31">
        <v>2021</v>
      </c>
      <c r="L31" t="s">
        <v>232</v>
      </c>
      <c r="M31" s="220">
        <v>0.42171975636000003</v>
      </c>
      <c r="N31" s="220">
        <v>0</v>
      </c>
      <c r="O31" s="220">
        <v>31.687498104564003</v>
      </c>
      <c r="P31" s="220">
        <v>75.02500775</v>
      </c>
      <c r="Q31" s="220">
        <v>0</v>
      </c>
      <c r="R31" s="220">
        <v>0</v>
      </c>
      <c r="S31" s="220">
        <v>13.583177007092438</v>
      </c>
      <c r="T31" s="220">
        <v>133.36982900000001</v>
      </c>
      <c r="U31" s="220">
        <v>10.601388055555557</v>
      </c>
      <c r="V31" s="264">
        <v>264.68861967357202</v>
      </c>
    </row>
    <row r="32" spans="1:22">
      <c r="A32" s="6" t="s">
        <v>68</v>
      </c>
      <c r="B32" s="55">
        <v>8.4000000000000005E-2</v>
      </c>
      <c r="C32" s="55">
        <v>8.0741361547576412E-2</v>
      </c>
      <c r="D32" s="54">
        <v>96.691613105737261</v>
      </c>
      <c r="E32" s="338"/>
      <c r="F32" s="338"/>
      <c r="G32" s="339"/>
    </row>
    <row r="33" spans="1:18">
      <c r="A33" s="6" t="s">
        <v>22</v>
      </c>
      <c r="B33" s="55">
        <v>1.2999999999999999E-2</v>
      </c>
      <c r="C33" s="55">
        <v>1.2731783152525081E-2</v>
      </c>
      <c r="D33" s="54">
        <v>98.676610154660196</v>
      </c>
      <c r="E33" s="338"/>
      <c r="F33" s="338"/>
      <c r="G33" s="339"/>
      <c r="O33" s="515" t="s">
        <v>255</v>
      </c>
      <c r="P33" s="515"/>
      <c r="Q33" s="16" t="s">
        <v>180</v>
      </c>
    </row>
    <row r="34" spans="1:18">
      <c r="A34" s="6" t="s">
        <v>42</v>
      </c>
      <c r="B34" s="55">
        <v>8.9999999999999993E-3</v>
      </c>
      <c r="C34" s="55">
        <v>9.0821371602788342E-3</v>
      </c>
      <c r="D34" s="54">
        <v>94.25487452068927</v>
      </c>
      <c r="E34" s="338"/>
      <c r="F34" s="338"/>
      <c r="G34" s="339"/>
      <c r="N34" s="8" t="s">
        <v>20</v>
      </c>
      <c r="O34" s="9">
        <v>2019</v>
      </c>
      <c r="P34" s="9" t="s">
        <v>256</v>
      </c>
      <c r="Q34" s="9" t="s">
        <v>257</v>
      </c>
      <c r="R34" t="s">
        <v>234</v>
      </c>
    </row>
    <row r="35" spans="1:18">
      <c r="A35" s="6" t="s">
        <v>25</v>
      </c>
      <c r="B35" s="55">
        <v>0.09</v>
      </c>
      <c r="C35" s="55">
        <v>2.1278159067402536E-2</v>
      </c>
      <c r="D35" s="54">
        <v>50</v>
      </c>
      <c r="E35" s="338"/>
      <c r="F35" s="338"/>
      <c r="G35" s="339"/>
      <c r="N35" s="124" t="s">
        <v>15</v>
      </c>
      <c r="O35" s="266">
        <f>Résultats!Y35</f>
        <v>22595.21120051519</v>
      </c>
      <c r="P35" s="220">
        <f>O35/1000</f>
        <v>22.595211200515191</v>
      </c>
      <c r="Q35" s="220">
        <f>O29</f>
        <v>32.93541245267501</v>
      </c>
      <c r="R35" s="220">
        <f>P35-Q35</f>
        <v>-10.340201252159819</v>
      </c>
    </row>
    <row r="36" spans="1:18">
      <c r="A36" s="6" t="s">
        <v>26</v>
      </c>
      <c r="B36" s="55">
        <v>1.2999999999999999E-2</v>
      </c>
      <c r="C36" s="55">
        <v>0.23139036077766945</v>
      </c>
      <c r="D36" s="54">
        <v>53.512424377058124</v>
      </c>
      <c r="E36" s="338"/>
      <c r="F36" s="338"/>
      <c r="G36" s="339"/>
      <c r="N36" s="124" t="s">
        <v>16</v>
      </c>
      <c r="O36" s="266">
        <f>Résultats!Y36</f>
        <v>72856.92088779372</v>
      </c>
      <c r="P36" s="220">
        <f>(O38+O36)/1000</f>
        <v>74.129499568227757</v>
      </c>
      <c r="Q36" s="220">
        <f>P29</f>
        <v>70.504948999999996</v>
      </c>
      <c r="R36" s="220">
        <f t="shared" ref="R36:R40" si="0">P36-Q36</f>
        <v>3.624550568227761</v>
      </c>
    </row>
    <row r="37" spans="1:18">
      <c r="B37" s="55">
        <f>SUM(B30:B36)</f>
        <v>0.999</v>
      </c>
      <c r="C37" s="55">
        <f>SUM(C30:C36)</f>
        <v>1</v>
      </c>
      <c r="E37" s="338"/>
      <c r="F37" s="338"/>
      <c r="N37" s="124" t="s">
        <v>21</v>
      </c>
      <c r="O37" s="266">
        <f>Résultats!Y37</f>
        <v>8956.0754726763953</v>
      </c>
      <c r="P37" s="220">
        <f t="shared" ref="P37:P40" si="1">O37/1000</f>
        <v>8.956075472676396</v>
      </c>
      <c r="Q37" s="220">
        <f>U29</f>
        <v>9.3080608682609078</v>
      </c>
      <c r="R37" s="220">
        <f t="shared" si="0"/>
        <v>-0.35198539558451181</v>
      </c>
    </row>
    <row r="38" spans="1:18">
      <c r="A38" s="516" t="s">
        <v>1</v>
      </c>
      <c r="B38" s="516"/>
      <c r="C38" s="516"/>
      <c r="D38" s="516"/>
      <c r="E38" s="516"/>
      <c r="F38" s="516"/>
      <c r="G38" s="516"/>
      <c r="N38" s="124" t="s">
        <v>22</v>
      </c>
      <c r="O38" s="266">
        <f>Résultats!Y38</f>
        <v>1272.578680434025</v>
      </c>
      <c r="P38" s="220"/>
      <c r="R38" s="220"/>
    </row>
    <row r="39" spans="1:18">
      <c r="A39" s="6" t="s">
        <v>15</v>
      </c>
      <c r="B39" s="55"/>
      <c r="C39" s="55"/>
      <c r="D39" s="54"/>
      <c r="E39" s="338"/>
      <c r="F39" s="338"/>
      <c r="G39" s="339"/>
      <c r="N39" s="124" t="s">
        <v>42</v>
      </c>
      <c r="O39" s="266">
        <f>Résultats!Y39</f>
        <v>1509.2890182714993</v>
      </c>
      <c r="P39" s="220">
        <f t="shared" si="1"/>
        <v>1.5092890182714993</v>
      </c>
      <c r="Q39" s="220">
        <f>S29</f>
        <v>11.474464380852645</v>
      </c>
      <c r="R39" s="220">
        <f>P39-Q39</f>
        <v>-9.9651753625811459</v>
      </c>
    </row>
    <row r="40" spans="1:18">
      <c r="A40" s="6" t="s">
        <v>16</v>
      </c>
      <c r="B40" s="55"/>
      <c r="C40" s="55"/>
      <c r="D40" s="54"/>
      <c r="E40" s="338"/>
      <c r="F40" s="338"/>
      <c r="G40" s="339"/>
      <c r="N40" s="124" t="s">
        <v>200</v>
      </c>
      <c r="O40" s="266">
        <f>Résultats!Y40</f>
        <v>145662.83125130209</v>
      </c>
      <c r="P40" s="220">
        <f t="shared" si="1"/>
        <v>145.66283125130209</v>
      </c>
      <c r="Q40" s="220">
        <f>T29</f>
        <v>137.76608700000003</v>
      </c>
      <c r="R40" s="220">
        <f t="shared" si="0"/>
        <v>7.8967442513020671</v>
      </c>
    </row>
    <row r="41" spans="1:18">
      <c r="A41" s="6" t="s">
        <v>68</v>
      </c>
      <c r="B41" s="55"/>
      <c r="C41" s="55"/>
      <c r="D41" s="54"/>
      <c r="E41" s="338"/>
      <c r="F41" s="338"/>
      <c r="G41" s="339"/>
      <c r="N41" s="231" t="s">
        <v>17</v>
      </c>
      <c r="O41" s="267">
        <f>SUM(O35:O40)</f>
        <v>252852.90651099294</v>
      </c>
      <c r="P41" s="220">
        <f>SUM(P35:P40)</f>
        <v>252.85290651099297</v>
      </c>
      <c r="Q41" s="220">
        <f>SUM(Q35:Q40)</f>
        <v>261.98897370178861</v>
      </c>
      <c r="R41" s="220">
        <f>P41-Q41</f>
        <v>-9.136067190795643</v>
      </c>
    </row>
    <row r="42" spans="1:18">
      <c r="A42" s="6" t="s">
        <v>22</v>
      </c>
      <c r="B42" s="55"/>
      <c r="C42" s="55"/>
      <c r="D42" s="54"/>
      <c r="E42" s="338"/>
      <c r="F42" s="338"/>
      <c r="G42" s="339"/>
    </row>
    <row r="43" spans="1:18">
      <c r="A43" s="6" t="s">
        <v>42</v>
      </c>
      <c r="B43" s="55"/>
      <c r="C43" s="55"/>
      <c r="D43" s="54"/>
      <c r="E43" s="338"/>
      <c r="F43" s="338"/>
      <c r="G43" s="339"/>
    </row>
    <row r="44" spans="1:18">
      <c r="A44" s="6" t="s">
        <v>25</v>
      </c>
      <c r="B44" s="55"/>
      <c r="C44" s="55"/>
      <c r="D44" s="54"/>
      <c r="E44" s="338"/>
      <c r="F44" s="338"/>
      <c r="G44" s="339"/>
    </row>
    <row r="45" spans="1:18">
      <c r="A45" s="6" t="s">
        <v>26</v>
      </c>
      <c r="B45" s="55"/>
      <c r="C45" s="55"/>
      <c r="D45" s="54"/>
      <c r="E45" s="338"/>
      <c r="F45" s="338"/>
      <c r="G45" s="339"/>
    </row>
    <row r="46" spans="1:18">
      <c r="B46" s="55"/>
      <c r="C46" s="55"/>
      <c r="E46" s="338"/>
      <c r="F46" s="338"/>
    </row>
    <row r="47" spans="1:18">
      <c r="A47" s="516" t="s">
        <v>45</v>
      </c>
      <c r="B47" s="516"/>
      <c r="C47" s="516"/>
      <c r="D47" s="516"/>
      <c r="E47" s="516"/>
      <c r="F47" s="516"/>
      <c r="G47" s="516"/>
    </row>
    <row r="48" spans="1:18">
      <c r="A48" s="6" t="s">
        <v>15</v>
      </c>
      <c r="B48" s="55">
        <v>0.158</v>
      </c>
      <c r="C48" s="55">
        <v>1.1068404808735261E-2</v>
      </c>
      <c r="D48" s="54">
        <v>134.52715105091531</v>
      </c>
      <c r="E48" s="338"/>
      <c r="F48" s="338"/>
      <c r="G48" s="339"/>
    </row>
    <row r="49" spans="1:7">
      <c r="A49" s="6" t="s">
        <v>16</v>
      </c>
      <c r="B49" s="55">
        <v>0.52700000000000002</v>
      </c>
      <c r="C49" s="55">
        <v>0.44151844048973238</v>
      </c>
      <c r="D49" s="54">
        <v>111.57561660808248</v>
      </c>
      <c r="E49" s="338"/>
      <c r="F49" s="338"/>
      <c r="G49" s="339"/>
    </row>
    <row r="50" spans="1:7">
      <c r="A50" s="6" t="s">
        <v>68</v>
      </c>
      <c r="B50" s="55">
        <v>8.5999999999999993E-2</v>
      </c>
      <c r="C50" s="55">
        <v>0.19276276753541544</v>
      </c>
      <c r="D50" s="54">
        <v>113.21212196009803</v>
      </c>
      <c r="E50" s="338"/>
      <c r="F50" s="338"/>
      <c r="G50" s="339"/>
    </row>
    <row r="51" spans="1:7">
      <c r="A51" s="6" t="s">
        <v>22</v>
      </c>
      <c r="B51" s="55">
        <v>1.4999999999999999E-2</v>
      </c>
      <c r="C51" s="55">
        <v>3.6575030316210601E-2</v>
      </c>
      <c r="D51" s="54">
        <v>99.969165808532892</v>
      </c>
      <c r="E51" s="338"/>
      <c r="F51" s="338"/>
      <c r="G51" s="339"/>
    </row>
    <row r="52" spans="1:7">
      <c r="A52" s="6" t="s">
        <v>42</v>
      </c>
      <c r="B52" s="55">
        <v>1.2999999999999999E-2</v>
      </c>
      <c r="C52" s="55">
        <v>3.1736685713051743E-2</v>
      </c>
      <c r="D52" s="54">
        <v>124.11158383895697</v>
      </c>
      <c r="E52" s="338"/>
      <c r="F52" s="338"/>
      <c r="G52" s="339"/>
    </row>
    <row r="53" spans="1:7">
      <c r="A53" s="6" t="s">
        <v>25</v>
      </c>
      <c r="B53" s="55">
        <v>0.16900000000000001</v>
      </c>
      <c r="C53" s="55">
        <v>8.5410409228175652E-2</v>
      </c>
      <c r="D53" s="54">
        <v>69</v>
      </c>
      <c r="E53" s="338"/>
      <c r="F53" s="338"/>
      <c r="G53" s="339"/>
    </row>
    <row r="54" spans="1:7">
      <c r="A54" s="6" t="s">
        <v>26</v>
      </c>
      <c r="B54" s="55">
        <v>3.2000000000000001E-2</v>
      </c>
      <c r="C54" s="55">
        <v>0.20092826190867891</v>
      </c>
      <c r="D54" s="54">
        <v>44.991916579518737</v>
      </c>
      <c r="E54" s="338"/>
      <c r="F54" s="338"/>
      <c r="G54" s="339"/>
    </row>
    <row r="55" spans="1:7">
      <c r="B55" s="55">
        <f>SUM(B48:B54)</f>
        <v>1</v>
      </c>
      <c r="C55" s="55">
        <f>SUM(C48:C54)</f>
        <v>1</v>
      </c>
      <c r="E55" s="338"/>
      <c r="F55" s="338"/>
    </row>
    <row r="56" spans="1:7">
      <c r="A56" s="516" t="s">
        <v>44</v>
      </c>
      <c r="B56" s="516"/>
      <c r="C56" s="516"/>
      <c r="D56" s="516"/>
      <c r="E56" s="516"/>
      <c r="F56" s="516"/>
      <c r="G56" s="516"/>
    </row>
    <row r="57" spans="1:7">
      <c r="A57" s="6" t="s">
        <v>15</v>
      </c>
      <c r="B57" s="55">
        <v>0.115</v>
      </c>
      <c r="C57" s="55">
        <v>1.9344819899405983E-2</v>
      </c>
      <c r="D57" s="54">
        <v>119.26323797509556</v>
      </c>
      <c r="E57" s="338"/>
      <c r="F57" s="338"/>
      <c r="G57" s="339"/>
    </row>
    <row r="58" spans="1:7">
      <c r="A58" s="6" t="s">
        <v>16</v>
      </c>
      <c r="B58" s="55">
        <v>0.47399999999999998</v>
      </c>
      <c r="C58" s="55">
        <v>0.52399466367463399</v>
      </c>
      <c r="D58" s="54">
        <v>173.97195732387533</v>
      </c>
      <c r="E58" s="338"/>
      <c r="F58" s="338"/>
      <c r="G58" s="339"/>
    </row>
    <row r="59" spans="1:7">
      <c r="A59" s="6" t="s">
        <v>68</v>
      </c>
      <c r="B59" s="55">
        <v>7.4999999999999997E-2</v>
      </c>
      <c r="C59" s="55">
        <v>6.7035227617333368E-2</v>
      </c>
      <c r="D59" s="54">
        <v>46.324694613006521</v>
      </c>
      <c r="E59" s="338"/>
      <c r="F59" s="338"/>
      <c r="G59" s="339"/>
    </row>
    <row r="60" spans="1:7">
      <c r="A60" s="6" t="s">
        <v>22</v>
      </c>
      <c r="B60" s="55">
        <v>8.9999999999999993E-3</v>
      </c>
      <c r="C60" s="55">
        <v>7.5158331919586794E-3</v>
      </c>
      <c r="D60" s="54">
        <v>45.319861012282082</v>
      </c>
      <c r="E60" s="338"/>
      <c r="F60" s="338"/>
      <c r="G60" s="339"/>
    </row>
    <row r="61" spans="1:7">
      <c r="A61" s="6" t="s">
        <v>42</v>
      </c>
      <c r="B61" s="55">
        <v>8.0000000000000002E-3</v>
      </c>
      <c r="C61" s="55">
        <v>6.8921199229294077E-3</v>
      </c>
      <c r="D61" s="54">
        <v>47.018121478275241</v>
      </c>
      <c r="E61" s="338"/>
      <c r="F61" s="338"/>
      <c r="G61" s="339"/>
    </row>
    <row r="62" spans="1:7">
      <c r="A62" s="6" t="s">
        <v>25</v>
      </c>
      <c r="B62" s="55">
        <v>0.255</v>
      </c>
      <c r="C62" s="55">
        <v>0.16762986130287999</v>
      </c>
      <c r="D62" s="54">
        <v>64</v>
      </c>
      <c r="E62" s="338"/>
      <c r="F62" s="338"/>
      <c r="G62" s="339"/>
    </row>
    <row r="63" spans="1:7">
      <c r="A63" s="6" t="s">
        <v>26</v>
      </c>
      <c r="B63" s="55">
        <v>6.4000000000000001E-2</v>
      </c>
      <c r="C63" s="55">
        <v>0.20758747439085867</v>
      </c>
      <c r="D63" s="54">
        <v>45.44029309187578</v>
      </c>
      <c r="E63" s="338"/>
      <c r="F63" s="338"/>
      <c r="G63" s="339"/>
    </row>
    <row r="64" spans="1:7">
      <c r="B64" s="55">
        <f>SUM(B57:B63)</f>
        <v>1</v>
      </c>
      <c r="C64" s="55">
        <f>SUM(C57:C63)</f>
        <v>1</v>
      </c>
      <c r="E64" s="338"/>
      <c r="F64" s="338"/>
    </row>
    <row r="65" spans="1:20">
      <c r="A65" s="516" t="s">
        <v>4</v>
      </c>
      <c r="B65" s="516"/>
      <c r="C65" s="516"/>
      <c r="D65" s="516"/>
      <c r="E65" s="516"/>
      <c r="F65" s="516"/>
      <c r="G65" s="516"/>
    </row>
    <row r="66" spans="1:20">
      <c r="A66" s="6" t="s">
        <v>15</v>
      </c>
      <c r="B66" s="55">
        <v>0.19600000000000001</v>
      </c>
      <c r="C66" s="55">
        <v>8.566654622007622E-4</v>
      </c>
      <c r="D66" s="54">
        <v>144.57255544511395</v>
      </c>
      <c r="E66" s="338"/>
      <c r="F66" s="338"/>
      <c r="G66" s="339"/>
    </row>
    <row r="67" spans="1:20">
      <c r="A67" s="6" t="s">
        <v>16</v>
      </c>
      <c r="B67" s="55">
        <v>0.41</v>
      </c>
      <c r="C67" s="55">
        <v>0.12133733261175747</v>
      </c>
      <c r="D67" s="54">
        <v>150.1184403986914</v>
      </c>
      <c r="E67" s="338"/>
      <c r="F67" s="338"/>
      <c r="G67" s="339"/>
    </row>
    <row r="68" spans="1:20">
      <c r="A68" s="6" t="s">
        <v>68</v>
      </c>
      <c r="B68" s="55">
        <v>6.2E-2</v>
      </c>
      <c r="C68" s="55">
        <v>0.13508370055286556</v>
      </c>
      <c r="D68" s="54">
        <v>125.25776108181995</v>
      </c>
      <c r="E68" s="338"/>
      <c r="F68" s="338"/>
      <c r="G68" s="339"/>
    </row>
    <row r="69" spans="1:20">
      <c r="A69" s="6" t="s">
        <v>22</v>
      </c>
      <c r="B69" s="55">
        <v>1.7000000000000001E-2</v>
      </c>
      <c r="C69" s="55">
        <v>2.0851083900283521E-2</v>
      </c>
      <c r="D69" s="54">
        <v>123.43517909796911</v>
      </c>
      <c r="E69" s="338"/>
      <c r="F69" s="338"/>
      <c r="G69" s="339"/>
    </row>
    <row r="70" spans="1:20">
      <c r="A70" s="6" t="s">
        <v>42</v>
      </c>
      <c r="B70" s="55">
        <v>1.4E-2</v>
      </c>
      <c r="C70" s="55">
        <v>2.1412462228474215E-2</v>
      </c>
      <c r="D70" s="54">
        <v>127.55201342600625</v>
      </c>
      <c r="E70" s="338"/>
      <c r="F70" s="338"/>
      <c r="G70" s="339"/>
    </row>
    <row r="71" spans="1:20">
      <c r="A71" s="6" t="s">
        <v>25</v>
      </c>
      <c r="B71" s="55">
        <v>0.23599999999999999</v>
      </c>
      <c r="C71" s="55">
        <v>0.23233774569965782</v>
      </c>
      <c r="D71" s="54">
        <v>61</v>
      </c>
      <c r="E71" s="338"/>
      <c r="F71" s="338"/>
      <c r="G71" s="339"/>
    </row>
    <row r="72" spans="1:20">
      <c r="A72" s="6" t="s">
        <v>26</v>
      </c>
      <c r="B72" s="55">
        <v>6.6000000000000003E-2</v>
      </c>
      <c r="C72" s="55">
        <v>0.46812100954476071</v>
      </c>
      <c r="D72" s="54">
        <v>47.633650234662667</v>
      </c>
      <c r="E72" s="338"/>
      <c r="F72" s="338"/>
      <c r="G72" s="339"/>
    </row>
    <row r="73" spans="1:20">
      <c r="B73" s="55">
        <f>SUM(B66:B72)</f>
        <v>1.0009999999999999</v>
      </c>
      <c r="C73" s="55">
        <f>SUM(C66:C72)</f>
        <v>1</v>
      </c>
      <c r="E73" s="338"/>
      <c r="F73" s="338"/>
    </row>
    <row r="75" spans="1:20">
      <c r="A75" s="514" t="s">
        <v>360</v>
      </c>
      <c r="B75" s="514"/>
      <c r="C75" s="514"/>
      <c r="D75" s="514"/>
    </row>
    <row r="76" spans="1:20">
      <c r="B76" s="361">
        <v>1995</v>
      </c>
      <c r="C76" s="361">
        <v>2000</v>
      </c>
      <c r="D76" s="361">
        <v>2005</v>
      </c>
      <c r="E76" s="361">
        <v>2010</v>
      </c>
      <c r="F76" s="361">
        <v>2015</v>
      </c>
      <c r="G76" s="362">
        <v>2020</v>
      </c>
      <c r="H76" s="336"/>
      <c r="I76" s="137" t="s">
        <v>336</v>
      </c>
      <c r="J76" s="138" t="s">
        <v>74</v>
      </c>
      <c r="K76" s="138" t="s">
        <v>75</v>
      </c>
      <c r="L76" s="138" t="s">
        <v>80</v>
      </c>
      <c r="Q76" s="131"/>
      <c r="R76" s="131"/>
      <c r="S76" s="131"/>
      <c r="T76" s="131"/>
    </row>
    <row r="77" spans="1:20">
      <c r="A77" s="132" t="s">
        <v>76</v>
      </c>
      <c r="B77" s="255">
        <v>144.20029880566577</v>
      </c>
      <c r="C77" s="255">
        <v>146.2666517582841</v>
      </c>
      <c r="D77" s="255">
        <v>136.57421239289641</v>
      </c>
      <c r="E77" s="255">
        <v>128.44733116483138</v>
      </c>
      <c r="F77" s="255">
        <v>119.12615737447211</v>
      </c>
      <c r="G77" s="363">
        <v>106.21213396312017</v>
      </c>
      <c r="H77" s="334"/>
      <c r="I77" s="134">
        <f>G77/E77-1</f>
        <v>-0.17310750640025108</v>
      </c>
      <c r="J77" s="135">
        <f>1+I77</f>
        <v>0.82689249359974892</v>
      </c>
      <c r="K77" s="303">
        <f>J77^0.1</f>
        <v>0.98117145514094439</v>
      </c>
      <c r="L77" s="318">
        <f>K77-1</f>
        <v>-1.8828544859055607E-2</v>
      </c>
      <c r="Q77" s="131"/>
      <c r="R77" s="131"/>
      <c r="S77" s="131"/>
      <c r="T77" s="131"/>
    </row>
    <row r="78" spans="1:20">
      <c r="A78" s="132" t="s">
        <v>77</v>
      </c>
      <c r="B78" s="255">
        <v>168.53255767943179</v>
      </c>
      <c r="C78" s="255">
        <v>172.66010876844641</v>
      </c>
      <c r="D78" s="255">
        <v>166.38819521289994</v>
      </c>
      <c r="E78" s="255">
        <v>151.95478449153515</v>
      </c>
      <c r="F78" s="255">
        <v>135.1534989915672</v>
      </c>
      <c r="G78" s="363">
        <v>121.74809106277199</v>
      </c>
      <c r="H78" s="334"/>
      <c r="I78" s="134">
        <f t="shared" ref="I78:I81" si="2">G78/E78-1</f>
        <v>-0.19878737961321558</v>
      </c>
      <c r="J78" s="135">
        <f t="shared" ref="J78:J80" si="3">1+I78</f>
        <v>0.80121262038678442</v>
      </c>
      <c r="K78" s="303">
        <f t="shared" ref="K78:K81" si="4">J78^0.1</f>
        <v>0.9780809001820524</v>
      </c>
      <c r="L78" s="318">
        <f t="shared" ref="L78:L80" si="5">K78-1</f>
        <v>-2.1919099817947596E-2</v>
      </c>
      <c r="Q78" s="131"/>
      <c r="R78" s="131"/>
      <c r="S78" s="131"/>
      <c r="T78" s="131"/>
    </row>
    <row r="79" spans="1:20">
      <c r="A79" s="132" t="s">
        <v>78</v>
      </c>
      <c r="B79" s="255">
        <v>131.49727536036906</v>
      </c>
      <c r="C79" s="255">
        <v>129.25631328722389</v>
      </c>
      <c r="D79" s="255">
        <v>121.23847603268428</v>
      </c>
      <c r="E79" s="255">
        <v>116.16490775888079</v>
      </c>
      <c r="F79" s="255">
        <v>109.392662901202</v>
      </c>
      <c r="G79" s="363">
        <v>102.77327280480316</v>
      </c>
      <c r="H79" s="334"/>
      <c r="I79" s="134">
        <f t="shared" si="2"/>
        <v>-0.11528124295397502</v>
      </c>
      <c r="J79" s="135">
        <f t="shared" si="3"/>
        <v>0.88471875704602498</v>
      </c>
      <c r="K79" s="303">
        <f t="shared" si="4"/>
        <v>0.98782616080973285</v>
      </c>
      <c r="L79" s="318">
        <f t="shared" si="5"/>
        <v>-1.2173839190267155E-2</v>
      </c>
      <c r="Q79" s="131"/>
      <c r="R79" s="131"/>
      <c r="S79" s="131"/>
      <c r="T79" s="131"/>
    </row>
    <row r="80" spans="1:20">
      <c r="A80" s="132" t="s">
        <v>79</v>
      </c>
      <c r="B80" s="133">
        <v>87.004717391657124</v>
      </c>
      <c r="C80" s="133">
        <v>87.395910050408347</v>
      </c>
      <c r="D80" s="133">
        <v>80.416397613434597</v>
      </c>
      <c r="E80" s="133">
        <v>74.878682749879246</v>
      </c>
      <c r="F80" s="133">
        <v>67.802754050118168</v>
      </c>
      <c r="G80" s="364">
        <v>55.958701433044055</v>
      </c>
      <c r="H80" s="335"/>
      <c r="I80" s="134">
        <f t="shared" si="2"/>
        <v>-0.25267513559278931</v>
      </c>
      <c r="J80" s="136">
        <f t="shared" si="3"/>
        <v>0.74732486440721069</v>
      </c>
      <c r="K80" s="303">
        <f t="shared" si="4"/>
        <v>0.97129453057288506</v>
      </c>
      <c r="L80" s="319">
        <f t="shared" si="5"/>
        <v>-2.8705469427114938E-2</v>
      </c>
      <c r="Q80" s="131"/>
      <c r="R80" s="131"/>
      <c r="S80" s="131"/>
      <c r="T80" s="131"/>
    </row>
    <row r="81" spans="1:12">
      <c r="B81" s="255">
        <f t="shared" ref="B81:G81" si="6">SUM(B77:B80)</f>
        <v>531.23484923712374</v>
      </c>
      <c r="C81" s="255">
        <f t="shared" si="6"/>
        <v>535.57898386436273</v>
      </c>
      <c r="D81" s="255">
        <f t="shared" si="6"/>
        <v>504.61728125191519</v>
      </c>
      <c r="E81" s="255">
        <f t="shared" si="6"/>
        <v>471.44570616512652</v>
      </c>
      <c r="F81" s="255">
        <f>SUM(F77:F80)</f>
        <v>431.47507331735949</v>
      </c>
      <c r="G81" s="255">
        <f t="shared" si="6"/>
        <v>386.69219926373938</v>
      </c>
      <c r="H81" s="255"/>
      <c r="I81" s="134">
        <f t="shared" si="2"/>
        <v>-0.17977363202816343</v>
      </c>
      <c r="J81" s="136">
        <f t="shared" ref="J81" si="7">1+I81</f>
        <v>0.82022636797183657</v>
      </c>
      <c r="K81" s="303">
        <f t="shared" si="4"/>
        <v>0.98037758389684593</v>
      </c>
      <c r="L81" s="319">
        <f t="shared" ref="L81" si="8">K81-1</f>
        <v>-1.9622416103154072E-2</v>
      </c>
    </row>
    <row r="82" spans="1:12">
      <c r="A82" s="368" t="s">
        <v>364</v>
      </c>
    </row>
    <row r="83" spans="1:12">
      <c r="L83" s="74"/>
    </row>
    <row r="85" spans="1:12" ht="15.75">
      <c r="A85" s="292" t="s">
        <v>283</v>
      </c>
      <c r="B85" s="293"/>
      <c r="C85" s="293"/>
      <c r="D85" s="131"/>
      <c r="E85" s="131"/>
      <c r="F85" s="131"/>
      <c r="G85" s="337"/>
      <c r="H85" s="131"/>
      <c r="I85" s="131"/>
      <c r="J85" s="131"/>
      <c r="K85" s="131"/>
      <c r="L85" s="131"/>
    </row>
    <row r="86" spans="1:12">
      <c r="A86" s="131"/>
      <c r="B86" s="293"/>
      <c r="C86" s="293"/>
      <c r="D86" s="131"/>
      <c r="E86" s="294"/>
      <c r="F86" s="294"/>
      <c r="G86" s="131"/>
      <c r="H86" s="131" t="s">
        <v>284</v>
      </c>
      <c r="I86" s="131"/>
      <c r="J86" s="131"/>
      <c r="K86" s="131"/>
    </row>
    <row r="87" spans="1:12">
      <c r="A87" s="365" t="s">
        <v>285</v>
      </c>
      <c r="B87" s="366">
        <v>1990</v>
      </c>
      <c r="C87" s="366">
        <v>1995</v>
      </c>
      <c r="D87" s="366">
        <v>2000</v>
      </c>
      <c r="E87" s="366">
        <v>2005</v>
      </c>
      <c r="F87" s="366">
        <v>2010</v>
      </c>
      <c r="G87" s="366">
        <v>2015</v>
      </c>
      <c r="H87" s="366">
        <v>2021</v>
      </c>
      <c r="I87" s="131"/>
      <c r="J87" s="131"/>
      <c r="K87" s="131"/>
      <c r="L87" s="131">
        <v>2021</v>
      </c>
    </row>
    <row r="88" spans="1:12">
      <c r="A88" s="295" t="s">
        <v>76</v>
      </c>
      <c r="B88" s="296">
        <v>47.551331056918293</v>
      </c>
      <c r="C88" s="296">
        <v>55.909669220699968</v>
      </c>
      <c r="D88" s="296">
        <v>65.172740116307438</v>
      </c>
      <c r="E88" s="296">
        <v>69.089794014273409</v>
      </c>
      <c r="F88" s="296">
        <v>72.0224629382882</v>
      </c>
      <c r="G88" s="296">
        <v>71.062475043151011</v>
      </c>
      <c r="H88" s="296">
        <v>64.827811411054228</v>
      </c>
      <c r="I88" s="131"/>
      <c r="J88" s="131"/>
      <c r="K88" s="131"/>
      <c r="L88" s="131">
        <v>64.827811411054228</v>
      </c>
    </row>
    <row r="89" spans="1:12">
      <c r="A89" s="295" t="s">
        <v>77</v>
      </c>
      <c r="B89" s="296">
        <v>48.153213440620156</v>
      </c>
      <c r="C89" s="296">
        <v>43.697644780433826</v>
      </c>
      <c r="D89" s="296">
        <v>43.757611498699482</v>
      </c>
      <c r="E89" s="296">
        <v>39.945124003700919</v>
      </c>
      <c r="F89" s="296">
        <v>33.363774316458318</v>
      </c>
      <c r="G89" s="296">
        <v>27.751703026362769</v>
      </c>
      <c r="H89" s="296">
        <v>24.211952086576176</v>
      </c>
      <c r="I89" s="131"/>
      <c r="J89" s="131"/>
      <c r="K89" s="131"/>
      <c r="L89" s="131">
        <v>24.211952086576176</v>
      </c>
    </row>
    <row r="90" spans="1:12">
      <c r="A90" s="295" t="s">
        <v>78</v>
      </c>
      <c r="B90" s="296">
        <v>14.598803135801351</v>
      </c>
      <c r="C90" s="296">
        <v>14.91931314401527</v>
      </c>
      <c r="D90" s="296">
        <v>15.526643266808657</v>
      </c>
      <c r="E90" s="296">
        <v>15.176376956698309</v>
      </c>
      <c r="F90" s="296">
        <v>15.35320711625268</v>
      </c>
      <c r="G90" s="296">
        <v>15.27078889607626</v>
      </c>
      <c r="H90" s="296">
        <v>15.037796103445643</v>
      </c>
      <c r="I90" s="131"/>
      <c r="J90" s="131"/>
      <c r="K90" s="131"/>
      <c r="L90" s="131">
        <v>15.037796103445643</v>
      </c>
    </row>
    <row r="91" spans="1:12">
      <c r="A91" s="295" t="s">
        <v>79</v>
      </c>
      <c r="B91" s="296">
        <v>62.40239288529159</v>
      </c>
      <c r="C91" s="296">
        <v>72.741542996202099</v>
      </c>
      <c r="D91" s="296">
        <v>82.892225838476108</v>
      </c>
      <c r="E91" s="296">
        <v>92.446416644105639</v>
      </c>
      <c r="F91" s="296">
        <v>103.14676230845362</v>
      </c>
      <c r="G91" s="296">
        <v>109.11822248749205</v>
      </c>
      <c r="H91" s="296">
        <v>92.930291910746931</v>
      </c>
      <c r="I91" s="131"/>
      <c r="J91" s="131"/>
      <c r="K91" s="131"/>
      <c r="L91" s="131">
        <v>92.930291910746931</v>
      </c>
    </row>
    <row r="92" spans="1:12">
      <c r="A92" s="365" t="s">
        <v>262</v>
      </c>
      <c r="B92" s="367">
        <v>172.70574051863139</v>
      </c>
      <c r="C92" s="367">
        <v>187.26817014135116</v>
      </c>
      <c r="D92" s="367">
        <v>207.34922072029167</v>
      </c>
      <c r="E92" s="367">
        <v>216.65771161877825</v>
      </c>
      <c r="F92" s="367">
        <v>223.88620667945281</v>
      </c>
      <c r="G92" s="367">
        <v>223.20318945308208</v>
      </c>
      <c r="H92" s="367">
        <v>197.00785151182299</v>
      </c>
      <c r="I92" s="131"/>
      <c r="J92" s="131"/>
      <c r="K92" s="131"/>
      <c r="L92" s="131">
        <v>197.00785151182299</v>
      </c>
    </row>
    <row r="93" spans="1:12">
      <c r="A93" s="293"/>
      <c r="B93" s="297"/>
      <c r="C93" s="131"/>
      <c r="D93" s="131"/>
      <c r="E93" s="131"/>
      <c r="F93" s="131"/>
      <c r="G93" s="131"/>
      <c r="H93" s="131"/>
      <c r="I93" s="131"/>
      <c r="J93" s="131"/>
      <c r="K93" s="131"/>
      <c r="L93" s="298"/>
    </row>
    <row r="94" spans="1:12">
      <c r="A94" s="349" t="s">
        <v>337</v>
      </c>
      <c r="B94" s="297"/>
      <c r="C94" s="297"/>
      <c r="D94" s="131"/>
      <c r="E94" s="131"/>
      <c r="F94" s="131"/>
      <c r="G94" s="131" t="s">
        <v>378</v>
      </c>
      <c r="H94" s="348"/>
      <c r="I94" s="300">
        <f>H92/F92-1</f>
        <v>-0.12005364495773818</v>
      </c>
      <c r="J94" s="306">
        <f>1+I94</f>
        <v>0.87994635504226182</v>
      </c>
      <c r="K94" s="131"/>
    </row>
    <row r="95" spans="1:12" ht="30">
      <c r="A95" s="333" t="s">
        <v>363</v>
      </c>
      <c r="B95" s="330"/>
      <c r="G95" t="s">
        <v>286</v>
      </c>
      <c r="I95" s="301">
        <f>1-J95</f>
        <v>1.1559428043207531E-2</v>
      </c>
      <c r="J95" s="306">
        <f>J94^(1/11)</f>
        <v>0.98844057195679247</v>
      </c>
    </row>
    <row r="97" spans="1:13">
      <c r="L97" s="299">
        <v>-0.12005364495773818</v>
      </c>
      <c r="M97">
        <v>0.87994635504226182</v>
      </c>
    </row>
    <row r="98" spans="1:13">
      <c r="A98" s="349" t="s">
        <v>337</v>
      </c>
      <c r="L98">
        <v>1.1559428043207531E-2</v>
      </c>
      <c r="M98">
        <v>0.98844057195679247</v>
      </c>
    </row>
    <row r="99" spans="1:13" ht="30">
      <c r="A99" s="333" t="s">
        <v>332</v>
      </c>
      <c r="B99" s="330" t="s">
        <v>335</v>
      </c>
    </row>
    <row r="102" spans="1:13">
      <c r="A102" s="514" t="s">
        <v>339</v>
      </c>
      <c r="B102" s="516"/>
      <c r="C102" s="516"/>
      <c r="D102" s="516"/>
      <c r="E102" s="337"/>
    </row>
    <row r="104" spans="1:13">
      <c r="A104" s="268" t="s">
        <v>259</v>
      </c>
      <c r="B104" s="513" t="s">
        <v>121</v>
      </c>
      <c r="C104" s="513"/>
      <c r="F104" s="517" t="s">
        <v>361</v>
      </c>
      <c r="G104" s="519" t="s">
        <v>362</v>
      </c>
    </row>
    <row r="105" spans="1:13">
      <c r="A105" s="268"/>
      <c r="B105" s="268"/>
      <c r="F105" s="518"/>
      <c r="G105" s="520"/>
    </row>
    <row r="106" spans="1:13">
      <c r="A106" s="268" t="s">
        <v>260</v>
      </c>
      <c r="B106" s="268" t="s">
        <v>379</v>
      </c>
      <c r="F106" s="518"/>
      <c r="G106" s="520"/>
    </row>
    <row r="107" spans="1:13">
      <c r="A107" s="269" t="s">
        <v>178</v>
      </c>
      <c r="B107" s="270">
        <v>1550.4931364675842</v>
      </c>
      <c r="C107" s="254">
        <f>B107/1000</f>
        <v>1.5504931364675842</v>
      </c>
      <c r="D107" s="156">
        <f t="shared" ref="D107:D113" si="9">C107/C$113</f>
        <v>6.5264849886638152E-2</v>
      </c>
    </row>
    <row r="108" spans="1:13">
      <c r="A108" s="269" t="s">
        <v>79</v>
      </c>
      <c r="B108" s="270">
        <v>7230.8991560964541</v>
      </c>
      <c r="C108" s="254">
        <f t="shared" ref="C108:C113" si="10">B108/1000</f>
        <v>7.230899156096454</v>
      </c>
      <c r="D108" s="156">
        <f t="shared" si="9"/>
        <v>0.30436996905591907</v>
      </c>
    </row>
    <row r="109" spans="1:13">
      <c r="A109" s="269" t="s">
        <v>261</v>
      </c>
      <c r="B109" s="270">
        <v>143.55334794427199</v>
      </c>
      <c r="C109" s="254">
        <f t="shared" si="10"/>
        <v>0.14355334794427199</v>
      </c>
      <c r="D109" s="156">
        <f t="shared" si="9"/>
        <v>6.0425857322091549E-3</v>
      </c>
    </row>
    <row r="110" spans="1:13">
      <c r="A110" s="269" t="s">
        <v>77</v>
      </c>
      <c r="B110" s="270">
        <v>3076.9537814650894</v>
      </c>
      <c r="C110" s="254">
        <f t="shared" si="10"/>
        <v>3.0769537814650896</v>
      </c>
      <c r="D110" s="156">
        <f t="shared" si="9"/>
        <v>0.12951810100427433</v>
      </c>
    </row>
    <row r="111" spans="1:13">
      <c r="A111" s="269" t="s">
        <v>16</v>
      </c>
      <c r="B111" s="270">
        <v>11298.680810932789</v>
      </c>
      <c r="C111" s="254">
        <f t="shared" si="10"/>
        <v>11.298680810932789</v>
      </c>
      <c r="D111" s="156">
        <f t="shared" si="9"/>
        <v>0.4755949508570973</v>
      </c>
    </row>
    <row r="112" spans="1:13">
      <c r="A112" s="269" t="s">
        <v>22</v>
      </c>
      <c r="B112" s="270">
        <v>456.35997550177865</v>
      </c>
      <c r="C112" s="254">
        <f t="shared" si="10"/>
        <v>0.45635997550177865</v>
      </c>
      <c r="D112" s="156">
        <f t="shared" si="9"/>
        <v>1.9209543463861788E-2</v>
      </c>
    </row>
    <row r="113" spans="1:4">
      <c r="A113" s="271" t="s">
        <v>262</v>
      </c>
      <c r="B113" s="272">
        <f>SUM(B107:B112)</f>
        <v>23756.94020840797</v>
      </c>
      <c r="C113" s="273">
        <f t="shared" si="10"/>
        <v>23.756940208407972</v>
      </c>
      <c r="D113" s="156">
        <f t="shared" si="9"/>
        <v>1</v>
      </c>
    </row>
    <row r="115" spans="1:4">
      <c r="A115" s="268" t="s">
        <v>259</v>
      </c>
      <c r="B115" s="513" t="s">
        <v>263</v>
      </c>
      <c r="C115" s="513"/>
    </row>
    <row r="116" spans="1:4">
      <c r="A116" s="268"/>
      <c r="B116" s="268"/>
    </row>
    <row r="117" spans="1:4">
      <c r="A117" s="268" t="s">
        <v>260</v>
      </c>
      <c r="B117" s="268" t="s">
        <v>379</v>
      </c>
    </row>
    <row r="118" spans="1:4">
      <c r="A118" s="269" t="s">
        <v>178</v>
      </c>
      <c r="B118" s="270">
        <v>0</v>
      </c>
      <c r="C118" s="254">
        <f>B118/1000</f>
        <v>0</v>
      </c>
      <c r="D118" s="156">
        <f t="shared" ref="D118:D124" si="11">C118/C$124</f>
        <v>0</v>
      </c>
    </row>
    <row r="119" spans="1:4">
      <c r="A119" s="269" t="s">
        <v>79</v>
      </c>
      <c r="B119" s="270">
        <v>4470.645462660219</v>
      </c>
      <c r="C119" s="254">
        <f t="shared" ref="C119:C124" si="12">B119/1000</f>
        <v>4.4706454626602188</v>
      </c>
      <c r="D119" s="156">
        <f t="shared" si="11"/>
        <v>0.38145894795856289</v>
      </c>
    </row>
    <row r="120" spans="1:4">
      <c r="A120" s="269" t="s">
        <v>261</v>
      </c>
      <c r="B120" s="270">
        <v>71.062001966179707</v>
      </c>
      <c r="C120" s="254">
        <f t="shared" si="12"/>
        <v>7.1062001966179705E-2</v>
      </c>
      <c r="D120" s="156">
        <f t="shared" si="11"/>
        <v>6.0633831817471636E-3</v>
      </c>
    </row>
    <row r="121" spans="1:4">
      <c r="A121" s="269" t="s">
        <v>77</v>
      </c>
      <c r="B121" s="270">
        <v>76.356542304426611</v>
      </c>
      <c r="C121" s="254">
        <f t="shared" si="12"/>
        <v>7.6356542304426608E-2</v>
      </c>
      <c r="D121" s="156">
        <f t="shared" si="11"/>
        <v>6.5151411670806873E-3</v>
      </c>
    </row>
    <row r="122" spans="1:4">
      <c r="A122" s="269" t="s">
        <v>16</v>
      </c>
      <c r="B122" s="270">
        <v>5752.6702586794472</v>
      </c>
      <c r="C122" s="254">
        <f t="shared" si="12"/>
        <v>5.7526702586794469</v>
      </c>
      <c r="D122" s="156">
        <f t="shared" si="11"/>
        <v>0.4908480359618167</v>
      </c>
    </row>
    <row r="123" spans="1:4">
      <c r="A123" s="269" t="s">
        <v>22</v>
      </c>
      <c r="B123" s="270">
        <v>1349.1257261020071</v>
      </c>
      <c r="C123" s="254">
        <f t="shared" si="12"/>
        <v>1.3491257261020071</v>
      </c>
      <c r="D123" s="156">
        <f t="shared" si="11"/>
        <v>0.11511449173079231</v>
      </c>
    </row>
    <row r="124" spans="1:4">
      <c r="A124" s="271" t="s">
        <v>262</v>
      </c>
      <c r="B124" s="272">
        <f>SUM(B118:B123)</f>
        <v>11719.859991712281</v>
      </c>
      <c r="C124" s="273">
        <f t="shared" si="12"/>
        <v>11.719859991712282</v>
      </c>
      <c r="D124" s="156">
        <f t="shared" si="11"/>
        <v>1</v>
      </c>
    </row>
    <row r="126" spans="1:4">
      <c r="A126" s="268" t="s">
        <v>259</v>
      </c>
      <c r="B126" s="290" t="s">
        <v>264</v>
      </c>
      <c r="C126" s="290"/>
    </row>
    <row r="127" spans="1:4">
      <c r="A127" s="268"/>
      <c r="B127" s="268"/>
    </row>
    <row r="128" spans="1:4">
      <c r="A128" s="268" t="s">
        <v>260</v>
      </c>
      <c r="B128" s="268" t="s">
        <v>338</v>
      </c>
    </row>
    <row r="129" spans="1:3">
      <c r="A129" s="269" t="s">
        <v>79</v>
      </c>
      <c r="B129" s="373">
        <v>70302.699550271558</v>
      </c>
      <c r="C129" s="254">
        <f>B129/1000</f>
        <v>70.302699550271555</v>
      </c>
    </row>
    <row r="130" spans="1:3">
      <c r="A130" s="271" t="s">
        <v>262</v>
      </c>
      <c r="B130" s="272">
        <f>SUM(B129)</f>
        <v>70302.699550271558</v>
      </c>
      <c r="C130" s="273">
        <f t="shared" ref="C130" si="13">B130/1000</f>
        <v>70.302699550271555</v>
      </c>
    </row>
  </sheetData>
  <mergeCells count="19">
    <mergeCell ref="A29:G29"/>
    <mergeCell ref="A38:G38"/>
    <mergeCell ref="A47:G47"/>
    <mergeCell ref="A56:G56"/>
    <mergeCell ref="A65:G65"/>
    <mergeCell ref="M13:P13"/>
    <mergeCell ref="M2:P2"/>
    <mergeCell ref="A2:G2"/>
    <mergeCell ref="A11:G11"/>
    <mergeCell ref="A20:G20"/>
    <mergeCell ref="I5:I7"/>
    <mergeCell ref="J5:J7"/>
    <mergeCell ref="B104:C104"/>
    <mergeCell ref="B115:C115"/>
    <mergeCell ref="A75:D75"/>
    <mergeCell ref="O33:P33"/>
    <mergeCell ref="A102:D102"/>
    <mergeCell ref="F104:F106"/>
    <mergeCell ref="G104:G106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GB1593"/>
  <sheetViews>
    <sheetView showGridLines="0" topLeftCell="D37" zoomScale="145" zoomScaleNormal="145" workbookViewId="0">
      <selection activeCell="K52" sqref="K5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42.8554687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241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>H34</f>
        <v>287333.79208712652</v>
      </c>
      <c r="I7" s="10">
        <f t="shared" ref="I7:K8" si="0">I34</f>
        <v>274114.5318987302</v>
      </c>
      <c r="J7" s="10">
        <f t="shared" si="0"/>
        <v>260363.23380433657</v>
      </c>
      <c r="K7" s="10">
        <f t="shared" si="0"/>
        <v>238873.30956649425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6206.4099090819327</v>
      </c>
      <c r="J8" s="76">
        <f t="shared" si="0"/>
        <v>5920.8738890125724</v>
      </c>
      <c r="K8" s="76">
        <f t="shared" si="0"/>
        <v>5623.8458501736704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287333.79208712652</v>
      </c>
      <c r="I9" s="96">
        <f t="shared" si="1"/>
        <v>267908.12198964827</v>
      </c>
      <c r="J9" s="96">
        <f t="shared" si="1"/>
        <v>254442.35991532399</v>
      </c>
      <c r="K9" s="96">
        <f t="shared" si="1"/>
        <v>233249.46371632058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3705.1684690793891</v>
      </c>
      <c r="I13" s="86">
        <f t="shared" ref="I13:K13" si="2">I133+I167</f>
        <v>0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17519.297184247305</v>
      </c>
      <c r="I14" s="86">
        <f t="shared" si="3"/>
        <v>13129.714743857159</v>
      </c>
      <c r="J14" s="86">
        <f t="shared" si="3"/>
        <v>5864.0069384415901</v>
      </c>
      <c r="K14" s="86">
        <f>K134+K168</f>
        <v>1436.7085388249191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2766.1150896935137</v>
      </c>
      <c r="I15" s="86">
        <f>I135+I169</f>
        <v>4636.4704179727742</v>
      </c>
      <c r="J15" s="86">
        <f t="shared" si="3"/>
        <v>5367.6974841626588</v>
      </c>
      <c r="K15" s="86">
        <f t="shared" si="3"/>
        <v>4965.9957798031492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394.01187233155554</v>
      </c>
      <c r="I16" s="86">
        <f t="shared" si="3"/>
        <v>225.7950966034351</v>
      </c>
      <c r="J16" s="86">
        <f t="shared" si="3"/>
        <v>92.337478617062615</v>
      </c>
      <c r="K16" s="86">
        <f t="shared" si="3"/>
        <v>8.0912049805030897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411.65001129323502</v>
      </c>
      <c r="I17" s="86">
        <f t="shared" si="3"/>
        <v>576.46798266630935</v>
      </c>
      <c r="J17" s="86">
        <f t="shared" si="3"/>
        <v>666.35522443383263</v>
      </c>
      <c r="K17" s="86">
        <f t="shared" si="3"/>
        <v>1274.633692187281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6418.4622476422328</v>
      </c>
      <c r="I18" s="86">
        <f t="shared" si="3"/>
        <v>3804.24941523387</v>
      </c>
      <c r="J18" s="86">
        <f t="shared" si="3"/>
        <v>1377.031694691294</v>
      </c>
      <c r="K18" s="86">
        <f t="shared" si="3"/>
        <v>984.48612316315405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1152.0826387608715</v>
      </c>
      <c r="I19" s="86">
        <f t="shared" si="3"/>
        <v>3994.2101617954245</v>
      </c>
      <c r="J19" s="86">
        <f t="shared" si="3"/>
        <v>4954.4969371653915</v>
      </c>
      <c r="K19" s="86">
        <f t="shared" si="3"/>
        <v>4969.9806911389705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32366.787513048104</v>
      </c>
      <c r="I20" s="13">
        <f t="shared" ref="I20:K20" si="4">SUM(I13:I19)</f>
        <v>26366.907818128973</v>
      </c>
      <c r="J20" s="13">
        <f t="shared" si="4"/>
        <v>18321.925757511832</v>
      </c>
      <c r="K20" s="13">
        <f t="shared" si="4"/>
        <v>13639.896030097978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-0.34708107593751159</v>
      </c>
      <c r="J23" s="177">
        <f t="shared" ref="J23:K23" si="5">J118/$G118-1</f>
        <v>-0.56021169269320392</v>
      </c>
      <c r="K23" s="177">
        <f t="shared" si="5"/>
        <v>-0.67747387074335774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-0.35542565702123019</v>
      </c>
      <c r="J24" s="177">
        <f t="shared" ref="J24:K24" si="6">J129/$G129-1</f>
        <v>-0.48014585537205845</v>
      </c>
      <c r="K24" s="177">
        <f t="shared" si="6"/>
        <v>-0.59445548621268318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287333.79208712652</v>
      </c>
      <c r="H34" s="125">
        <f>'Init. parc'!C20</f>
        <v>287333.79208712652</v>
      </c>
      <c r="I34" s="125">
        <f>'Init. parc'!D20</f>
        <v>274114.5318987302</v>
      </c>
      <c r="J34" s="125">
        <f>'Init. parc'!E20</f>
        <v>260363.23380433657</v>
      </c>
      <c r="K34" s="125">
        <f>'Init. parc'!F20</f>
        <v>238873.30956649425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parc'!N20</f>
        <v>6206.4099090819327</v>
      </c>
      <c r="J35" s="125">
        <f>'Init. parc'!O20</f>
        <v>5920.8738890125724</v>
      </c>
      <c r="K35" s="125">
        <f>'Init. parc'!P20</f>
        <v>5623.8458501736704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287333.79208712652</v>
      </c>
      <c r="H36" s="125">
        <f>H34-H35</f>
        <v>287333.79208712652</v>
      </c>
      <c r="I36" s="125">
        <f>I34-I35</f>
        <v>267908.12198964827</v>
      </c>
      <c r="J36" s="125">
        <f>J34-J35</f>
        <v>254442.35991532399</v>
      </c>
      <c r="K36" s="125">
        <f>K34-K35</f>
        <v>233249.46371632058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0.09</v>
      </c>
      <c r="H45" s="55">
        <f>'Init. énergie'!B3</f>
        <v>0.09</v>
      </c>
      <c r="I45" s="47">
        <v>0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0.42499999999999999</v>
      </c>
      <c r="H46" s="55">
        <f>'Init. énergie'!B4</f>
        <v>0.42499999999999999</v>
      </c>
      <c r="I46" s="47">
        <f>H46*0.86</f>
        <v>0.36549999999999999</v>
      </c>
      <c r="J46" s="47">
        <f>H46*0.5</f>
        <v>0.21249999999999999</v>
      </c>
      <c r="K46" s="47">
        <f>H46*0.15</f>
        <v>6.3750000000000001E-2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0.08</v>
      </c>
      <c r="H47" s="55">
        <f>'Init. énergie'!B5</f>
        <v>0.08</v>
      </c>
      <c r="I47" s="47">
        <v>0.16</v>
      </c>
      <c r="J47" s="47">
        <v>0.24</v>
      </c>
      <c r="K47" s="47">
        <v>0.27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1.2999999999999999E-2</v>
      </c>
      <c r="H48" s="55">
        <f>'Init. énergie'!B6</f>
        <v>1.2999999999999999E-2</v>
      </c>
      <c r="I48" s="47">
        <f t="shared" ref="I48" si="8">H48+((K48-H48)/3)</f>
        <v>8.6666666666666663E-3</v>
      </c>
      <c r="J48" s="47">
        <f t="shared" ref="J48" si="9">H48+((K48-H48)/3*2)</f>
        <v>4.3333333333333331E-3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1.2E-2</v>
      </c>
      <c r="H49" s="55">
        <f>'Init. énergie'!B7</f>
        <v>1.2E-2</v>
      </c>
      <c r="I49" s="47">
        <v>0.02</v>
      </c>
      <c r="J49" s="47">
        <v>0.03</v>
      </c>
      <c r="K49" s="47">
        <v>7.0000000000000007E-2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0.30599999999999999</v>
      </c>
      <c r="H50" s="55">
        <f>'Init. énergie'!B8</f>
        <v>0.30599999999999999</v>
      </c>
      <c r="I50" s="47">
        <f t="shared" ref="I50" si="10">1-I45-I46-I47-I48-I49-I51</f>
        <v>0.18583333333333335</v>
      </c>
      <c r="J50" s="47">
        <v>0.09</v>
      </c>
      <c r="K50" s="47">
        <v>0.08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7.2999999999999995E-2</v>
      </c>
      <c r="H51" s="55">
        <f>'Init. énergie'!B9</f>
        <v>7.2999999999999995E-2</v>
      </c>
      <c r="I51" s="47">
        <v>0.26</v>
      </c>
      <c r="J51" s="47">
        <v>0.42</v>
      </c>
      <c r="K51" s="123">
        <v>0.52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1">SUM(G45:G51)</f>
        <v>0.99899999999999989</v>
      </c>
      <c r="H52" s="149">
        <f t="shared" si="11"/>
        <v>0.99899999999999989</v>
      </c>
      <c r="I52" s="155">
        <f t="shared" si="11"/>
        <v>1</v>
      </c>
      <c r="J52" s="155">
        <f t="shared" si="11"/>
        <v>0.99683333333333324</v>
      </c>
      <c r="K52" s="155">
        <f>SUM(K45:K51)</f>
        <v>1.0037500000000001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J55" si="12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-8.7063736474020659E-2</v>
      </c>
      <c r="J55" s="142">
        <f t="shared" si="12"/>
        <v>-9.8540515089675693E-2</v>
      </c>
      <c r="K55" s="142">
        <f>(J$81*(K45-J45)+J$82*(K46-J46)+J$83*(K47-J47)+J$84*(K48-J48)+J$85*(K49-J49)+J$86*(K50-J50)+J$87*(K51-J51))/(J$81*J45+J$82*J46+J$83*J47+J$84*J48+J$85*J49+J$86*J50+J$87*J51)</f>
        <v>-9.2083767352303572E-2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0.09</v>
      </c>
      <c r="H59" s="55">
        <f>H45</f>
        <v>0.09</v>
      </c>
      <c r="I59" s="47">
        <f>I45</f>
        <v>0</v>
      </c>
      <c r="J59" s="47">
        <f t="shared" ref="J59:K59" si="13">J45</f>
        <v>0</v>
      </c>
      <c r="K59" s="47">
        <f t="shared" si="13"/>
        <v>0</v>
      </c>
      <c r="L59" s="64"/>
      <c r="M59" s="493" t="s">
        <v>265</v>
      </c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4">H60</f>
        <v>0.42499999999999999</v>
      </c>
      <c r="H60" s="55">
        <f t="shared" ref="H60:K65" si="15">H46</f>
        <v>0.42499999999999999</v>
      </c>
      <c r="I60" s="47">
        <f t="shared" si="15"/>
        <v>0.36549999999999999</v>
      </c>
      <c r="J60" s="47">
        <f t="shared" si="15"/>
        <v>0.21249999999999999</v>
      </c>
      <c r="K60" s="47">
        <f t="shared" si="15"/>
        <v>6.3750000000000001E-2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4"/>
        <v>0.08</v>
      </c>
      <c r="H61" s="55">
        <f t="shared" si="15"/>
        <v>0.08</v>
      </c>
      <c r="I61" s="47">
        <f t="shared" si="15"/>
        <v>0.16</v>
      </c>
      <c r="J61" s="47">
        <f t="shared" si="15"/>
        <v>0.24</v>
      </c>
      <c r="K61" s="47">
        <f t="shared" si="15"/>
        <v>0.27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4"/>
        <v>1.2999999999999999E-2</v>
      </c>
      <c r="H62" s="55">
        <f t="shared" si="15"/>
        <v>1.2999999999999999E-2</v>
      </c>
      <c r="I62" s="47">
        <f t="shared" si="15"/>
        <v>8.6666666666666663E-3</v>
      </c>
      <c r="J62" s="47">
        <f t="shared" si="15"/>
        <v>4.3333333333333331E-3</v>
      </c>
      <c r="K62" s="47">
        <f t="shared" si="15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4"/>
        <v>1.2E-2</v>
      </c>
      <c r="H63" s="55">
        <f t="shared" si="15"/>
        <v>1.2E-2</v>
      </c>
      <c r="I63" s="47">
        <f t="shared" si="15"/>
        <v>0.02</v>
      </c>
      <c r="J63" s="47">
        <f t="shared" si="15"/>
        <v>0.03</v>
      </c>
      <c r="K63" s="47">
        <f t="shared" si="15"/>
        <v>7.0000000000000007E-2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4"/>
        <v>0.30599999999999999</v>
      </c>
      <c r="H64" s="55">
        <f t="shared" si="15"/>
        <v>0.30599999999999999</v>
      </c>
      <c r="I64" s="47">
        <f t="shared" si="15"/>
        <v>0.18583333333333335</v>
      </c>
      <c r="J64" s="47">
        <f t="shared" si="15"/>
        <v>0.09</v>
      </c>
      <c r="K64" s="47">
        <f t="shared" si="15"/>
        <v>0.08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4"/>
        <v>7.2999999999999995E-2</v>
      </c>
      <c r="H65" s="55">
        <f t="shared" si="15"/>
        <v>7.2999999999999995E-2</v>
      </c>
      <c r="I65" s="47">
        <f t="shared" si="15"/>
        <v>0.26</v>
      </c>
      <c r="J65" s="47">
        <f t="shared" si="15"/>
        <v>0.42</v>
      </c>
      <c r="K65" s="47">
        <f t="shared" si="15"/>
        <v>0.52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6">SUM(G59:G65)</f>
        <v>0.99899999999999989</v>
      </c>
      <c r="H66" s="149">
        <v>1</v>
      </c>
      <c r="I66" s="47">
        <f t="shared" ref="I66:J66" si="17">SUM(I59:I65)</f>
        <v>1</v>
      </c>
      <c r="J66" s="47">
        <f t="shared" si="17"/>
        <v>0.99683333333333324</v>
      </c>
      <c r="K66" s="47">
        <f>SUM(K59:K65)</f>
        <v>1.0037500000000001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-8.7063736474020659E-2</v>
      </c>
      <c r="J69" s="142">
        <f>(I$101*(J59-I59)+I$102*(J60-I60)+I$103*(J61-I61)+I$104*(J62-I62)+I$105*(J63-I63)+I$106*(J64-I64)+I$107*(J65-I65))/(I$101*I59+I$102*I60+I$103*I61+I$104*I62+I$105*I63+I$106*I64+I$107*I65)</f>
        <v>-9.3899596860079149E-2</v>
      </c>
      <c r="K69" s="142">
        <f>(J$101*(K59-J59)+J$102*(K60-J60)+J$103*(K61-J61)+J$104*(K62-J62)+J$105*(K63-J63)+J$106*(K64-J64)+J$107*(K65-J65))/(J$101*J59+J$102*J60+J$103*J61+J$104*J62+J$105*J63+J$106*J64+J$107*J65)</f>
        <v>-9.2759393472611112E-2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bord'!E12</f>
        <v>0.76</v>
      </c>
      <c r="G73" s="92">
        <f>'Tableau de bord'!E25</f>
        <v>0.91500000000000004</v>
      </c>
      <c r="H73" s="92">
        <f>'Tableau de bord'!E28</f>
        <v>0.85552500000000009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81">
        <v>2030</v>
      </c>
      <c r="G75" s="381">
        <v>2040</v>
      </c>
      <c r="H75" s="38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bord'!F37</f>
        <v>0.29499999999999998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178.82612426989408</v>
      </c>
      <c r="H81" s="54">
        <f>'Init. énergie'!D3</f>
        <v>143.27774761989451</v>
      </c>
      <c r="I81" s="81">
        <f>G81*(1-F$77)/(1+I$55)</f>
        <v>138.09553048462917</v>
      </c>
      <c r="J81" s="81">
        <f>G81*(1-G$77)/(1+I$55)/(1+J$55)</f>
        <v>108.64613904642991</v>
      </c>
      <c r="K81" s="81">
        <f>G81*(1-H$77)/(1+I$55)/(1+J$55)/(1+K$55)</f>
        <v>95.7323022892474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8">H82/F82^10</f>
        <v>173.49701040783395</v>
      </c>
      <c r="H82" s="54">
        <f>'Init. énergie'!D4</f>
        <v>143.46337556823548</v>
      </c>
      <c r="I82" s="81">
        <f t="shared" ref="I82:I87" si="19">G82*(1-F$77)/(1+I$55)</f>
        <v>133.98021003691045</v>
      </c>
      <c r="J82" s="81">
        <f t="shared" ref="J82:J87" si="20">G82*(1-G$77)/(1+I$55)/(1+J$55)</f>
        <v>105.40842616742236</v>
      </c>
      <c r="K82" s="81">
        <f t="shared" ref="K82:K87" si="21">G82*(1-H$77)/(1+I$55)/(1+J$55)/(1+K$55)</f>
        <v>92.879428631891926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8"/>
        <v>136.01547403339876</v>
      </c>
      <c r="H83" s="54">
        <f>'Init. énergie'!D5</f>
        <v>120.33544112585447</v>
      </c>
      <c r="I83" s="81">
        <f t="shared" si="19"/>
        <v>105.03571062364462</v>
      </c>
      <c r="J83" s="81">
        <f t="shared" si="20"/>
        <v>82.636450153086315</v>
      </c>
      <c r="K83" s="81">
        <f t="shared" si="21"/>
        <v>72.814162524310476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8"/>
        <v>119.22683530947032</v>
      </c>
      <c r="H84" s="54">
        <f>'Init. énergie'!D6</f>
        <v>105.48221754152573</v>
      </c>
      <c r="I84" s="81">
        <f t="shared" si="19"/>
        <v>92.070960757475305</v>
      </c>
      <c r="J84" s="81">
        <f t="shared" si="20"/>
        <v>72.43648197367591</v>
      </c>
      <c r="K84" s="81">
        <f t="shared" si="21"/>
        <v>63.826577271283433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8"/>
        <v>134.94442471687393</v>
      </c>
      <c r="H85" s="54">
        <f>'Init. énergie'!D7</f>
        <v>119.38786370580362</v>
      </c>
      <c r="I85" s="81">
        <f t="shared" si="19"/>
        <v>104.20861042145343</v>
      </c>
      <c r="J85" s="81">
        <f t="shared" si="20"/>
        <v>81.98573218084465</v>
      </c>
      <c r="K85" s="81">
        <f t="shared" si="21"/>
        <v>72.240789828599091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8"/>
        <v>97.681749232182625</v>
      </c>
      <c r="H86" s="54">
        <f>'Init. énergie'!D8</f>
        <v>73</v>
      </c>
      <c r="I86" s="81">
        <f t="shared" si="19"/>
        <v>75.433122727224273</v>
      </c>
      <c r="J86" s="81">
        <f t="shared" si="20"/>
        <v>59.346725500581123</v>
      </c>
      <c r="K86" s="81">
        <f t="shared" si="21"/>
        <v>52.292688128297634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8"/>
        <v>73.496157742717145</v>
      </c>
      <c r="H87" s="54">
        <f>'Init. énergie'!D9</f>
        <v>54.925506119527036</v>
      </c>
      <c r="I87" s="81">
        <f t="shared" si="19"/>
        <v>56.756197862591648</v>
      </c>
      <c r="J87" s="81">
        <f t="shared" si="20"/>
        <v>44.652725132274782</v>
      </c>
      <c r="K87" s="81">
        <f t="shared" si="21"/>
        <v>39.345237832840134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89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2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2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2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2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2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2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3">G81</f>
        <v>178.82612426989408</v>
      </c>
      <c r="H101" s="54">
        <f t="shared" si="23"/>
        <v>143.27774761989451</v>
      </c>
      <c r="I101" s="81">
        <f>$H101*(1+$G91)^(I$100-$H$100)</f>
        <v>133.14691587291546</v>
      </c>
      <c r="J101" s="81">
        <f>$H101*(1+$G91)^(J$100-$H$100)</f>
        <v>123.73241135462705</v>
      </c>
      <c r="K101" s="81">
        <f>$H101*(1+$G91)^(K$100-$H$100)</f>
        <v>114.98358425547968</v>
      </c>
      <c r="L101" s="67"/>
      <c r="M101" s="79">
        <f>(K101-G101)/H101</f>
        <v>-0.44558587132304756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3"/>
        <v>173.49701040783395</v>
      </c>
      <c r="H102" s="54">
        <f t="shared" si="23"/>
        <v>143.46337556823548</v>
      </c>
      <c r="I102" s="81">
        <f t="shared" ref="I102:K107" si="24">$H102*(1+$G92)^(I$100-$H$100)</f>
        <v>134.70944283347063</v>
      </c>
      <c r="J102" s="81">
        <f t="shared" si="24"/>
        <v>126.48966272143102</v>
      </c>
      <c r="K102" s="81">
        <f t="shared" si="24"/>
        <v>118.77144199282533</v>
      </c>
      <c r="L102" s="67"/>
      <c r="M102" s="79">
        <f t="shared" ref="M102:M107" si="25">(K102-G102)/H102</f>
        <v>-0.38146020333237945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3"/>
        <v>136.01547403339876</v>
      </c>
      <c r="H103" s="54">
        <f t="shared" si="23"/>
        <v>120.33544112585447</v>
      </c>
      <c r="I103" s="81">
        <f t="shared" si="24"/>
        <v>115.54050530459669</v>
      </c>
      <c r="J103" s="81">
        <f t="shared" si="24"/>
        <v>110.9366304817852</v>
      </c>
      <c r="K103" s="81">
        <f t="shared" si="24"/>
        <v>106.51620356175239</v>
      </c>
      <c r="L103" s="67"/>
      <c r="M103" s="79">
        <f t="shared" si="25"/>
        <v>-0.24514199803193601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3"/>
        <v>119.22683530947032</v>
      </c>
      <c r="H104" s="54">
        <f t="shared" si="23"/>
        <v>105.48221754152573</v>
      </c>
      <c r="I104" s="81">
        <f t="shared" si="24"/>
        <v>101.27912941833024</v>
      </c>
      <c r="J104" s="81">
        <f t="shared" si="24"/>
        <v>97.243519285103957</v>
      </c>
      <c r="K104" s="81">
        <f t="shared" si="24"/>
        <v>93.368713744501363</v>
      </c>
      <c r="L104" s="67"/>
      <c r="M104" s="79">
        <f t="shared" si="25"/>
        <v>-0.24514199803193609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3"/>
        <v>134.94442471687393</v>
      </c>
      <c r="H105" s="54">
        <f t="shared" si="23"/>
        <v>119.38786370580362</v>
      </c>
      <c r="I105" s="81">
        <f t="shared" si="24"/>
        <v>114.63068544684259</v>
      </c>
      <c r="J105" s="81">
        <f>$H105*(1+$G95)^(J$100-$H$100)</f>
        <v>110.06306368286415</v>
      </c>
      <c r="K105" s="81">
        <f>$H105*(1+$G95)^(K$100-$H$100)</f>
        <v>105.67744526726877</v>
      </c>
      <c r="L105" s="67"/>
      <c r="M105" s="79">
        <f t="shared" si="25"/>
        <v>-0.24514199803193604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3"/>
        <v>97.681749232182625</v>
      </c>
      <c r="H106" s="54">
        <f t="shared" si="23"/>
        <v>73</v>
      </c>
      <c r="I106" s="81">
        <f t="shared" si="24"/>
        <v>66.308216709212786</v>
      </c>
      <c r="J106" s="81">
        <f t="shared" si="24"/>
        <v>60.229857577478427</v>
      </c>
      <c r="K106" s="81">
        <f t="shared" si="24"/>
        <v>54.708691076883021</v>
      </c>
      <c r="L106" s="67"/>
      <c r="M106" s="79">
        <f t="shared" si="25"/>
        <v>-0.58867202952465214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3"/>
        <v>73.496157742717145</v>
      </c>
      <c r="H107" s="54">
        <f t="shared" si="23"/>
        <v>54.925506119527036</v>
      </c>
      <c r="I107" s="81">
        <f t="shared" si="24"/>
        <v>49.890580310093036</v>
      </c>
      <c r="J107" s="81">
        <f t="shared" si="24"/>
        <v>45.317197410274424</v>
      </c>
      <c r="K107" s="81">
        <f t="shared" si="24"/>
        <v>41.163048582666477</v>
      </c>
      <c r="L107" s="67"/>
      <c r="M107" s="79">
        <f t="shared" si="25"/>
        <v>-0.58867202952465192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6">G$36*G45*$H$73*G81/1000</f>
        <v>3956.3334049567247</v>
      </c>
      <c r="H111" s="54">
        <f t="shared" si="26"/>
        <v>3169.8642545091448</v>
      </c>
      <c r="I111" s="125">
        <f t="shared" si="26"/>
        <v>0</v>
      </c>
      <c r="J111" s="125">
        <f t="shared" si="26"/>
        <v>0</v>
      </c>
      <c r="K111" s="125">
        <f t="shared" si="26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6"/>
        <v>18125.931532289484</v>
      </c>
      <c r="H112" s="54">
        <f t="shared" si="26"/>
        <v>14988.196723553177</v>
      </c>
      <c r="I112" s="125">
        <f t="shared" si="26"/>
        <v>11223.973187161759</v>
      </c>
      <c r="J112" s="125">
        <f t="shared" si="26"/>
        <v>4875.9178872003786</v>
      </c>
      <c r="K112" s="125">
        <f t="shared" si="26"/>
        <v>1181.5526621224685</v>
      </c>
      <c r="L112" s="46"/>
      <c r="M112" s="79">
        <f t="shared" ref="M112:M118" si="27">(K112-G112)/H112</f>
        <v>-1.1305148432926424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6"/>
        <v>2674.8394258209828</v>
      </c>
      <c r="H113" s="54">
        <f t="shared" si="26"/>
        <v>2366.4806121100437</v>
      </c>
      <c r="I113" s="125">
        <f t="shared" si="26"/>
        <v>3851.90480586184</v>
      </c>
      <c r="J113" s="125">
        <f t="shared" si="26"/>
        <v>4317.2282909209298</v>
      </c>
      <c r="K113" s="125">
        <f t="shared" si="26"/>
        <v>3923.1325502209188</v>
      </c>
      <c r="L113" s="46"/>
      <c r="M113" s="79">
        <f t="shared" si="27"/>
        <v>0.52748926740072066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6"/>
        <v>381.01035429829591</v>
      </c>
      <c r="H114" s="54">
        <f t="shared" si="26"/>
        <v>337.08700707645409</v>
      </c>
      <c r="I114" s="125">
        <f t="shared" si="26"/>
        <v>182.89142900036276</v>
      </c>
      <c r="J114" s="125">
        <f t="shared" si="26"/>
        <v>68.328449710191109</v>
      </c>
      <c r="K114" s="125">
        <f t="shared" si="26"/>
        <v>0</v>
      </c>
      <c r="L114" s="46"/>
      <c r="M114" s="79">
        <f t="shared" si="27"/>
        <v>-1.1303027001924155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6"/>
        <v>398.06647378826148</v>
      </c>
      <c r="H115" s="54">
        <f t="shared" si="26"/>
        <v>352.17687591164491</v>
      </c>
      <c r="I115" s="125">
        <f t="shared" si="26"/>
        <v>477.6966387327667</v>
      </c>
      <c r="J115" s="125">
        <f t="shared" si="26"/>
        <v>535.4040525810716</v>
      </c>
      <c r="K115" s="125">
        <f t="shared" si="26"/>
        <v>1009.0992524465646</v>
      </c>
      <c r="L115" s="46"/>
      <c r="M115" s="79">
        <f t="shared" si="27"/>
        <v>1.7350167499685605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6"/>
        <v>7347.7481828064037</v>
      </c>
      <c r="H116" s="54">
        <f t="shared" si="26"/>
        <v>5491.1549144141218</v>
      </c>
      <c r="I116" s="125">
        <f t="shared" si="26"/>
        <v>3212.9523789387399</v>
      </c>
      <c r="J116" s="125">
        <f t="shared" si="26"/>
        <v>1162.683182617893</v>
      </c>
      <c r="K116" s="125">
        <f t="shared" si="26"/>
        <v>834.80360015659244</v>
      </c>
      <c r="L116" s="46"/>
      <c r="M116" s="79">
        <f t="shared" si="27"/>
        <v>-1.186079191747718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6"/>
        <v>1318.8849273839112</v>
      </c>
      <c r="H117" s="54">
        <f t="shared" si="26"/>
        <v>985.63549952589472</v>
      </c>
      <c r="I117" s="125">
        <f t="shared" si="26"/>
        <v>3382.2462738471891</v>
      </c>
      <c r="J117" s="125">
        <f t="shared" si="26"/>
        <v>4082.4359436863174</v>
      </c>
      <c r="K117" s="125">
        <f t="shared" si="26"/>
        <v>4082.7132413496811</v>
      </c>
      <c r="L117" s="46"/>
      <c r="M117" s="79">
        <f t="shared" si="27"/>
        <v>2.8041079235632362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34202.814301344057</v>
      </c>
      <c r="H118" s="146">
        <f>SUM(H111:H117)</f>
        <v>27690.595887100484</v>
      </c>
      <c r="I118" s="144">
        <f t="shared" ref="I118:J118" si="28">SUM(I111:I117)</f>
        <v>22331.664713542654</v>
      </c>
      <c r="J118" s="144">
        <f t="shared" si="28"/>
        <v>15041.997806716781</v>
      </c>
      <c r="K118" s="144">
        <f>SUM(K111:K117)</f>
        <v>11031.301306296225</v>
      </c>
      <c r="L118" s="21"/>
      <c r="M118" s="79">
        <f t="shared" si="27"/>
        <v>-0.8368008073759855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9">G$36*G45*(1-$H$73)*G101/1000</f>
        <v>668.11755200739003</v>
      </c>
      <c r="H122" s="147">
        <f t="shared" si="29"/>
        <v>535.30421457024443</v>
      </c>
      <c r="I122" s="143">
        <f t="shared" ref="I122:I128" si="30">I$36*I59*(1-$H$73)*I101/1000</f>
        <v>0</v>
      </c>
      <c r="J122" s="143">
        <f t="shared" ref="J122:K122" si="31">J$36*J59*(1-$H$73)*J101/1000</f>
        <v>0</v>
      </c>
      <c r="K122" s="143">
        <f t="shared" si="31"/>
        <v>0</v>
      </c>
      <c r="L122" s="46"/>
      <c r="M122" s="79">
        <f>(K122-G122)/H122</f>
        <v>-1.2481081482681236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9"/>
        <v>3060.9788821221136</v>
      </c>
      <c r="H123" s="147">
        <f t="shared" si="29"/>
        <v>2531.1004606941278</v>
      </c>
      <c r="I123" s="143">
        <f t="shared" si="30"/>
        <v>1905.7415566954005</v>
      </c>
      <c r="J123" s="143">
        <f t="shared" ref="J123:K123" si="32">J$36*J60*(1-$H$73)*J102/1000</f>
        <v>988.08905124121168</v>
      </c>
      <c r="K123" s="143">
        <f t="shared" si="32"/>
        <v>255.15587670245048</v>
      </c>
      <c r="L123" s="46"/>
      <c r="M123" s="79">
        <f t="shared" ref="M123:M129" si="33">(K123-G123)/H123</f>
        <v>-1.1085387755214566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9"/>
        <v>451.70792910258172</v>
      </c>
      <c r="H124" s="147">
        <f t="shared" si="29"/>
        <v>399.63447758347019</v>
      </c>
      <c r="I124" s="143">
        <f t="shared" si="30"/>
        <v>715.53820698308516</v>
      </c>
      <c r="J124" s="143">
        <f t="shared" ref="J124:K124" si="34">J$36*J61*(1-$H$73)*J103/1000</f>
        <v>978.74223728155482</v>
      </c>
      <c r="K124" s="143">
        <f t="shared" si="34"/>
        <v>969.15401694791194</v>
      </c>
      <c r="L124" s="46"/>
      <c r="M124" s="79">
        <f t="shared" si="33"/>
        <v>1.2947984142265432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9"/>
        <v>64.342328905930586</v>
      </c>
      <c r="H125" s="147">
        <f t="shared" si="29"/>
        <v>56.924865255101437</v>
      </c>
      <c r="I125" s="143">
        <f t="shared" si="30"/>
        <v>33.974309276891219</v>
      </c>
      <c r="J125" s="143">
        <f t="shared" ref="J125:K125" si="35">J$36*J62*(1-$H$73)*J104/1000</f>
        <v>15.490480288006042</v>
      </c>
      <c r="K125" s="143">
        <f t="shared" si="35"/>
        <v>0</v>
      </c>
      <c r="L125" s="46"/>
      <c r="M125" s="79">
        <f t="shared" si="33"/>
        <v>-1.1303027001924157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9"/>
        <v>67.222645510720369</v>
      </c>
      <c r="H126" s="147">
        <f t="shared" si="29"/>
        <v>59.473135381590083</v>
      </c>
      <c r="I126" s="143">
        <f t="shared" si="30"/>
        <v>88.737965652869363</v>
      </c>
      <c r="J126" s="143">
        <f t="shared" ref="J126:K126" si="36">J$36*J63*(1-$H$73)*J105/1000</f>
        <v>121.37939551976467</v>
      </c>
      <c r="K126" s="143">
        <f t="shared" si="36"/>
        <v>249.28359709708297</v>
      </c>
      <c r="L126" s="46"/>
      <c r="M126" s="79">
        <f t="shared" si="33"/>
        <v>3.0612300901613398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9"/>
        <v>1240.8356491171553</v>
      </c>
      <c r="H127" s="147">
        <f t="shared" si="29"/>
        <v>927.30733322811091</v>
      </c>
      <c r="I127" s="143">
        <f t="shared" si="30"/>
        <v>476.94637062841855</v>
      </c>
      <c r="J127" s="143">
        <f t="shared" ref="J127:K127" si="37">J$36*J64*(1-$H$73)*J106/1000</f>
        <v>199.26749611643027</v>
      </c>
      <c r="K127" s="143">
        <f t="shared" si="37"/>
        <v>147.489012650055</v>
      </c>
      <c r="L127" s="46"/>
      <c r="M127" s="79">
        <f t="shared" si="33"/>
        <v>-1.1790553113183944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9"/>
        <v>222.72394130363276</v>
      </c>
      <c r="H128" s="147">
        <f t="shared" si="29"/>
        <v>166.44713923497682</v>
      </c>
      <c r="I128" s="143">
        <f t="shared" si="30"/>
        <v>502.07718466581929</v>
      </c>
      <c r="J128" s="143">
        <f t="shared" ref="J128:K128" si="38">J$36*J65*(1-$H$73)*J107/1000</f>
        <v>699.67193188639942</v>
      </c>
      <c r="K128" s="143">
        <f t="shared" si="38"/>
        <v>721.31378540655317</v>
      </c>
      <c r="L128" s="46"/>
      <c r="M128" s="79">
        <f t="shared" si="33"/>
        <v>2.9954846108772766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5775.9289280695257</v>
      </c>
      <c r="H129" s="148">
        <f>SUM(H122:H128)</f>
        <v>4676.1916259476211</v>
      </c>
      <c r="I129" s="145">
        <f t="shared" ref="I129:K129" si="39">SUM(I122:I128)</f>
        <v>3723.0155939024844</v>
      </c>
      <c r="J129" s="145">
        <f t="shared" si="39"/>
        <v>3002.6405923333668</v>
      </c>
      <c r="K129" s="145">
        <f t="shared" si="39"/>
        <v>2342.3962888040537</v>
      </c>
      <c r="L129" s="21"/>
      <c r="M129" s="79">
        <f t="shared" si="33"/>
        <v>-0.73425832684298376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3705.1684690793891</v>
      </c>
      <c r="I133" s="143">
        <f t="shared" ref="I133:K133" si="40">I111+I122</f>
        <v>0</v>
      </c>
      <c r="J133" s="143">
        <f t="shared" si="40"/>
        <v>0</v>
      </c>
      <c r="K133" s="143">
        <f t="shared" si="40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41">H112+H123</f>
        <v>17519.297184247305</v>
      </c>
      <c r="I134" s="143">
        <f t="shared" si="41"/>
        <v>13129.714743857159</v>
      </c>
      <c r="J134" s="143">
        <f t="shared" si="41"/>
        <v>5864.0069384415901</v>
      </c>
      <c r="K134" s="143">
        <f>K112+K123</f>
        <v>1436.7085388249191</v>
      </c>
      <c r="L134" s="46"/>
      <c r="M134" s="79">
        <f t="shared" ref="M134:M140" si="42">(K134-G134)/H134</f>
        <v>8.2007201756743614E-2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41"/>
        <v>2766.1150896935137</v>
      </c>
      <c r="I135" s="143">
        <f t="shared" si="41"/>
        <v>4567.4430128449249</v>
      </c>
      <c r="J135" s="143">
        <f t="shared" si="41"/>
        <v>5295.9705282024843</v>
      </c>
      <c r="K135" s="143">
        <f t="shared" si="41"/>
        <v>4892.2865671688305</v>
      </c>
      <c r="L135" s="46"/>
      <c r="M135" s="79">
        <f t="shared" si="42"/>
        <v>1.768648956580797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41"/>
        <v>394.01187233155554</v>
      </c>
      <c r="I136" s="143">
        <f t="shared" si="41"/>
        <v>216.86573827725397</v>
      </c>
      <c r="J136" s="143">
        <f t="shared" si="41"/>
        <v>83.818929998197149</v>
      </c>
      <c r="K136" s="143">
        <f t="shared" si="41"/>
        <v>0</v>
      </c>
      <c r="L136" s="46"/>
      <c r="M136" s="79">
        <f t="shared" si="42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41"/>
        <v>411.65001129323502</v>
      </c>
      <c r="I137" s="143">
        <f t="shared" si="41"/>
        <v>566.43460438563602</v>
      </c>
      <c r="J137" s="143">
        <f t="shared" si="41"/>
        <v>656.78344810083627</v>
      </c>
      <c r="K137" s="143">
        <f t="shared" si="41"/>
        <v>1258.3828495436476</v>
      </c>
      <c r="L137" s="46"/>
      <c r="M137" s="79">
        <f t="shared" si="42"/>
        <v>3.0569241224853272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41"/>
        <v>6418.4622476422328</v>
      </c>
      <c r="I138" s="143">
        <f t="shared" si="41"/>
        <v>3689.8987495671586</v>
      </c>
      <c r="J138" s="143">
        <f t="shared" si="41"/>
        <v>1361.9506787343232</v>
      </c>
      <c r="K138" s="143">
        <f t="shared" si="41"/>
        <v>982.29261280664741</v>
      </c>
      <c r="L138" s="46"/>
      <c r="M138" s="79">
        <f t="shared" si="42"/>
        <v>0.15304173724282388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41"/>
        <v>1152.0826387608715</v>
      </c>
      <c r="I139" s="143">
        <f t="shared" si="41"/>
        <v>3884.3234585130085</v>
      </c>
      <c r="J139" s="143">
        <f t="shared" si="41"/>
        <v>4782.1078755727167</v>
      </c>
      <c r="K139" s="143">
        <f t="shared" si="41"/>
        <v>4804.0270267562346</v>
      </c>
      <c r="L139" s="46"/>
      <c r="M139" s="79">
        <f t="shared" si="42"/>
        <v>4.1698632243284486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32366.787513048104</v>
      </c>
      <c r="I140" s="145">
        <f t="shared" ref="I140:K140" si="43">SUM(I133:I139)</f>
        <v>26054.680307445138</v>
      </c>
      <c r="J140" s="145">
        <f t="shared" si="43"/>
        <v>18044.638399050149</v>
      </c>
      <c r="K140" s="145">
        <f t="shared" si="43"/>
        <v>13373.697595100279</v>
      </c>
      <c r="L140" s="21"/>
      <c r="M140" s="79">
        <f t="shared" si="42"/>
        <v>0.41319199780666854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énergie'!C3</f>
        <v>2.5832473286687414E-3</v>
      </c>
      <c r="I146" s="47">
        <v>0</v>
      </c>
      <c r="J146" s="47">
        <v>0</v>
      </c>
      <c r="K146" s="47">
        <v>0</v>
      </c>
      <c r="M146" s="493" t="s">
        <v>266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énergie'!C4</f>
        <v>0.18262447255667691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</f>
        <v>0.13911656645249823</v>
      </c>
      <c r="I148" s="47">
        <f>H148+((K148-H148)/3)</f>
        <v>0.15274437763499882</v>
      </c>
      <c r="J148" s="47">
        <f>H148+((K148-H148)/3*2)</f>
        <v>0.16637218881749941</v>
      </c>
      <c r="K148" s="47">
        <v>0.18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</f>
        <v>2.2541262662018457E-2</v>
      </c>
      <c r="I149" s="47">
        <f t="shared" ref="I149:J150" si="44">H149</f>
        <v>2.2541262662018457E-2</v>
      </c>
      <c r="J149" s="47">
        <f t="shared" si="44"/>
        <v>2.2541262662018457E-2</v>
      </c>
      <c r="K149" s="47">
        <f>J149</f>
        <v>2.2541262662018457E-2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énergie'!C7</f>
        <v>2.2378153328661055E-2</v>
      </c>
      <c r="I150" s="47">
        <f t="shared" si="44"/>
        <v>2.2378153328661055E-2</v>
      </c>
      <c r="J150" s="47">
        <f t="shared" si="44"/>
        <v>2.2378153328661055E-2</v>
      </c>
      <c r="K150" s="47">
        <v>0.04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énergie'!C8</f>
        <v>0.17192765066376023</v>
      </c>
      <c r="I151" s="47">
        <f>1-I146-I147-I148-I149-I150-I152</f>
        <v>0.35233620637432156</v>
      </c>
      <c r="J151" s="47">
        <f t="shared" ref="J151:K151" si="45">1-J146-J147-J148-J149-J150-J152</f>
        <v>4.8708395191821019E-2</v>
      </c>
      <c r="K151" s="47">
        <f t="shared" si="45"/>
        <v>7.4587373379815247E-3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énergie'!C9</f>
        <v>0.45882864700771653</v>
      </c>
      <c r="I152" s="47">
        <v>0.45</v>
      </c>
      <c r="J152" s="47">
        <v>0.74</v>
      </c>
      <c r="K152" s="47">
        <v>0.75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6">SUM(I146:I152)</f>
        <v>0.99999999999999978</v>
      </c>
      <c r="J153" s="15">
        <f t="shared" si="46"/>
        <v>0.99999999999999989</v>
      </c>
      <c r="K153" s="15">
        <f t="shared" si="46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95.7323022892474</v>
      </c>
      <c r="J157" s="45">
        <f>K157</f>
        <v>95.7323022892474</v>
      </c>
      <c r="K157" s="45">
        <f t="shared" ref="K157:K163" si="47">K81</f>
        <v>95.7323022892474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8">J158</f>
        <v>92.879428631891926</v>
      </c>
      <c r="J158" s="45">
        <f t="shared" si="48"/>
        <v>92.879428631891926</v>
      </c>
      <c r="K158" s="45">
        <f t="shared" si="47"/>
        <v>92.879428631891926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8"/>
        <v>72.814162524310476</v>
      </c>
      <c r="J159" s="45">
        <f t="shared" si="48"/>
        <v>72.814162524310476</v>
      </c>
      <c r="K159" s="45">
        <f t="shared" si="47"/>
        <v>72.814162524310476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8"/>
        <v>63.826577271283433</v>
      </c>
      <c r="J160" s="45">
        <f t="shared" si="48"/>
        <v>63.826577271283433</v>
      </c>
      <c r="K160" s="45">
        <f t="shared" si="47"/>
        <v>63.826577271283433</v>
      </c>
      <c r="M160" s="494"/>
      <c r="N160" s="33"/>
      <c r="O160" s="42"/>
    </row>
    <row r="161" spans="1:18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8"/>
        <v>72.240789828599091</v>
      </c>
      <c r="J161" s="45">
        <f t="shared" si="48"/>
        <v>72.240789828599091</v>
      </c>
      <c r="K161" s="45">
        <f t="shared" si="47"/>
        <v>72.240789828599091</v>
      </c>
      <c r="M161" s="494"/>
      <c r="N161" s="33"/>
      <c r="O161" s="42"/>
    </row>
    <row r="162" spans="1:18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8"/>
        <v>52.292688128297634</v>
      </c>
      <c r="J162" s="45">
        <f t="shared" si="48"/>
        <v>52.292688128297634</v>
      </c>
      <c r="K162" s="45">
        <f t="shared" si="47"/>
        <v>52.292688128297634</v>
      </c>
      <c r="M162" s="494"/>
      <c r="N162" s="33"/>
      <c r="O162" s="42"/>
      <c r="R162" s="17">
        <f>'Bureaux - AMS'!H$36*('Bureaux - AMS'!$H$73*'Bureaux - AMS'!H51+(1-'Bureaux - AMS'!$H$73)*'Bureaux - AMS'!H65+'Bureaux - AMS'!H$35)</f>
        <v>20975.366822360236</v>
      </c>
    </row>
    <row r="163" spans="1:18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8"/>
        <v>39.345237832840134</v>
      </c>
      <c r="J163" s="45">
        <f t="shared" si="48"/>
        <v>39.345237832840134</v>
      </c>
      <c r="K163" s="45">
        <f t="shared" si="47"/>
        <v>39.345237832840134</v>
      </c>
      <c r="M163" s="495"/>
      <c r="N163" s="33"/>
      <c r="O163" s="42"/>
    </row>
    <row r="164" spans="1:18" s="17" customFormat="1">
      <c r="A164" s="56"/>
      <c r="C164" s="40"/>
      <c r="D164" s="32"/>
      <c r="M164" s="65"/>
      <c r="N164" s="33"/>
      <c r="O164" s="42"/>
    </row>
    <row r="165" spans="1:18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8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8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9">I$35*I146*I157/1000</f>
        <v>0</v>
      </c>
      <c r="J167" s="10">
        <f t="shared" si="49"/>
        <v>0</v>
      </c>
      <c r="K167" s="10">
        <f t="shared" si="49"/>
        <v>0</v>
      </c>
      <c r="M167" s="65"/>
      <c r="N167" s="33"/>
      <c r="O167" s="42"/>
    </row>
    <row r="168" spans="1:18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50">H$35*H147*H158/1000</f>
        <v>0</v>
      </c>
      <c r="I168" s="10">
        <f t="shared" si="50"/>
        <v>0</v>
      </c>
      <c r="J168" s="10">
        <f t="shared" si="50"/>
        <v>0</v>
      </c>
      <c r="K168" s="10">
        <f t="shared" si="50"/>
        <v>0</v>
      </c>
      <c r="M168" s="65"/>
      <c r="N168" s="33"/>
      <c r="O168" s="42"/>
    </row>
    <row r="169" spans="1:18" s="17" customFormat="1">
      <c r="A169" s="56"/>
      <c r="C169" s="40"/>
      <c r="D169" s="32"/>
      <c r="E169" s="6" t="s">
        <v>68</v>
      </c>
      <c r="F169" s="82"/>
      <c r="G169" s="82"/>
      <c r="H169" s="10">
        <f t="shared" si="50"/>
        <v>0</v>
      </c>
      <c r="I169" s="10">
        <f t="shared" si="50"/>
        <v>69.02740512784932</v>
      </c>
      <c r="J169" s="10">
        <f t="shared" si="50"/>
        <v>71.726955960174777</v>
      </c>
      <c r="K169" s="10">
        <f t="shared" si="50"/>
        <v>73.709212634318632</v>
      </c>
      <c r="M169" s="65"/>
      <c r="N169" s="33"/>
      <c r="O169" s="42"/>
    </row>
    <row r="170" spans="1:18" s="17" customFormat="1">
      <c r="A170" s="56"/>
      <c r="C170" s="40"/>
      <c r="D170" s="32"/>
      <c r="E170" s="6" t="s">
        <v>22</v>
      </c>
      <c r="F170" s="82"/>
      <c r="G170" s="82"/>
      <c r="H170" s="10">
        <f t="shared" si="50"/>
        <v>0</v>
      </c>
      <c r="I170" s="10">
        <f t="shared" si="50"/>
        <v>8.9293583261811289</v>
      </c>
      <c r="J170" s="10">
        <f t="shared" si="50"/>
        <v>8.5185486188654682</v>
      </c>
      <c r="K170" s="10">
        <f t="shared" si="50"/>
        <v>8.0912049805030897</v>
      </c>
      <c r="M170" s="65"/>
      <c r="N170" s="33"/>
      <c r="O170" s="42"/>
    </row>
    <row r="171" spans="1:18" s="17" customFormat="1">
      <c r="A171" s="56"/>
      <c r="C171" s="40"/>
      <c r="D171" s="32"/>
      <c r="E171" s="6" t="s">
        <v>42</v>
      </c>
      <c r="F171" s="82"/>
      <c r="G171" s="82"/>
      <c r="H171" s="10">
        <f t="shared" si="50"/>
        <v>0</v>
      </c>
      <c r="I171" s="10">
        <f t="shared" si="50"/>
        <v>10.033378280673318</v>
      </c>
      <c r="J171" s="10">
        <f t="shared" si="50"/>
        <v>9.5717763329963557</v>
      </c>
      <c r="K171" s="10">
        <f t="shared" si="50"/>
        <v>16.250842643633415</v>
      </c>
      <c r="M171" s="65"/>
      <c r="N171" s="33"/>
      <c r="O171" s="42"/>
    </row>
    <row r="172" spans="1:18" s="17" customFormat="1">
      <c r="A172" s="56"/>
      <c r="C172" s="40"/>
      <c r="D172" s="32"/>
      <c r="E172" s="6" t="s">
        <v>25</v>
      </c>
      <c r="F172" s="82"/>
      <c r="G172" s="82"/>
      <c r="H172" s="10">
        <f t="shared" si="50"/>
        <v>0</v>
      </c>
      <c r="I172" s="10">
        <f t="shared" si="50"/>
        <v>114.35066566671125</v>
      </c>
      <c r="J172" s="10">
        <f t="shared" si="50"/>
        <v>15.081015956970861</v>
      </c>
      <c r="K172" s="10">
        <f t="shared" si="50"/>
        <v>2.1935103565066667</v>
      </c>
      <c r="M172" s="65"/>
      <c r="N172" s="33"/>
      <c r="O172" s="42"/>
    </row>
    <row r="173" spans="1:18" s="17" customFormat="1">
      <c r="A173" s="56"/>
      <c r="C173" s="40"/>
      <c r="D173" s="32"/>
      <c r="E173" s="6" t="s">
        <v>26</v>
      </c>
      <c r="F173" s="82"/>
      <c r="G173" s="82"/>
      <c r="H173" s="10">
        <f t="shared" si="50"/>
        <v>0</v>
      </c>
      <c r="I173" s="10">
        <f t="shared" si="50"/>
        <v>109.88670328241597</v>
      </c>
      <c r="J173" s="10">
        <f t="shared" si="50"/>
        <v>172.38906159267501</v>
      </c>
      <c r="K173" s="10">
        <f t="shared" si="50"/>
        <v>165.95366438273555</v>
      </c>
      <c r="L173" s="65"/>
      <c r="M173" s="65"/>
      <c r="N173" s="33"/>
      <c r="O173" s="42"/>
    </row>
    <row r="174" spans="1:18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51">SUM(I167:I173)</f>
        <v>312.22751068383099</v>
      </c>
      <c r="J174" s="11">
        <f t="shared" si="51"/>
        <v>277.28735846168246</v>
      </c>
      <c r="K174" s="11">
        <f t="shared" si="51"/>
        <v>266.19843499769735</v>
      </c>
      <c r="M174" s="65"/>
      <c r="N174" s="33"/>
      <c r="O174" s="42"/>
    </row>
    <row r="175" spans="1:18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8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277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2">H$36*($H$73*H45+(1-$H$73)*H59)+H$35*H146</f>
        <v>25860.041287841384</v>
      </c>
      <c r="I181" s="10">
        <f t="shared" si="52"/>
        <v>0</v>
      </c>
      <c r="J181" s="10">
        <f t="shared" si="52"/>
        <v>0</v>
      </c>
      <c r="K181" s="10">
        <f t="shared" si="52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2"/>
        <v>122116.86163702876</v>
      </c>
      <c r="I182" s="10">
        <f t="shared" si="52"/>
        <v>97920.418587216438</v>
      </c>
      <c r="J182" s="10">
        <f t="shared" si="52"/>
        <v>54069.001482006344</v>
      </c>
      <c r="K182" s="10">
        <f t="shared" si="52"/>
        <v>14869.653311915437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2"/>
        <v>22986.703366970123</v>
      </c>
      <c r="I183" s="10">
        <f t="shared" si="52"/>
        <v>43813.293737254135</v>
      </c>
      <c r="J183" s="10">
        <f t="shared" si="52"/>
        <v>62051.235128305161</v>
      </c>
      <c r="K183" s="10">
        <f t="shared" si="52"/>
        <v>63989.647456437815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2"/>
        <v>3735.3392971326448</v>
      </c>
      <c r="I184" s="10">
        <f t="shared" si="52"/>
        <v>2461.7707065257214</v>
      </c>
      <c r="J184" s="10">
        <f t="shared" si="52"/>
        <v>1236.0475331539897</v>
      </c>
      <c r="K184" s="10">
        <f t="shared" si="52"/>
        <v>126.7685864794672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2"/>
        <v>3448.0055050455185</v>
      </c>
      <c r="I185" s="10">
        <f t="shared" si="52"/>
        <v>5497.0504323589221</v>
      </c>
      <c r="J185" s="10">
        <f t="shared" si="52"/>
        <v>7765.7690211877089</v>
      </c>
      <c r="K185" s="10">
        <f t="shared" si="52"/>
        <v>16552.416294149389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2"/>
        <v>87924.140378660712</v>
      </c>
      <c r="I186" s="10">
        <f t="shared" si="52"/>
        <v>51973.002258979563</v>
      </c>
      <c r="J186" s="10">
        <f t="shared" si="52"/>
        <v>23188.208657646115</v>
      </c>
      <c r="K186" s="10">
        <f t="shared" si="52"/>
        <v>18701.903886331391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2"/>
        <v>20975.366822360236</v>
      </c>
      <c r="I187" s="10">
        <f t="shared" si="52"/>
        <v>72448.99617639542</v>
      </c>
      <c r="J187" s="10">
        <f t="shared" si="52"/>
        <v>111247.23784230537</v>
      </c>
      <c r="K187" s="10">
        <f t="shared" si="52"/>
        <v>125507.60552011697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287046.45829503943</v>
      </c>
      <c r="I188" s="10">
        <f t="shared" ref="I188:K188" si="53">SUM(I181:I187)</f>
        <v>274114.5318987302</v>
      </c>
      <c r="J188" s="10">
        <f t="shared" si="53"/>
        <v>259557.49966460472</v>
      </c>
      <c r="K188" s="10">
        <f t="shared" si="53"/>
        <v>239747.99505543045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GB1593"/>
  <sheetViews>
    <sheetView showGridLines="0" topLeftCell="A36" zoomScale="130" zoomScaleNormal="130" workbookViewId="0">
      <selection activeCell="K52" sqref="K5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235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67243.869415029592</v>
      </c>
      <c r="I7" s="10">
        <f t="shared" si="0"/>
        <v>69499.574904758236</v>
      </c>
      <c r="J7" s="10">
        <f t="shared" si="0"/>
        <v>70400.361355721587</v>
      </c>
      <c r="K7" s="10">
        <f t="shared" si="0"/>
        <v>68894.249503047919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4192.3289288814958</v>
      </c>
      <c r="J8" s="76">
        <f t="shared" si="0"/>
        <v>2902.374208220388</v>
      </c>
      <c r="K8" s="76">
        <f t="shared" si="0"/>
        <v>2027.5304070447819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67243.869415029592</v>
      </c>
      <c r="I9" s="96">
        <f t="shared" si="1"/>
        <v>65307.245975876736</v>
      </c>
      <c r="J9" s="96">
        <f t="shared" si="1"/>
        <v>67497.987147501204</v>
      </c>
      <c r="K9" s="96">
        <f t="shared" si="1"/>
        <v>66866.719096003129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1146.8355656667195</v>
      </c>
      <c r="I13" s="86">
        <f t="shared" ref="I13:K13" si="2">I133+I167</f>
        <v>128.40509171401723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3676.1473473989754</v>
      </c>
      <c r="I14" s="86">
        <f t="shared" si="3"/>
        <v>2778.5944572746721</v>
      </c>
      <c r="J14" s="86">
        <f t="shared" si="3"/>
        <v>1515.1348075999622</v>
      </c>
      <c r="K14" s="86">
        <f t="shared" si="3"/>
        <v>411.03027021758419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623.71893019819117</v>
      </c>
      <c r="I15" s="86">
        <f t="shared" si="3"/>
        <v>996.83870600940497</v>
      </c>
      <c r="J15" s="86">
        <f t="shared" si="3"/>
        <v>1214.9865304926207</v>
      </c>
      <c r="K15" s="86">
        <f t="shared" si="3"/>
        <v>1435.5001434995388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125.59756428433397</v>
      </c>
      <c r="I16" s="86">
        <f t="shared" si="3"/>
        <v>70.751000459511829</v>
      </c>
      <c r="J16" s="86">
        <f t="shared" si="3"/>
        <v>33.461361566722147</v>
      </c>
      <c r="K16" s="86">
        <f t="shared" si="3"/>
        <v>0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213.99844443112971</v>
      </c>
      <c r="I17" s="86">
        <f t="shared" si="3"/>
        <v>185.06692817876569</v>
      </c>
      <c r="J17" s="86">
        <f t="shared" si="3"/>
        <v>155.23306673599151</v>
      </c>
      <c r="K17" s="86">
        <f t="shared" si="3"/>
        <v>130.00414531479362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1168.429474955554</v>
      </c>
      <c r="I18" s="86">
        <f t="shared" si="3"/>
        <v>728.74886222946895</v>
      </c>
      <c r="J18" s="86">
        <f t="shared" si="3"/>
        <v>592.58673445666943</v>
      </c>
      <c r="K18" s="86">
        <f t="shared" si="3"/>
        <v>501.80310275799695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330.97384284191594</v>
      </c>
      <c r="I19" s="86">
        <f t="shared" si="3"/>
        <v>988.59503250904879</v>
      </c>
      <c r="J19" s="86">
        <f t="shared" si="3"/>
        <v>1244.5550326813964</v>
      </c>
      <c r="K19" s="86">
        <f t="shared" si="3"/>
        <v>1316.8081915728944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7285.7011697768185</v>
      </c>
      <c r="I20" s="13">
        <f t="shared" ref="I20:K20" si="4">SUM(I13:I19)</f>
        <v>5877.0000783748892</v>
      </c>
      <c r="J20" s="13">
        <f t="shared" si="4"/>
        <v>4755.9575335333629</v>
      </c>
      <c r="K20" s="13">
        <f t="shared" si="4"/>
        <v>3795.1458533628079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-0.37732113967152747</v>
      </c>
      <c r="J23" s="177">
        <f t="shared" ref="J23:K23" si="5">J118/$G118-1</f>
        <v>-0.4991698721544362</v>
      </c>
      <c r="K23" s="177">
        <f t="shared" si="5"/>
        <v>-0.60308306794058919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-0.35696520021212841</v>
      </c>
      <c r="J24" s="177">
        <f t="shared" ref="J24:K24" si="6">J129/$G129-1</f>
        <v>-0.46172554732009619</v>
      </c>
      <c r="K24" s="177">
        <f t="shared" si="6"/>
        <v>-0.55865184114456323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67243.869415029592</v>
      </c>
      <c r="H34" s="125">
        <f>'Init. parc'!C21</f>
        <v>67243.869415029592</v>
      </c>
      <c r="I34" s="125">
        <f>'Init. parc'!D21</f>
        <v>69499.574904758236</v>
      </c>
      <c r="J34" s="125">
        <f>'Init. parc'!E21</f>
        <v>70400.361355721587</v>
      </c>
      <c r="K34" s="125">
        <f>'Init. parc'!F21</f>
        <v>68894.249503047919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parc'!N21</f>
        <v>4192.3289288814958</v>
      </c>
      <c r="J35" s="125">
        <f>'Init. parc'!O21</f>
        <v>2902.374208220388</v>
      </c>
      <c r="K35" s="125">
        <f>'Init. parc'!P21</f>
        <v>2027.5304070447819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67243.869415029592</v>
      </c>
      <c r="H36" s="125">
        <f>H34-H35</f>
        <v>67243.869415029592</v>
      </c>
      <c r="I36" s="125">
        <f>I34-I35</f>
        <v>65307.245975876736</v>
      </c>
      <c r="J36" s="125">
        <f>J34-J35</f>
        <v>67497.987147501204</v>
      </c>
      <c r="K36" s="125">
        <f>K34-K35</f>
        <v>66866.719096003129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0.08</v>
      </c>
      <c r="H45" s="55">
        <f>'Init. énergie'!B12</f>
        <v>0.08</v>
      </c>
      <c r="I45" s="47">
        <v>0.01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0.34499999999999997</v>
      </c>
      <c r="H46" s="55">
        <f>'Init. énergie'!B13</f>
        <v>0.34499999999999997</v>
      </c>
      <c r="I46" s="47">
        <f>H46*0.86</f>
        <v>0.29669999999999996</v>
      </c>
      <c r="J46" s="47">
        <f>H46*0.5</f>
        <v>0.17249999999999999</v>
      </c>
      <c r="K46" s="47">
        <f>H46*0.15</f>
        <v>5.1749999999999997E-2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6.6000000000000003E-2</v>
      </c>
      <c r="H47" s="55">
        <f>'Init. énergie'!B14</f>
        <v>6.6000000000000003E-2</v>
      </c>
      <c r="I47" s="47">
        <v>0.11</v>
      </c>
      <c r="J47" s="47">
        <v>0.15</v>
      </c>
      <c r="K47" s="47">
        <v>0.2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1.4E-2</v>
      </c>
      <c r="H48" s="55">
        <f>'Init. énergie'!B15</f>
        <v>1.4E-2</v>
      </c>
      <c r="I48" s="47">
        <f t="shared" ref="I48:I49" si="8">H48+((K48-H48)/3)</f>
        <v>9.3333333333333324E-3</v>
      </c>
      <c r="J48" s="47">
        <f t="shared" ref="J48:J49" si="9">H48+((K48-H48)/3*2)</f>
        <v>4.6666666666666662E-3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2.7E-2</v>
      </c>
      <c r="H49" s="55">
        <f>'Init. énergie'!B16</f>
        <v>2.7E-2</v>
      </c>
      <c r="I49" s="47">
        <f t="shared" si="8"/>
        <v>2.4666666666666667E-2</v>
      </c>
      <c r="J49" s="47">
        <f t="shared" si="9"/>
        <v>2.2333333333333334E-2</v>
      </c>
      <c r="K49" s="47">
        <v>0.02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0.36199999999999999</v>
      </c>
      <c r="H50" s="55">
        <f>'Init. énergie'!B17</f>
        <v>0.36199999999999999</v>
      </c>
      <c r="I50" s="47">
        <f t="shared" ref="I50" si="10">1-I45-I46-I47-I48-I49-I51</f>
        <v>0.23930000000000012</v>
      </c>
      <c r="J50" s="47">
        <v>0.21</v>
      </c>
      <c r="K50" s="47">
        <v>0.2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0.107</v>
      </c>
      <c r="H51" s="55">
        <f>'Init. énergie'!B18</f>
        <v>0.107</v>
      </c>
      <c r="I51" s="47">
        <v>0.31</v>
      </c>
      <c r="J51" s="47">
        <v>0.44</v>
      </c>
      <c r="K51" s="123">
        <v>0.53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1">SUM(G45:G51)</f>
        <v>1.0010000000000001</v>
      </c>
      <c r="H52" s="149">
        <f t="shared" si="11"/>
        <v>1.0010000000000001</v>
      </c>
      <c r="I52" s="155">
        <f t="shared" si="11"/>
        <v>1</v>
      </c>
      <c r="J52" s="155">
        <f t="shared" si="11"/>
        <v>0.99950000000000006</v>
      </c>
      <c r="K52" s="155">
        <f>SUM(K45:K51)</f>
        <v>1.0017500000000001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2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-0.12775789319576933</v>
      </c>
      <c r="J55" s="142">
        <f t="shared" si="12"/>
        <v>-0.12917785596155348</v>
      </c>
      <c r="K55" s="142">
        <f t="shared" si="12"/>
        <v>-0.11187454786011725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0.08</v>
      </c>
      <c r="H59" s="55">
        <f>H45</f>
        <v>0.08</v>
      </c>
      <c r="I59" s="47">
        <f>I45</f>
        <v>0.01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3">H60</f>
        <v>0.34499999999999997</v>
      </c>
      <c r="H60" s="55">
        <f t="shared" ref="H60:K65" si="14">H46</f>
        <v>0.34499999999999997</v>
      </c>
      <c r="I60" s="47">
        <f t="shared" si="14"/>
        <v>0.29669999999999996</v>
      </c>
      <c r="J60" s="47">
        <f t="shared" si="14"/>
        <v>0.17249999999999999</v>
      </c>
      <c r="K60" s="47">
        <f t="shared" si="14"/>
        <v>5.1749999999999997E-2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3"/>
        <v>6.6000000000000003E-2</v>
      </c>
      <c r="H61" s="55">
        <f t="shared" si="14"/>
        <v>6.6000000000000003E-2</v>
      </c>
      <c r="I61" s="47">
        <f t="shared" si="14"/>
        <v>0.11</v>
      </c>
      <c r="J61" s="47">
        <f t="shared" si="14"/>
        <v>0.15</v>
      </c>
      <c r="K61" s="47">
        <f t="shared" si="14"/>
        <v>0.2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3"/>
        <v>1.4E-2</v>
      </c>
      <c r="H62" s="55">
        <f t="shared" si="14"/>
        <v>1.4E-2</v>
      </c>
      <c r="I62" s="47">
        <f t="shared" si="14"/>
        <v>9.3333333333333324E-3</v>
      </c>
      <c r="J62" s="47">
        <f t="shared" si="14"/>
        <v>4.6666666666666662E-3</v>
      </c>
      <c r="K62" s="47">
        <f t="shared" si="14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3"/>
        <v>2.7E-2</v>
      </c>
      <c r="H63" s="55">
        <f t="shared" si="14"/>
        <v>2.7E-2</v>
      </c>
      <c r="I63" s="47">
        <f t="shared" si="14"/>
        <v>2.4666666666666667E-2</v>
      </c>
      <c r="J63" s="47">
        <f t="shared" si="14"/>
        <v>2.2333333333333334E-2</v>
      </c>
      <c r="K63" s="47">
        <f t="shared" si="14"/>
        <v>0.02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3"/>
        <v>0.36199999999999999</v>
      </c>
      <c r="H64" s="55">
        <f t="shared" si="14"/>
        <v>0.36199999999999999</v>
      </c>
      <c r="I64" s="47">
        <f t="shared" si="14"/>
        <v>0.23930000000000012</v>
      </c>
      <c r="J64" s="47">
        <f t="shared" si="14"/>
        <v>0.21</v>
      </c>
      <c r="K64" s="47">
        <f t="shared" si="14"/>
        <v>0.2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3"/>
        <v>0.107</v>
      </c>
      <c r="H65" s="55">
        <f t="shared" si="14"/>
        <v>0.107</v>
      </c>
      <c r="I65" s="47">
        <f t="shared" si="14"/>
        <v>0.31</v>
      </c>
      <c r="J65" s="47">
        <f t="shared" si="14"/>
        <v>0.44</v>
      </c>
      <c r="K65" s="47">
        <f t="shared" si="14"/>
        <v>0.53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1.0010000000000001</v>
      </c>
      <c r="H66" s="149">
        <v>1</v>
      </c>
      <c r="I66" s="155">
        <f t="shared" ref="I66:J66" si="16">SUM(I59:I65)</f>
        <v>1</v>
      </c>
      <c r="J66" s="155">
        <f t="shared" si="16"/>
        <v>0.99950000000000006</v>
      </c>
      <c r="K66" s="155">
        <f>SUM(K59:K65)</f>
        <v>1.0017500000000001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-0.12775789319576933</v>
      </c>
      <c r="J69" s="142">
        <f>(I$101*(J59-I59)+I$102*(J60-I60)+I$103*(J61-I61)+I$104*(J62-I62)+I$105*(J63-I63)+I$106*(J64-I64)+I$107*(J65-I65))/(I$101*I59+I$102*I60+I$103*I61+I$104*I62+I$105*I63+I$106*I64+I$107*I65)</f>
        <v>-0.13324081312979208</v>
      </c>
      <c r="K69" s="142">
        <f>(J$101*(K59-J59)+J$102*(K60-J60)+J$103*(K61-J61)+J$104*(K62-J62)+J$105*(K63-J63)+J$106*(K64-J64)+J$107*(K65-J65))/(J$101*J59+J$102*J60+J$103*J61+J$104*J62+J$105*J63+J$106*J64+J$107*J65)</f>
        <v>-0.11460331443459086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bord'!F12</f>
        <v>0.61</v>
      </c>
      <c r="G73" s="92">
        <f>'Tableau de bord'!F25</f>
        <v>0.9</v>
      </c>
      <c r="H73" s="92">
        <f>'Tableau de bord'!F28</f>
        <v>0.70649999999999991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266.07905424765579</v>
      </c>
      <c r="H81" s="54">
        <f>'Init. énergie'!D12</f>
        <v>213.18589628380153</v>
      </c>
      <c r="I81" s="81">
        <f>G81*(1-F$77)/(1+I$55)</f>
        <v>195.99580325292507</v>
      </c>
      <c r="J81" s="81">
        <f>G81*(1-G$77)/(1+I$55)/(1+J$55)</f>
        <v>175.15162880563176</v>
      </c>
      <c r="K81" s="81">
        <f>G81*(1-H$77)/(1+I$55)/(1+J$55)/(1+K$55)</f>
        <v>157.77197096073746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7">H82/F82^10</f>
        <v>191.633781588989</v>
      </c>
      <c r="H82" s="54">
        <f>'Init. énergie'!D13</f>
        <v>158.46053551606883</v>
      </c>
      <c r="I82" s="81">
        <f t="shared" ref="I82:I87" si="18">G82*(1-F$77)/(1+I$55)</f>
        <v>141.15886370360701</v>
      </c>
      <c r="J82" s="81">
        <f t="shared" ref="J82:J87" si="19">G82*(1-G$77)/(1+I$55)/(1+J$55)</f>
        <v>126.14660358892125</v>
      </c>
      <c r="K82" s="81">
        <f t="shared" ref="K82:K87" si="20">G82*(1-H$77)/(1+I$55)/(1+J$55)/(1+K$55)</f>
        <v>113.62953581386857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7"/>
        <v>158.84994133294822</v>
      </c>
      <c r="H83" s="54">
        <f>'Init. énergie'!D14</f>
        <v>140.53752265291996</v>
      </c>
      <c r="I83" s="81">
        <f t="shared" si="18"/>
        <v>117.0100440121566</v>
      </c>
      <c r="J83" s="81">
        <f t="shared" si="19"/>
        <v>104.5660134309127</v>
      </c>
      <c r="K83" s="81">
        <f t="shared" si="20"/>
        <v>94.190308974001326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7"/>
        <v>150.79788503201149</v>
      </c>
      <c r="H84" s="54">
        <f>'Init. énergie'!D15</f>
        <v>133.41371741069062</v>
      </c>
      <c r="I84" s="81">
        <f t="shared" si="18"/>
        <v>111.07883966763509</v>
      </c>
      <c r="J84" s="81">
        <f t="shared" si="19"/>
        <v>99.265593297011307</v>
      </c>
      <c r="K84" s="81">
        <f t="shared" si="20"/>
        <v>89.41583021437981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7"/>
        <v>133.22597929974629</v>
      </c>
      <c r="H85" s="54">
        <f>'Init. énergie'!D16</f>
        <v>117.86752281231102</v>
      </c>
      <c r="I85" s="81">
        <f t="shared" si="18"/>
        <v>98.135243681028641</v>
      </c>
      <c r="J85" s="81">
        <f t="shared" si="19"/>
        <v>87.69855011532357</v>
      </c>
      <c r="K85" s="81">
        <f t="shared" si="20"/>
        <v>78.996542575393505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7"/>
        <v>64.229095385544738</v>
      </c>
      <c r="H86" s="54">
        <f>'Init. énergie'!D17</f>
        <v>48</v>
      </c>
      <c r="I86" s="81">
        <f t="shared" si="18"/>
        <v>47.311627658528828</v>
      </c>
      <c r="J86" s="81">
        <f t="shared" si="19"/>
        <v>42.280031043028103</v>
      </c>
      <c r="K86" s="81">
        <f t="shared" si="20"/>
        <v>38.084737638050591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7"/>
        <v>61.55279336006403</v>
      </c>
      <c r="H87" s="54">
        <f>'Init. énergie'!D18</f>
        <v>45.999932951694888</v>
      </c>
      <c r="I87" s="81">
        <f t="shared" si="18"/>
        <v>45.340243752664158</v>
      </c>
      <c r="J87" s="81">
        <f t="shared" si="19"/>
        <v>40.518304024476485</v>
      </c>
      <c r="K87" s="81">
        <f t="shared" si="20"/>
        <v>36.497820371525364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2">G81</f>
        <v>266.07905424765579</v>
      </c>
      <c r="H101" s="54">
        <f t="shared" si="22"/>
        <v>213.18589628380153</v>
      </c>
      <c r="I101" s="81">
        <f>$H101*(1+$G91)^(I$100-$H$100)</f>
        <v>198.1120241581049</v>
      </c>
      <c r="J101" s="81">
        <f>$H101*(1+$G91)^(J$100-$H$100)</f>
        <v>184.10398999271766</v>
      </c>
      <c r="K101" s="81">
        <f>$H101*(1+$G91)^(K$100-$H$100)</f>
        <v>171.08643089825321</v>
      </c>
      <c r="L101" s="67"/>
      <c r="M101" s="79">
        <f>(K101-G101)/H101</f>
        <v>-0.44558587132304767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2"/>
        <v>191.633781588989</v>
      </c>
      <c r="H102" s="54">
        <f t="shared" si="22"/>
        <v>158.46053551606883</v>
      </c>
      <c r="I102" s="81">
        <f t="shared" ref="I102:K107" si="23">$H102*(1+$G92)^(I$100-$H$100)</f>
        <v>148.79149724390919</v>
      </c>
      <c r="J102" s="81">
        <f t="shared" si="23"/>
        <v>139.71245004305325</v>
      </c>
      <c r="K102" s="81">
        <f t="shared" si="23"/>
        <v>131.18739349087164</v>
      </c>
      <c r="L102" s="67"/>
      <c r="M102" s="79">
        <f t="shared" ref="M102:M107" si="24">(K102-G102)/H102</f>
        <v>-0.38146020333237945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158.84994133294822</v>
      </c>
      <c r="H103" s="54">
        <f t="shared" si="22"/>
        <v>140.53752265291996</v>
      </c>
      <c r="I103" s="81">
        <f t="shared" si="23"/>
        <v>134.93760632490702</v>
      </c>
      <c r="J103" s="81">
        <f t="shared" si="23"/>
        <v>129.5608265819767</v>
      </c>
      <c r="K103" s="81">
        <f t="shared" si="23"/>
        <v>124.39829223135293</v>
      </c>
      <c r="L103" s="67"/>
      <c r="M103" s="79">
        <f t="shared" si="24"/>
        <v>-0.2451419980319362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150.79788503201149</v>
      </c>
      <c r="H104" s="54">
        <f t="shared" si="22"/>
        <v>133.41371741069062</v>
      </c>
      <c r="I104" s="81">
        <f t="shared" si="23"/>
        <v>128.09765917651976</v>
      </c>
      <c r="J104" s="81">
        <f t="shared" si="23"/>
        <v>122.99342680027097</v>
      </c>
      <c r="K104" s="81">
        <f t="shared" si="23"/>
        <v>118.0925797810867</v>
      </c>
      <c r="L104" s="67"/>
      <c r="M104" s="79">
        <f t="shared" si="24"/>
        <v>-0.24514199803193606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133.22597929974629</v>
      </c>
      <c r="H105" s="54">
        <f t="shared" si="22"/>
        <v>117.86752281231102</v>
      </c>
      <c r="I105" s="81">
        <f t="shared" si="23"/>
        <v>113.17092468620633</v>
      </c>
      <c r="J105" s="81">
        <f>$H105*(1+$G95)^(J$100-$H$100)</f>
        <v>108.66146915402257</v>
      </c>
      <c r="K105" s="81">
        <f>$H105*(1+$G95)^(K$100-$H$100)</f>
        <v>104.33169925446155</v>
      </c>
      <c r="L105" s="67"/>
      <c r="M105" s="79">
        <f t="shared" si="24"/>
        <v>-0.24514199803193609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64.229095385544738</v>
      </c>
      <c r="H106" s="54">
        <f t="shared" si="22"/>
        <v>48</v>
      </c>
      <c r="I106" s="81">
        <f t="shared" si="23"/>
        <v>43.599923315646762</v>
      </c>
      <c r="J106" s="81">
        <f t="shared" si="23"/>
        <v>39.603194023547459</v>
      </c>
      <c r="K106" s="81">
        <f t="shared" si="23"/>
        <v>35.972837968361439</v>
      </c>
      <c r="L106" s="67"/>
      <c r="M106" s="79">
        <f t="shared" si="24"/>
        <v>-0.58867202952465203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61.55279336006403</v>
      </c>
      <c r="H107" s="54">
        <f t="shared" si="22"/>
        <v>45.999932951694888</v>
      </c>
      <c r="I107" s="81">
        <f t="shared" si="23"/>
        <v>41.783198942058114</v>
      </c>
      <c r="J107" s="81">
        <f t="shared" si="23"/>
        <v>37.953005619919722</v>
      </c>
      <c r="K107" s="81">
        <f t="shared" si="23"/>
        <v>34.473919471391881</v>
      </c>
      <c r="L107" s="67"/>
      <c r="M107" s="79">
        <f t="shared" si="24"/>
        <v>-0.58867202952465203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G$36*G45*$H$73*G81/1000</f>
        <v>1011.2663062551306</v>
      </c>
      <c r="H111" s="54">
        <f t="shared" si="25"/>
        <v>810.23932714353725</v>
      </c>
      <c r="I111" s="125">
        <f t="shared" si="25"/>
        <v>90.431619431611324</v>
      </c>
      <c r="J111" s="125">
        <f t="shared" si="25"/>
        <v>0</v>
      </c>
      <c r="K111" s="125">
        <f t="shared" si="25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3140.9138685379444</v>
      </c>
      <c r="H112" s="54">
        <f t="shared" si="25"/>
        <v>2597.1981009373758</v>
      </c>
      <c r="I112" s="125">
        <f t="shared" si="25"/>
        <v>1932.409821218137</v>
      </c>
      <c r="J112" s="125">
        <f t="shared" si="25"/>
        <v>1037.6900428496815</v>
      </c>
      <c r="K112" s="125">
        <f t="shared" si="25"/>
        <v>277.79457956027727</v>
      </c>
      <c r="L112" s="46"/>
      <c r="M112" s="79">
        <f t="shared" ref="M112:M118" si="26">(K112-G112)/H112</f>
        <v>-1.1023877184972204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498.076276416165</v>
      </c>
      <c r="H113" s="54">
        <f t="shared" si="25"/>
        <v>440.65742418502197</v>
      </c>
      <c r="I113" s="125">
        <f t="shared" si="25"/>
        <v>593.86723356220989</v>
      </c>
      <c r="J113" s="125">
        <f t="shared" si="25"/>
        <v>747.97106576050373</v>
      </c>
      <c r="K113" s="125">
        <f t="shared" si="25"/>
        <v>889.93522645348969</v>
      </c>
      <c r="L113" s="46"/>
      <c r="M113" s="79">
        <f t="shared" si="26"/>
        <v>0.88925983889197358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100.29704746303433</v>
      </c>
      <c r="H114" s="54">
        <f t="shared" si="25"/>
        <v>88.734679166881932</v>
      </c>
      <c r="I114" s="125">
        <f t="shared" si="25"/>
        <v>47.834544973639503</v>
      </c>
      <c r="J114" s="125">
        <f t="shared" si="25"/>
        <v>22.090650860595819</v>
      </c>
      <c r="K114" s="125">
        <f t="shared" si="25"/>
        <v>0</v>
      </c>
      <c r="L114" s="46"/>
      <c r="M114" s="79">
        <f t="shared" si="26"/>
        <v>-1.1303027001924155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170.89035333149135</v>
      </c>
      <c r="H115" s="54">
        <f t="shared" si="25"/>
        <v>151.18990099059312</v>
      </c>
      <c r="I115" s="125">
        <f t="shared" si="25"/>
        <v>111.68864091228944</v>
      </c>
      <c r="J115" s="125">
        <f t="shared" si="25"/>
        <v>93.400445889326292</v>
      </c>
      <c r="K115" s="125">
        <f t="shared" si="25"/>
        <v>74.6380458580728</v>
      </c>
      <c r="L115" s="46"/>
      <c r="M115" s="79">
        <f t="shared" si="26"/>
        <v>-0.6366318573051204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1104.6005069172891</v>
      </c>
      <c r="H116" s="54">
        <f t="shared" si="25"/>
        <v>825.49542405609884</v>
      </c>
      <c r="I116" s="125">
        <f t="shared" si="25"/>
        <v>522.37709264074681</v>
      </c>
      <c r="J116" s="125">
        <f t="shared" si="25"/>
        <v>423.40655800892023</v>
      </c>
      <c r="K116" s="125">
        <f t="shared" si="25"/>
        <v>359.83478537792598</v>
      </c>
      <c r="L116" s="46"/>
      <c r="M116" s="79">
        <f t="shared" si="26"/>
        <v>-0.90220454267321348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312.89340299588929</v>
      </c>
      <c r="H117" s="54">
        <f t="shared" si="25"/>
        <v>233.83301996781358</v>
      </c>
      <c r="I117" s="125">
        <f t="shared" si="25"/>
        <v>648.51358854492719</v>
      </c>
      <c r="J117" s="125">
        <f t="shared" si="25"/>
        <v>850.17224633690751</v>
      </c>
      <c r="K117" s="125">
        <f t="shared" si="25"/>
        <v>913.82909172585596</v>
      </c>
      <c r="L117" s="46"/>
      <c r="M117" s="79">
        <f t="shared" si="26"/>
        <v>2.5699351135809803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6338.9377619169436</v>
      </c>
      <c r="H118" s="146">
        <f>SUM(H111:H117)</f>
        <v>5147.347876447323</v>
      </c>
      <c r="I118" s="144">
        <f t="shared" ref="I118:J118" si="27">SUM(I111:I117)</f>
        <v>3947.1225412835611</v>
      </c>
      <c r="J118" s="144">
        <f t="shared" si="27"/>
        <v>3174.7310097059349</v>
      </c>
      <c r="K118" s="144">
        <f>SUM(K111:K117)</f>
        <v>2516.0317289756213</v>
      </c>
      <c r="L118" s="21"/>
      <c r="M118" s="79">
        <f t="shared" si="26"/>
        <v>-0.74269432039628835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G$36*G45*(1-$H$73)*G101/1000</f>
        <v>420.10850797718473</v>
      </c>
      <c r="H122" s="147">
        <f t="shared" si="28"/>
        <v>336.59623852318231</v>
      </c>
      <c r="I122" s="143">
        <f t="shared" ref="I122:I128" si="29">I$36*I59*(1-$H$73)*I101/1000</f>
        <v>37.973472282405901</v>
      </c>
      <c r="J122" s="143">
        <f t="shared" ref="J122:K122" si="30">J$36*J59*(1-$H$73)*J101/1000</f>
        <v>0</v>
      </c>
      <c r="K122" s="143">
        <f t="shared" si="30"/>
        <v>0</v>
      </c>
      <c r="L122" s="46"/>
      <c r="M122" s="79">
        <f>(K122-G122)/H122</f>
        <v>-1.2481081482681236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1304.8240911760608</v>
      </c>
      <c r="H123" s="147">
        <f t="shared" si="28"/>
        <v>1078.9492464615996</v>
      </c>
      <c r="I123" s="143">
        <f t="shared" si="29"/>
        <v>846.18463605653517</v>
      </c>
      <c r="J123" s="143">
        <f t="shared" ref="J123:K123" si="31">J$36*J60*(1-$H$73)*J102/1000</f>
        <v>477.44476475028068</v>
      </c>
      <c r="K123" s="143">
        <f t="shared" si="31"/>
        <v>133.23569065730689</v>
      </c>
      <c r="L123" s="46"/>
      <c r="M123" s="79">
        <f t="shared" ref="M123:M129" si="32">(K123-G123)/H123</f>
        <v>-1.085860529919237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206.91491454797523</v>
      </c>
      <c r="H124" s="147">
        <f t="shared" si="28"/>
        <v>183.06150601316915</v>
      </c>
      <c r="I124" s="143">
        <f t="shared" si="29"/>
        <v>284.50844530759741</v>
      </c>
      <c r="J124" s="143">
        <f t="shared" ref="J124:K124" si="33">J$36*J61*(1-$H$73)*J103/1000</f>
        <v>385.00280770298173</v>
      </c>
      <c r="K124" s="143">
        <f t="shared" si="33"/>
        <v>488.27280239792998</v>
      </c>
      <c r="L124" s="46"/>
      <c r="M124" s="79">
        <f t="shared" si="32"/>
        <v>1.5369582277429441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41.666218585138843</v>
      </c>
      <c r="H125" s="147">
        <f t="shared" si="28"/>
        <v>36.862885117452031</v>
      </c>
      <c r="I125" s="143">
        <f t="shared" si="29"/>
        <v>22.916455485872319</v>
      </c>
      <c r="J125" s="143">
        <f t="shared" ref="J125:K125" si="34">J$36*J62*(1-$H$73)*J104/1000</f>
        <v>11.37071070612633</v>
      </c>
      <c r="K125" s="143">
        <f t="shared" si="34"/>
        <v>0</v>
      </c>
      <c r="L125" s="46"/>
      <c r="M125" s="79">
        <f t="shared" si="32"/>
        <v>-1.1303027001924157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70.992666245991146</v>
      </c>
      <c r="H126" s="147">
        <f t="shared" si="28"/>
        <v>62.808543440536596</v>
      </c>
      <c r="I126" s="143">
        <f t="shared" si="29"/>
        <v>53.507517823249785</v>
      </c>
      <c r="J126" s="143">
        <f t="shared" ref="J126:K126" si="35">J$36*J63*(1-$H$73)*J105/1000</f>
        <v>48.075969184100856</v>
      </c>
      <c r="K126" s="143">
        <f t="shared" si="35"/>
        <v>40.950989165649197</v>
      </c>
      <c r="L126" s="46"/>
      <c r="M126" s="79">
        <f t="shared" si="32"/>
        <v>-0.47830558447488319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458.88216387859097</v>
      </c>
      <c r="H127" s="147">
        <f t="shared" si="28"/>
        <v>342.93405089945526</v>
      </c>
      <c r="I127" s="143">
        <f t="shared" si="29"/>
        <v>199.98521969476769</v>
      </c>
      <c r="J127" s="143">
        <f t="shared" ref="J127:K127" si="36">J$36*J64*(1-$H$73)*J106/1000</f>
        <v>164.75873003784849</v>
      </c>
      <c r="K127" s="143">
        <f t="shared" si="36"/>
        <v>141.19613774401628</v>
      </c>
      <c r="L127" s="46"/>
      <c r="M127" s="79">
        <f t="shared" si="32"/>
        <v>-0.92637644264645214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129.9847328793964</v>
      </c>
      <c r="H128" s="147">
        <f t="shared" si="28"/>
        <v>97.140822874102369</v>
      </c>
      <c r="I128" s="143">
        <f t="shared" si="29"/>
        <v>248.27492305332191</v>
      </c>
      <c r="J128" s="143">
        <f t="shared" ref="J128:K128" si="37">J$36*J65*(1-$H$73)*J107/1000</f>
        <v>330.82458684294335</v>
      </c>
      <c r="K128" s="143">
        <f t="shared" si="37"/>
        <v>358.57883549056277</v>
      </c>
      <c r="L128" s="46"/>
      <c r="M128" s="79">
        <f t="shared" si="32"/>
        <v>2.3532238645685726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2633.3732952903379</v>
      </c>
      <c r="H129" s="148">
        <f>SUM(H122:H128)</f>
        <v>2138.3532933294973</v>
      </c>
      <c r="I129" s="145">
        <f t="shared" ref="I129:K129" si="38">SUM(I122:I128)</f>
        <v>1693.3506697037501</v>
      </c>
      <c r="J129" s="145">
        <f t="shared" si="38"/>
        <v>1417.4775692242813</v>
      </c>
      <c r="K129" s="145">
        <f t="shared" si="38"/>
        <v>1162.234455455465</v>
      </c>
      <c r="L129" s="21"/>
      <c r="M129" s="79">
        <f t="shared" si="32"/>
        <v>-0.68797744714310227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1146.8355656667195</v>
      </c>
      <c r="I133" s="143">
        <f t="shared" ref="I133:K133" si="39">I111+I122</f>
        <v>128.40509171401723</v>
      </c>
      <c r="J133" s="143">
        <f t="shared" si="39"/>
        <v>0</v>
      </c>
      <c r="K133" s="143">
        <f t="shared" si="39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40">H112+H123</f>
        <v>3676.1473473989754</v>
      </c>
      <c r="I134" s="143">
        <f t="shared" si="40"/>
        <v>2778.5944572746721</v>
      </c>
      <c r="J134" s="143">
        <f t="shared" si="40"/>
        <v>1515.1348075999622</v>
      </c>
      <c r="K134" s="143">
        <f t="shared" si="40"/>
        <v>411.03027021758419</v>
      </c>
      <c r="L134" s="46"/>
      <c r="M134" s="79">
        <f t="shared" ref="M134:M140" si="41">(K134-G134)/H134</f>
        <v>0.11181006400856182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40"/>
        <v>623.71893019819117</v>
      </c>
      <c r="I135" s="143">
        <f t="shared" si="40"/>
        <v>878.3756788698073</v>
      </c>
      <c r="J135" s="143">
        <f t="shared" si="40"/>
        <v>1132.9738734634855</v>
      </c>
      <c r="K135" s="143">
        <f t="shared" si="40"/>
        <v>1378.2080288514196</v>
      </c>
      <c r="L135" s="46"/>
      <c r="M135" s="79">
        <f t="shared" si="41"/>
        <v>2.2096620162121487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40"/>
        <v>125.59756428433397</v>
      </c>
      <c r="I136" s="143">
        <f t="shared" si="40"/>
        <v>70.751000459511829</v>
      </c>
      <c r="J136" s="143">
        <f t="shared" si="40"/>
        <v>33.461361566722147</v>
      </c>
      <c r="K136" s="143">
        <f t="shared" si="40"/>
        <v>0</v>
      </c>
      <c r="L136" s="46"/>
      <c r="M136" s="79">
        <f t="shared" si="41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40"/>
        <v>213.99844443112971</v>
      </c>
      <c r="I137" s="143">
        <f t="shared" si="40"/>
        <v>165.19615873553923</v>
      </c>
      <c r="J137" s="143">
        <f t="shared" si="40"/>
        <v>141.47641507342715</v>
      </c>
      <c r="K137" s="143">
        <f t="shared" si="40"/>
        <v>115.589035023722</v>
      </c>
      <c r="L137" s="46"/>
      <c r="M137" s="79">
        <f t="shared" si="41"/>
        <v>0.54013960396296978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40"/>
        <v>1168.429474955554</v>
      </c>
      <c r="I138" s="143">
        <f t="shared" si="40"/>
        <v>722.3623123355145</v>
      </c>
      <c r="J138" s="143">
        <f t="shared" si="40"/>
        <v>588.16528804676875</v>
      </c>
      <c r="K138" s="143">
        <f t="shared" si="40"/>
        <v>501.03092312194224</v>
      </c>
      <c r="L138" s="46"/>
      <c r="M138" s="79">
        <f t="shared" si="41"/>
        <v>0.42880715855015639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40"/>
        <v>330.97384284191594</v>
      </c>
      <c r="I139" s="143">
        <f t="shared" si="40"/>
        <v>896.7885115982491</v>
      </c>
      <c r="J139" s="143">
        <f t="shared" si="40"/>
        <v>1180.9968331798509</v>
      </c>
      <c r="K139" s="143">
        <f t="shared" si="40"/>
        <v>1272.4079272164188</v>
      </c>
      <c r="L139" s="46"/>
      <c r="M139" s="79">
        <f t="shared" si="41"/>
        <v>3.8444365158613545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7285.7011697768185</v>
      </c>
      <c r="I140" s="145">
        <f t="shared" ref="I140:K140" si="42">SUM(I133:I139)</f>
        <v>5640.4732109873112</v>
      </c>
      <c r="J140" s="145">
        <f t="shared" si="42"/>
        <v>4592.2085789302164</v>
      </c>
      <c r="K140" s="145">
        <f t="shared" si="42"/>
        <v>3678.2661844310869</v>
      </c>
      <c r="L140" s="21"/>
      <c r="M140" s="79">
        <f t="shared" si="41"/>
        <v>0.50486097339396674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énergie'!C12</f>
        <v>0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énergie'!C13</f>
        <v>0.38923402073260943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énergie'!C14</f>
        <v>6.6076657693018501E-2</v>
      </c>
      <c r="I148" s="47">
        <v>0.3</v>
      </c>
      <c r="J148" s="47">
        <v>0.3</v>
      </c>
      <c r="K148" s="47">
        <v>0.3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énergie'!C15</f>
        <v>1.4740928196769911E-2</v>
      </c>
      <c r="I149" s="47">
        <v>0</v>
      </c>
      <c r="J149" s="47">
        <v>0</v>
      </c>
      <c r="K149" s="47"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énergie'!C16</f>
        <v>2.5736644706610589E-2</v>
      </c>
      <c r="I150" s="47">
        <v>0.06</v>
      </c>
      <c r="J150" s="47">
        <v>0.06</v>
      </c>
      <c r="K150" s="47">
        <v>0.09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énergie'!C17</f>
        <v>8.0042733231366181E-2</v>
      </c>
      <c r="I151" s="47">
        <f>1-I146-I147-I148-I149-I150-I152</f>
        <v>3.9999999999999925E-2</v>
      </c>
      <c r="J151" s="47">
        <f t="shared" ref="J151:K151" si="43">1-J146-J147-J148-J149-J150-J152</f>
        <v>3.9999999999999925E-2</v>
      </c>
      <c r="K151" s="47">
        <f t="shared" si="43"/>
        <v>1.0000000000000009E-2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énergie'!C18</f>
        <v>0.42416901543962537</v>
      </c>
      <c r="I152" s="47">
        <v>0.6</v>
      </c>
      <c r="J152" s="47">
        <v>0.6</v>
      </c>
      <c r="K152" s="47">
        <v>0.6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4">SUM(I146:I152)</f>
        <v>0.99999999999999989</v>
      </c>
      <c r="J153" s="15">
        <f t="shared" si="44"/>
        <v>0.99999999999999989</v>
      </c>
      <c r="K153" s="15">
        <f t="shared" si="44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157.77197096073746</v>
      </c>
      <c r="J157" s="45">
        <f>K157</f>
        <v>157.77197096073746</v>
      </c>
      <c r="K157" s="45">
        <f t="shared" ref="K157:K163" si="45">K81</f>
        <v>157.77197096073746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6">J158</f>
        <v>113.62953581386857</v>
      </c>
      <c r="J158" s="45">
        <f t="shared" si="46"/>
        <v>113.62953581386857</v>
      </c>
      <c r="K158" s="45">
        <f t="shared" si="45"/>
        <v>113.62953581386857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6"/>
        <v>94.190308974001326</v>
      </c>
      <c r="J159" s="45">
        <f t="shared" si="46"/>
        <v>94.190308974001326</v>
      </c>
      <c r="K159" s="45">
        <f t="shared" si="45"/>
        <v>94.190308974001326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6"/>
        <v>89.41583021437981</v>
      </c>
      <c r="J160" s="45">
        <f t="shared" si="46"/>
        <v>89.41583021437981</v>
      </c>
      <c r="K160" s="45">
        <f t="shared" si="45"/>
        <v>89.41583021437981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6"/>
        <v>78.996542575393505</v>
      </c>
      <c r="J161" s="45">
        <f t="shared" si="46"/>
        <v>78.996542575393505</v>
      </c>
      <c r="K161" s="45">
        <f t="shared" si="45"/>
        <v>78.996542575393505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6"/>
        <v>38.084737638050591</v>
      </c>
      <c r="J162" s="45">
        <f t="shared" si="46"/>
        <v>38.084737638050591</v>
      </c>
      <c r="K162" s="45">
        <f t="shared" si="45"/>
        <v>38.084737638050591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6"/>
        <v>36.497820371525364</v>
      </c>
      <c r="J163" s="45">
        <f t="shared" si="46"/>
        <v>36.497820371525364</v>
      </c>
      <c r="K163" s="45">
        <f t="shared" si="45"/>
        <v>36.497820371525364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7">I$35*I146*I157/1000</f>
        <v>0</v>
      </c>
      <c r="J167" s="10">
        <f t="shared" si="47"/>
        <v>0</v>
      </c>
      <c r="K167" s="10">
        <f t="shared" si="47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8">H$35*H147*H158/1000</f>
        <v>0</v>
      </c>
      <c r="I168" s="10">
        <f t="shared" si="48"/>
        <v>0</v>
      </c>
      <c r="J168" s="10">
        <f t="shared" si="48"/>
        <v>0</v>
      </c>
      <c r="K168" s="10">
        <f t="shared" si="48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8"/>
        <v>0</v>
      </c>
      <c r="I169" s="10">
        <f t="shared" si="48"/>
        <v>118.46302713959763</v>
      </c>
      <c r="J169" s="10">
        <f t="shared" si="48"/>
        <v>82.012657029135241</v>
      </c>
      <c r="K169" s="10">
        <f t="shared" si="48"/>
        <v>57.292114648119195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8"/>
        <v>0</v>
      </c>
      <c r="I170" s="10">
        <f t="shared" si="48"/>
        <v>0</v>
      </c>
      <c r="J170" s="10">
        <f t="shared" si="48"/>
        <v>0</v>
      </c>
      <c r="K170" s="10">
        <f t="shared" si="48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8"/>
        <v>0</v>
      </c>
      <c r="I171" s="10">
        <f t="shared" si="48"/>
        <v>19.870769443226454</v>
      </c>
      <c r="J171" s="10">
        <f t="shared" si="48"/>
        <v>13.756651662564355</v>
      </c>
      <c r="K171" s="10">
        <f t="shared" si="48"/>
        <v>14.415110291071622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8"/>
        <v>0</v>
      </c>
      <c r="I172" s="10">
        <f t="shared" si="48"/>
        <v>6.3865498939544452</v>
      </c>
      <c r="J172" s="10">
        <f t="shared" si="48"/>
        <v>4.4214464099007236</v>
      </c>
      <c r="K172" s="10">
        <f t="shared" si="48"/>
        <v>0.77217963605470519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8"/>
        <v>0</v>
      </c>
      <c r="I173" s="10">
        <f t="shared" si="48"/>
        <v>91.806520910799691</v>
      </c>
      <c r="J173" s="10">
        <f t="shared" si="48"/>
        <v>63.558199501545523</v>
      </c>
      <c r="K173" s="10">
        <f t="shared" si="48"/>
        <v>44.400264356475688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9">SUM(I167:I173)</f>
        <v>236.52686738757822</v>
      </c>
      <c r="J174" s="11">
        <f t="shared" si="49"/>
        <v>163.74895460314585</v>
      </c>
      <c r="K174" s="11">
        <f t="shared" si="49"/>
        <v>116.87966893172121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0">H$36*($H$73*H45+(1-$H$73)*H59)+H$35*H146</f>
        <v>5379.5095532023679</v>
      </c>
      <c r="I181" s="10">
        <f t="shared" si="50"/>
        <v>653.07245975876742</v>
      </c>
      <c r="J181" s="10">
        <f t="shared" si="50"/>
        <v>0</v>
      </c>
      <c r="K181" s="10">
        <f t="shared" si="50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0"/>
        <v>23199.134948185208</v>
      </c>
      <c r="I182" s="10">
        <f t="shared" si="50"/>
        <v>19376.659881042626</v>
      </c>
      <c r="J182" s="10">
        <f t="shared" si="50"/>
        <v>11643.402782943956</v>
      </c>
      <c r="K182" s="10">
        <f t="shared" si="50"/>
        <v>3460.3527132181616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0"/>
        <v>4438.0953813919532</v>
      </c>
      <c r="I183" s="10">
        <f t="shared" si="50"/>
        <v>8441.4957360108892</v>
      </c>
      <c r="J183" s="10">
        <f t="shared" si="50"/>
        <v>10995.410334591297</v>
      </c>
      <c r="K183" s="10">
        <f t="shared" si="50"/>
        <v>13981.602941314062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0"/>
        <v>941.41417181041436</v>
      </c>
      <c r="I184" s="10">
        <f t="shared" si="50"/>
        <v>609.53429577484951</v>
      </c>
      <c r="J184" s="10">
        <f t="shared" si="50"/>
        <v>314.99060668833891</v>
      </c>
      <c r="K184" s="10">
        <f t="shared" si="50"/>
        <v>0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0"/>
        <v>1815.5844742057991</v>
      </c>
      <c r="I185" s="10">
        <f t="shared" si="50"/>
        <v>1862.4518031378493</v>
      </c>
      <c r="J185" s="10">
        <f t="shared" si="50"/>
        <v>1681.597498787417</v>
      </c>
      <c r="K185" s="10">
        <f t="shared" si="50"/>
        <v>1519.8121185540931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0"/>
        <v>24342.280728240712</v>
      </c>
      <c r="I186" s="10">
        <f t="shared" si="50"/>
        <v>15795.717119182571</v>
      </c>
      <c r="J186" s="10">
        <f t="shared" si="50"/>
        <v>14290.672269304067</v>
      </c>
      <c r="K186" s="10">
        <f t="shared" si="50"/>
        <v>13393.619123271075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0"/>
        <v>7195.0940274081649</v>
      </c>
      <c r="I187" s="10">
        <f t="shared" si="50"/>
        <v>22760.643609850686</v>
      </c>
      <c r="J187" s="10">
        <f t="shared" si="50"/>
        <v>31440.538869832762</v>
      </c>
      <c r="K187" s="10">
        <f t="shared" si="50"/>
        <v>36655.879365108529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67311.113284444626</v>
      </c>
      <c r="I188" s="10">
        <f t="shared" ref="I188:K188" si="51">SUM(I181:I187)</f>
        <v>69499.574904758236</v>
      </c>
      <c r="J188" s="10">
        <f t="shared" si="51"/>
        <v>70366.612362147833</v>
      </c>
      <c r="K188" s="10">
        <f t="shared" si="51"/>
        <v>69011.26626146592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GB1593"/>
  <sheetViews>
    <sheetView showGridLines="0" topLeftCell="A36" zoomScale="130" zoomScaleNormal="130" workbookViewId="0">
      <selection activeCell="K52" sqref="K5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236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184229.64520786435</v>
      </c>
      <c r="I7" s="10">
        <f t="shared" si="0"/>
        <v>187867.27447352451</v>
      </c>
      <c r="J7" s="10">
        <f t="shared" si="0"/>
        <v>187726.8956963571</v>
      </c>
      <c r="K7" s="10">
        <f t="shared" si="0"/>
        <v>181190.51804162841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12185.884803305064</v>
      </c>
      <c r="J8" s="76">
        <f t="shared" si="0"/>
        <v>8717.0415355715377</v>
      </c>
      <c r="K8" s="76">
        <f t="shared" si="0"/>
        <v>8710.5279603109702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184229.64520786435</v>
      </c>
      <c r="I9" s="96">
        <f t="shared" si="1"/>
        <v>175681.38967021945</v>
      </c>
      <c r="J9" s="96">
        <f t="shared" si="1"/>
        <v>179009.85416078556</v>
      </c>
      <c r="K9" s="96">
        <f t="shared" si="1"/>
        <v>172479.99008131743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3430.6717540831437</v>
      </c>
      <c r="I13" s="86">
        <f t="shared" ref="I13:K13" si="2">I133+I167</f>
        <v>332.27434245887554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7861.9618349850271</v>
      </c>
      <c r="I14" s="86">
        <f t="shared" si="3"/>
        <v>5881.4585237027622</v>
      </c>
      <c r="J14" s="86">
        <f t="shared" si="3"/>
        <v>3084.6816412397748</v>
      </c>
      <c r="K14" s="86">
        <f t="shared" si="3"/>
        <v>812.44436953738011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392.69537442242785</v>
      </c>
      <c r="I15" s="86">
        <f t="shared" si="3"/>
        <v>1758.8855489183268</v>
      </c>
      <c r="J15" s="86">
        <f t="shared" si="3"/>
        <v>1584.5979865788358</v>
      </c>
      <c r="K15" s="86">
        <f t="shared" si="3"/>
        <v>1465.6858519776661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159.09604448839201</v>
      </c>
      <c r="I16" s="86">
        <f t="shared" si="3"/>
        <v>93.479225666943606</v>
      </c>
      <c r="J16" s="86">
        <f t="shared" si="3"/>
        <v>43.914850617708019</v>
      </c>
      <c r="K16" s="86">
        <f t="shared" si="3"/>
        <v>4.1271599311841776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142.21438786032849</v>
      </c>
      <c r="I17" s="86">
        <f t="shared" si="3"/>
        <v>212.88388424574569</v>
      </c>
      <c r="J17" s="86">
        <f t="shared" si="3"/>
        <v>270.95130278416588</v>
      </c>
      <c r="K17" s="86">
        <f t="shared" si="3"/>
        <v>317.33068192596113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2654.7491874453258</v>
      </c>
      <c r="I18" s="86">
        <f t="shared" si="3"/>
        <v>1412.6336887374412</v>
      </c>
      <c r="J18" s="86">
        <f t="shared" si="3"/>
        <v>1449.3518820745273</v>
      </c>
      <c r="K18" s="86">
        <f t="shared" si="3"/>
        <v>1263.8273857164431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822.29267193269948</v>
      </c>
      <c r="I19" s="86">
        <f t="shared" si="3"/>
        <v>2490.9183388563943</v>
      </c>
      <c r="J19" s="86">
        <f t="shared" si="3"/>
        <v>3254.128103743938</v>
      </c>
      <c r="K19" s="86">
        <f t="shared" si="3"/>
        <v>3677.8657124306987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15463.681255217345</v>
      </c>
      <c r="I20" s="13">
        <f t="shared" ref="I20:K20" si="4">SUM(I13:I19)</f>
        <v>12182.53355258649</v>
      </c>
      <c r="J20" s="13">
        <f t="shared" si="4"/>
        <v>9687.6257670389496</v>
      </c>
      <c r="K20" s="13">
        <f t="shared" si="4"/>
        <v>7541.2811615193332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-0.39271953573778151</v>
      </c>
      <c r="J23" s="177">
        <f t="shared" ref="J23:K23" si="5">J118/$G118-1</f>
        <v>-0.51845446162383113</v>
      </c>
      <c r="K23" s="177">
        <f t="shared" si="5"/>
        <v>-0.62881610033278712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-0.38601920198089656</v>
      </c>
      <c r="J24" s="177">
        <f t="shared" ref="J24:K24" si="6">J129/$G129-1</f>
        <v>-0.49182874164441703</v>
      </c>
      <c r="K24" s="177">
        <f t="shared" si="6"/>
        <v>-0.60889799789793186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184229.64520786435</v>
      </c>
      <c r="H34" s="125">
        <f>'Init. parc'!C22</f>
        <v>184229.64520786435</v>
      </c>
      <c r="I34" s="125">
        <f>'Init. parc'!D22</f>
        <v>187867.27447352451</v>
      </c>
      <c r="J34" s="125">
        <f>'Init. parc'!E22</f>
        <v>187726.8956963571</v>
      </c>
      <c r="K34" s="125">
        <f>'Init. parc'!F22</f>
        <v>181190.51804162841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parc'!N22</f>
        <v>12185.884803305064</v>
      </c>
      <c r="J35" s="125">
        <f>'Init. parc'!O22</f>
        <v>8717.0415355715377</v>
      </c>
      <c r="K35" s="125">
        <f>'Init. parc'!P22</f>
        <v>8710.5279603109702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184229.64520786435</v>
      </c>
      <c r="H36" s="125">
        <f>H34-H35</f>
        <v>184229.64520786435</v>
      </c>
      <c r="I36" s="125">
        <f>I34-I35</f>
        <v>175681.38967021945</v>
      </c>
      <c r="J36" s="125">
        <f>J34-J35</f>
        <v>179009.85416078556</v>
      </c>
      <c r="K36" s="125">
        <f>K34-K35</f>
        <v>172479.99008131743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0.184</v>
      </c>
      <c r="H45" s="55">
        <f>'Init. énergie'!B21</f>
        <v>0.184</v>
      </c>
      <c r="I45" s="47">
        <v>0.02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0.39300000000000002</v>
      </c>
      <c r="H46" s="55">
        <f>'Init. énergie'!B22</f>
        <v>0.39300000000000002</v>
      </c>
      <c r="I46" s="47">
        <f>H46*0.86</f>
        <v>0.33798</v>
      </c>
      <c r="J46" s="47">
        <f>H46*0.5</f>
        <v>0.19650000000000001</v>
      </c>
      <c r="K46" s="47">
        <f>H46*0.15</f>
        <v>5.8950000000000002E-2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4.2000000000000003E-2</v>
      </c>
      <c r="H47" s="55">
        <f>'Init. énergie'!B23</f>
        <v>4.2000000000000003E-2</v>
      </c>
      <c r="I47" s="47">
        <v>0.22</v>
      </c>
      <c r="J47" s="47">
        <v>0.22</v>
      </c>
      <c r="K47" s="47">
        <v>0.23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1.7999999999999999E-2</v>
      </c>
      <c r="H48" s="55">
        <f>'Init. énergie'!B24</f>
        <v>1.7999999999999999E-2</v>
      </c>
      <c r="I48" s="47">
        <f t="shared" ref="I48:I49" si="8">H48+((K48-H48)/3)</f>
        <v>1.2E-2</v>
      </c>
      <c r="J48" s="47">
        <f t="shared" ref="J48:J49" si="9">H48+((K48-H48)/3*2)</f>
        <v>6.0000000000000001E-3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1.4E-2</v>
      </c>
      <c r="H49" s="55">
        <f>'Init. énergie'!B25</f>
        <v>1.4E-2</v>
      </c>
      <c r="I49" s="47">
        <f t="shared" si="8"/>
        <v>2.2666666666666668E-2</v>
      </c>
      <c r="J49" s="47">
        <f t="shared" si="9"/>
        <v>3.1333333333333338E-2</v>
      </c>
      <c r="K49" s="47">
        <v>0.04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0.26200000000000001</v>
      </c>
      <c r="H50" s="55">
        <f>'Init. énergie'!B26</f>
        <v>0.26200000000000001</v>
      </c>
      <c r="I50" s="47">
        <f>1-I45-I46-I47-I48-I49-I51</f>
        <v>0.13735333333333338</v>
      </c>
      <c r="J50" s="47">
        <v>0.17</v>
      </c>
      <c r="K50" s="47">
        <v>0.17</v>
      </c>
      <c r="L50" s="64"/>
      <c r="M50" s="512"/>
      <c r="N50" s="33"/>
      <c r="O50" s="42"/>
      <c r="P50" s="17" t="s">
        <v>293</v>
      </c>
    </row>
    <row r="51" spans="1:17">
      <c r="C51" s="40"/>
      <c r="D51" s="32"/>
      <c r="E51" s="6" t="s">
        <v>26</v>
      </c>
      <c r="F51" s="55"/>
      <c r="G51" s="55">
        <f t="shared" si="7"/>
        <v>8.7999999999999995E-2</v>
      </c>
      <c r="H51" s="55">
        <f>'Init. énergie'!B27</f>
        <v>8.7999999999999995E-2</v>
      </c>
      <c r="I51" s="47">
        <v>0.25</v>
      </c>
      <c r="J51" s="47">
        <v>0.38</v>
      </c>
      <c r="K51" s="123">
        <v>0.5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0">SUM(G45:G51)</f>
        <v>1.0010000000000001</v>
      </c>
      <c r="H52" s="149">
        <f t="shared" si="10"/>
        <v>1.0010000000000001</v>
      </c>
      <c r="I52" s="155">
        <f t="shared" si="10"/>
        <v>1.0000000000000002</v>
      </c>
      <c r="J52" s="155">
        <f t="shared" si="10"/>
        <v>1.0038333333333334</v>
      </c>
      <c r="K52" s="155">
        <f>SUM(K45:K51)</f>
        <v>0.99895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1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-0.14281166112045829</v>
      </c>
      <c r="J55" s="142">
        <f t="shared" si="11"/>
        <v>-0.10899984476519657</v>
      </c>
      <c r="K55" s="142">
        <f t="shared" si="11"/>
        <v>-0.11556665422556586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0.184</v>
      </c>
      <c r="H59" s="55">
        <f>H45</f>
        <v>0.184</v>
      </c>
      <c r="I59" s="47">
        <f>I45</f>
        <v>0.02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2">H60</f>
        <v>0.39300000000000002</v>
      </c>
      <c r="H60" s="55">
        <f t="shared" ref="H60:K65" si="13">H46</f>
        <v>0.39300000000000002</v>
      </c>
      <c r="I60" s="47">
        <f>I46</f>
        <v>0.33798</v>
      </c>
      <c r="J60" s="47">
        <f t="shared" ref="J60:K60" si="14">J46</f>
        <v>0.19650000000000001</v>
      </c>
      <c r="K60" s="47">
        <f t="shared" si="14"/>
        <v>5.8950000000000002E-2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2"/>
        <v>4.2000000000000003E-2</v>
      </c>
      <c r="H61" s="55">
        <f t="shared" si="13"/>
        <v>4.2000000000000003E-2</v>
      </c>
      <c r="I61" s="47">
        <f t="shared" si="13"/>
        <v>0.22</v>
      </c>
      <c r="J61" s="47">
        <f t="shared" si="13"/>
        <v>0.22</v>
      </c>
      <c r="K61" s="47">
        <f t="shared" si="13"/>
        <v>0.23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2"/>
        <v>1.7999999999999999E-2</v>
      </c>
      <c r="H62" s="55">
        <f t="shared" si="13"/>
        <v>1.7999999999999999E-2</v>
      </c>
      <c r="I62" s="47">
        <f t="shared" si="13"/>
        <v>1.2E-2</v>
      </c>
      <c r="J62" s="47">
        <f t="shared" si="13"/>
        <v>6.0000000000000001E-3</v>
      </c>
      <c r="K62" s="47">
        <f t="shared" si="13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2"/>
        <v>1.4E-2</v>
      </c>
      <c r="H63" s="55">
        <f t="shared" si="13"/>
        <v>1.4E-2</v>
      </c>
      <c r="I63" s="47">
        <f t="shared" si="13"/>
        <v>2.2666666666666668E-2</v>
      </c>
      <c r="J63" s="47">
        <f t="shared" si="13"/>
        <v>3.1333333333333338E-2</v>
      </c>
      <c r="K63" s="47">
        <f t="shared" si="13"/>
        <v>0.04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2"/>
        <v>0.26200000000000001</v>
      </c>
      <c r="H64" s="55">
        <f t="shared" si="13"/>
        <v>0.26200000000000001</v>
      </c>
      <c r="I64" s="47">
        <f t="shared" si="13"/>
        <v>0.13735333333333338</v>
      </c>
      <c r="J64" s="47">
        <f t="shared" si="13"/>
        <v>0.17</v>
      </c>
      <c r="K64" s="47">
        <f t="shared" si="13"/>
        <v>0.17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2"/>
        <v>8.7999999999999995E-2</v>
      </c>
      <c r="H65" s="55">
        <f t="shared" si="13"/>
        <v>8.7999999999999995E-2</v>
      </c>
      <c r="I65" s="47">
        <f t="shared" si="13"/>
        <v>0.25</v>
      </c>
      <c r="J65" s="47">
        <f t="shared" si="13"/>
        <v>0.38</v>
      </c>
      <c r="K65" s="47">
        <f t="shared" si="13"/>
        <v>0.5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1.0010000000000001</v>
      </c>
      <c r="H66" s="149">
        <v>1</v>
      </c>
      <c r="I66" s="47">
        <f t="shared" ref="I66:J66" si="16">SUM(I59:I65)</f>
        <v>1.0000000000000002</v>
      </c>
      <c r="J66" s="47">
        <f t="shared" si="16"/>
        <v>1.0038333333333334</v>
      </c>
      <c r="K66" s="47">
        <f>SUM(K59:K65)</f>
        <v>0.99895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-0.14281166112045829</v>
      </c>
      <c r="J69" s="142">
        <f>(I$101*(J59-I59)+I$102*(J60-I60)+I$103*(J61-I61)+I$104*(J62-I62)+I$105*(J63-I63)+I$106*(J64-I64)+I$107*(J65-I65))/(I$101*I59+I$102*I60+I$103*I61+I$104*I62+I$105*I63+I$106*I64+I$107*I65)</f>
        <v>-0.12655488304775098</v>
      </c>
      <c r="K69" s="142">
        <f>(J$101*(K59-J59)+J$102*(K60-J60)+J$103*(K61-J61)+J$104*(K62-J62)+J$105*(K63-J63)+J$106*(K64-J64)+J$107*(K65-J65))/(J$101*J59+J$102*J60+J$103*J61+J$104*J62+J$105*J63+J$106*J64+J$107*J65)</f>
        <v>-0.13748861411418137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bord'!G12</f>
        <v>0.74</v>
      </c>
      <c r="G73" s="92">
        <f>'Tableau de bord'!G25</f>
        <v>0.9</v>
      </c>
      <c r="H73" s="92">
        <f>'Tableau de bord'!G28</f>
        <v>0.82350000000000001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126.31474410390804</v>
      </c>
      <c r="H81" s="54">
        <f>'Init. énergie'!D21</f>
        <v>101.20496711697824</v>
      </c>
      <c r="I81" s="81">
        <f>G81*(1-F$77)/(1+I$55)</f>
        <v>94.678403106654613</v>
      </c>
      <c r="J81" s="81">
        <f>G81*(1-G$77)/(1+I$55)/(1+J$55)</f>
        <v>82.693241634920597</v>
      </c>
      <c r="K81" s="81">
        <f>G81*(1-H$77)/(1+I$55)/(1+J$55)/(1+K$55)</f>
        <v>74.798845638287986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7">H82/F82^10</f>
        <v>131.31967996619326</v>
      </c>
      <c r="H82" s="54">
        <f>'Init. énergie'!D22</f>
        <v>108.58725762596659</v>
      </c>
      <c r="I82" s="81">
        <f t="shared" ref="I82:I87" si="18">G82*(1-F$77)/(1+I$55)</f>
        <v>98.429820555615208</v>
      </c>
      <c r="J82" s="81">
        <f t="shared" ref="J82:J87" si="19">G82*(1-G$77)/(1+I$55)/(1+J$55)</f>
        <v>85.969774185125289</v>
      </c>
      <c r="K82" s="81">
        <f t="shared" ref="K82:K87" si="20">G82*(1-H$77)/(1+I$55)/(1+J$55)/(1+K$55)</f>
        <v>77.762580613554604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7"/>
        <v>57.364306116285576</v>
      </c>
      <c r="H83" s="54">
        <f>'Init. énergie'!D23</f>
        <v>50.751277606007875</v>
      </c>
      <c r="I83" s="81">
        <f t="shared" si="18"/>
        <v>42.997046282605616</v>
      </c>
      <c r="J83" s="81">
        <f t="shared" si="19"/>
        <v>37.554130838371336</v>
      </c>
      <c r="K83" s="81">
        <f t="shared" si="20"/>
        <v>33.968986825559277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7"/>
        <v>54.227817579480956</v>
      </c>
      <c r="H84" s="54">
        <f>'Init. énergie'!D24</f>
        <v>47.976367366236985</v>
      </c>
      <c r="I84" s="81">
        <f t="shared" si="18"/>
        <v>40.646111495588926</v>
      </c>
      <c r="J84" s="81">
        <f t="shared" si="19"/>
        <v>35.500796476661471</v>
      </c>
      <c r="K84" s="81">
        <f t="shared" si="20"/>
        <v>32.11167615628603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7"/>
        <v>62.323344332935882</v>
      </c>
      <c r="H85" s="54">
        <f>'Init. énergie'!D25</f>
        <v>55.138631733186472</v>
      </c>
      <c r="I85" s="81">
        <f t="shared" si="18"/>
        <v>46.714061446813965</v>
      </c>
      <c r="J85" s="81">
        <f t="shared" si="19"/>
        <v>40.800616024526121</v>
      </c>
      <c r="K85" s="81">
        <f t="shared" si="20"/>
        <v>36.905542939519066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7"/>
        <v>73.595838462603339</v>
      </c>
      <c r="H86" s="54">
        <f>'Init. énergie'!D26</f>
        <v>55</v>
      </c>
      <c r="I86" s="81">
        <f t="shared" si="18"/>
        <v>55.163286838491999</v>
      </c>
      <c r="J86" s="81">
        <f t="shared" si="19"/>
        <v>48.180269821124945</v>
      </c>
      <c r="K86" s="81">
        <f t="shared" si="20"/>
        <v>43.580690439876605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7"/>
        <v>67.869523495464108</v>
      </c>
      <c r="H87" s="54">
        <f>'Init. énergie'!D27</f>
        <v>50.720582443629688</v>
      </c>
      <c r="I87" s="81">
        <f t="shared" si="18"/>
        <v>50.871164326424115</v>
      </c>
      <c r="J87" s="81">
        <f t="shared" si="19"/>
        <v>44.431479047612576</v>
      </c>
      <c r="K87" s="81">
        <f t="shared" si="20"/>
        <v>40.189781861928466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2">G81</f>
        <v>126.31474410390804</v>
      </c>
      <c r="H101" s="54">
        <f t="shared" si="22"/>
        <v>101.20496711697824</v>
      </c>
      <c r="I101" s="81">
        <f>$H101*(1+$G91)^(I$100-$H$100)</f>
        <v>94.049002489863369</v>
      </c>
      <c r="J101" s="81">
        <f>$H101*(1+$G91)^(J$100-$H$100)</f>
        <v>87.399019250849065</v>
      </c>
      <c r="K101" s="81">
        <f>$H101*(1+$G91)^(K$100-$H$100)</f>
        <v>81.219240648868919</v>
      </c>
      <c r="L101" s="67"/>
      <c r="M101" s="79">
        <f>(K101-G101)/H101</f>
        <v>-0.44558587132304756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2"/>
        <v>131.31967996619326</v>
      </c>
      <c r="H102" s="54">
        <f t="shared" si="22"/>
        <v>108.58725762596659</v>
      </c>
      <c r="I102" s="81">
        <f t="shared" ref="I102:K107" si="23">$H102*(1+$G92)^(I$100-$H$100)</f>
        <v>101.9614163940476</v>
      </c>
      <c r="J102" s="81">
        <f t="shared" si="23"/>
        <v>95.739874644318505</v>
      </c>
      <c r="K102" s="81">
        <f t="shared" si="23"/>
        <v>89.897962592886572</v>
      </c>
      <c r="L102" s="67"/>
      <c r="M102" s="79">
        <f t="shared" ref="M102:M107" si="24">(K102-G102)/H102</f>
        <v>-0.38146020333237951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57.364306116285576</v>
      </c>
      <c r="H103" s="54">
        <f t="shared" si="22"/>
        <v>50.751277606007875</v>
      </c>
      <c r="I103" s="81">
        <f t="shared" si="23"/>
        <v>48.729021181043805</v>
      </c>
      <c r="J103" s="81">
        <f t="shared" si="23"/>
        <v>46.787344423059864</v>
      </c>
      <c r="K103" s="81">
        <f t="shared" si="23"/>
        <v>44.92303652127535</v>
      </c>
      <c r="L103" s="67"/>
      <c r="M103" s="79">
        <f t="shared" si="24"/>
        <v>-0.24514199803193612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54.227817579480956</v>
      </c>
      <c r="H104" s="54">
        <f t="shared" si="22"/>
        <v>47.976367366236985</v>
      </c>
      <c r="I104" s="81">
        <f t="shared" si="23"/>
        <v>46.064681163852114</v>
      </c>
      <c r="J104" s="81">
        <f t="shared" si="23"/>
        <v>44.229168801568377</v>
      </c>
      <c r="K104" s="81">
        <f t="shared" si="23"/>
        <v>42.466795025007443</v>
      </c>
      <c r="L104" s="67"/>
      <c r="M104" s="79">
        <f t="shared" si="24"/>
        <v>-0.24514199803193615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62.323344332935882</v>
      </c>
      <c r="H105" s="54">
        <f t="shared" si="22"/>
        <v>55.138631733186472</v>
      </c>
      <c r="I105" s="81">
        <f t="shared" si="23"/>
        <v>52.941554978748975</v>
      </c>
      <c r="J105" s="81">
        <f>$H105*(1+$G95)^(J$100-$H$100)</f>
        <v>50.832023854537631</v>
      </c>
      <c r="K105" s="81">
        <f>$H105*(1+$G95)^(K$100-$H$100)</f>
        <v>48.806549981115431</v>
      </c>
      <c r="L105" s="67"/>
      <c r="M105" s="79">
        <f t="shared" si="24"/>
        <v>-0.24514199803193618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73.595838462603339</v>
      </c>
      <c r="H106" s="54">
        <f t="shared" si="22"/>
        <v>55</v>
      </c>
      <c r="I106" s="81">
        <f t="shared" si="23"/>
        <v>49.958245465845245</v>
      </c>
      <c r="J106" s="81">
        <f t="shared" si="23"/>
        <v>45.378659818648131</v>
      </c>
      <c r="K106" s="81">
        <f t="shared" si="23"/>
        <v>41.218876838747484</v>
      </c>
      <c r="L106" s="67"/>
      <c r="M106" s="79">
        <f t="shared" si="24"/>
        <v>-0.58867202952465192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67.869523495464108</v>
      </c>
      <c r="H107" s="54">
        <f t="shared" si="22"/>
        <v>50.720582443629688</v>
      </c>
      <c r="I107" s="81">
        <f t="shared" si="23"/>
        <v>46.071114688899868</v>
      </c>
      <c r="J107" s="81">
        <f t="shared" si="23"/>
        <v>41.847855572966694</v>
      </c>
      <c r="K107" s="81">
        <f t="shared" si="23"/>
        <v>38.011735289700184</v>
      </c>
      <c r="L107" s="67"/>
      <c r="M107" s="79">
        <f t="shared" si="24"/>
        <v>-0.58867202952465203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G$36*G45*$H$73*G81/1000</f>
        <v>3526.1029564457294</v>
      </c>
      <c r="H111" s="54">
        <f t="shared" si="25"/>
        <v>2825.1581894874689</v>
      </c>
      <c r="I111" s="125">
        <f t="shared" si="25"/>
        <v>273.94935458443007</v>
      </c>
      <c r="J111" s="125">
        <f t="shared" si="25"/>
        <v>0</v>
      </c>
      <c r="K111" s="125">
        <f t="shared" si="25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7829.7065473713392</v>
      </c>
      <c r="H112" s="54">
        <f t="shared" si="25"/>
        <v>6474.3255711101701</v>
      </c>
      <c r="I112" s="125">
        <f t="shared" si="25"/>
        <v>4812.9024202255114</v>
      </c>
      <c r="J112" s="125">
        <f t="shared" si="25"/>
        <v>2490.2840268909176</v>
      </c>
      <c r="K112" s="125">
        <f t="shared" si="25"/>
        <v>651.11364401674177</v>
      </c>
      <c r="L112" s="46"/>
      <c r="M112" s="79">
        <f t="shared" ref="M112:M118" si="26">(K112-G112)/H112</f>
        <v>-1.1087784858066172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365.52253273866791</v>
      </c>
      <c r="H113" s="54">
        <f t="shared" si="25"/>
        <v>323.38464083686932</v>
      </c>
      <c r="I113" s="125">
        <f t="shared" si="25"/>
        <v>1368.5184752616137</v>
      </c>
      <c r="J113" s="125">
        <f t="shared" si="25"/>
        <v>1217.9261018090233</v>
      </c>
      <c r="K113" s="125">
        <f t="shared" si="25"/>
        <v>1109.7183095876317</v>
      </c>
      <c r="L113" s="46"/>
      <c r="M113" s="79">
        <f t="shared" si="26"/>
        <v>2.3012712506169137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148.08727812399604</v>
      </c>
      <c r="H114" s="54">
        <f t="shared" si="25"/>
        <v>131.01559263619083</v>
      </c>
      <c r="I114" s="125">
        <f t="shared" si="25"/>
        <v>70.565043210793633</v>
      </c>
      <c r="J114" s="125">
        <f t="shared" si="25"/>
        <v>31.400017447801645</v>
      </c>
      <c r="K114" s="125">
        <f t="shared" si="25"/>
        <v>0</v>
      </c>
      <c r="L114" s="46"/>
      <c r="M114" s="79">
        <f t="shared" si="26"/>
        <v>-1.1303027001924155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132.37375998900404</v>
      </c>
      <c r="H115" s="54">
        <f t="shared" si="25"/>
        <v>117.11354840298051</v>
      </c>
      <c r="I115" s="125">
        <f t="shared" si="25"/>
        <v>153.18796513868287</v>
      </c>
      <c r="J115" s="125">
        <f t="shared" si="25"/>
        <v>188.45768910186499</v>
      </c>
      <c r="K115" s="125">
        <f t="shared" si="25"/>
        <v>209.6785053842689</v>
      </c>
      <c r="L115" s="46"/>
      <c r="M115" s="79">
        <f t="shared" si="26"/>
        <v>0.66008370892549506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2925.3488810322697</v>
      </c>
      <c r="H116" s="54">
        <f t="shared" si="25"/>
        <v>2186.1859558612259</v>
      </c>
      <c r="I116" s="125">
        <f t="shared" si="25"/>
        <v>1096.1719893981626</v>
      </c>
      <c r="J116" s="125">
        <f t="shared" si="25"/>
        <v>1207.420906659592</v>
      </c>
      <c r="K116" s="125">
        <f t="shared" si="25"/>
        <v>1052.3140036876896</v>
      </c>
      <c r="L116" s="46"/>
      <c r="M116" s="79">
        <f t="shared" si="26"/>
        <v>-0.85675917564236515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906.10930746123415</v>
      </c>
      <c r="H117" s="54">
        <f t="shared" si="25"/>
        <v>677.15801533657805</v>
      </c>
      <c r="I117" s="125">
        <f t="shared" si="25"/>
        <v>1839.9289300543298</v>
      </c>
      <c r="J117" s="125">
        <f t="shared" si="25"/>
        <v>2488.94276185542</v>
      </c>
      <c r="K117" s="125">
        <f t="shared" si="25"/>
        <v>2854.2234855950533</v>
      </c>
      <c r="L117" s="46"/>
      <c r="M117" s="79">
        <f t="shared" si="26"/>
        <v>2.8768974656019077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15833.251263162243</v>
      </c>
      <c r="H118" s="146">
        <f>SUM(H111:H117)</f>
        <v>12734.341513671485</v>
      </c>
      <c r="I118" s="144">
        <f t="shared" ref="I118:J118" si="27">SUM(I111:I117)</f>
        <v>9615.2241778735242</v>
      </c>
      <c r="J118" s="144">
        <f t="shared" si="27"/>
        <v>7624.4315037646193</v>
      </c>
      <c r="K118" s="144">
        <f>SUM(K111:K117)</f>
        <v>5877.0479482713854</v>
      </c>
      <c r="L118" s="21"/>
      <c r="M118" s="79">
        <f t="shared" si="26"/>
        <v>-0.78183888065212948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G$36*G45*(1-$H$73)*G101/1000</f>
        <v>755.74641385873849</v>
      </c>
      <c r="H122" s="147">
        <f t="shared" si="28"/>
        <v>605.51356459567489</v>
      </c>
      <c r="I122" s="143">
        <f t="shared" ref="I122:I128" si="29">I$36*I59*(1-$H$73)*I101/1000</f>
        <v>58.324987874445448</v>
      </c>
      <c r="J122" s="143">
        <f t="shared" ref="J122:K122" si="30">J$36*J59*(1-$H$73)*J101/1000</f>
        <v>0</v>
      </c>
      <c r="K122" s="143">
        <f t="shared" si="30"/>
        <v>0</v>
      </c>
      <c r="L122" s="46"/>
      <c r="M122" s="79">
        <f>(K122-G122)/H122</f>
        <v>-1.2481081482681233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1678.1338258786172</v>
      </c>
      <c r="H123" s="147">
        <f t="shared" si="28"/>
        <v>1387.6362638748571</v>
      </c>
      <c r="I123" s="143">
        <f t="shared" si="29"/>
        <v>1068.5561034772504</v>
      </c>
      <c r="J123" s="143">
        <f t="shared" ref="J123:K123" si="31">J$36*J60*(1-$H$73)*J102/1000</f>
        <v>594.39761434885702</v>
      </c>
      <c r="K123" s="143">
        <f t="shared" si="31"/>
        <v>161.33072552063834</v>
      </c>
      <c r="L123" s="46"/>
      <c r="M123" s="79">
        <f t="shared" ref="M123:M129" si="32">(K123-G123)/H123</f>
        <v>-1.0930840738641656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78.342109324073931</v>
      </c>
      <c r="H124" s="147">
        <f t="shared" si="28"/>
        <v>69.310733585558509</v>
      </c>
      <c r="I124" s="143">
        <f t="shared" si="29"/>
        <v>332.41517120893758</v>
      </c>
      <c r="J124" s="143">
        <f t="shared" ref="J124:K124" si="33">J$36*J61*(1-$H$73)*J103/1000</f>
        <v>325.21661509865697</v>
      </c>
      <c r="K124" s="143">
        <f t="shared" si="33"/>
        <v>314.54324905618859</v>
      </c>
      <c r="L124" s="46"/>
      <c r="M124" s="79">
        <f t="shared" si="32"/>
        <v>3.4078580259223976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31.739410551166117</v>
      </c>
      <c r="H125" s="147">
        <f t="shared" si="28"/>
        <v>28.080451852201186</v>
      </c>
      <c r="I125" s="143">
        <f t="shared" si="29"/>
        <v>17.140353852948813</v>
      </c>
      <c r="J125" s="143">
        <f t="shared" ref="J125:K125" si="34">J$36*J62*(1-$H$73)*J104/1000</f>
        <v>8.3845870231739923</v>
      </c>
      <c r="K125" s="143">
        <f t="shared" si="34"/>
        <v>0</v>
      </c>
      <c r="L125" s="46"/>
      <c r="M125" s="79">
        <f t="shared" si="32"/>
        <v>-1.1303027001924155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28.371546615736744</v>
      </c>
      <c r="H126" s="147">
        <f t="shared" si="28"/>
        <v>25.100839457347977</v>
      </c>
      <c r="I126" s="143">
        <f t="shared" si="29"/>
        <v>37.209584363842424</v>
      </c>
      <c r="J126" s="143">
        <f t="shared" ref="J126:K126" si="35">J$36*J63*(1-$H$73)*J105/1000</f>
        <v>50.322898612640202</v>
      </c>
      <c r="K126" s="143">
        <f t="shared" si="35"/>
        <v>59.432161991921561</v>
      </c>
      <c r="L126" s="46"/>
      <c r="M126" s="79">
        <f t="shared" si="32"/>
        <v>1.2374333308240089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626.9873436577966</v>
      </c>
      <c r="H127" s="147">
        <f t="shared" si="28"/>
        <v>468.56323158409987</v>
      </c>
      <c r="I127" s="143">
        <f t="shared" si="29"/>
        <v>212.77316260654567</v>
      </c>
      <c r="J127" s="143">
        <f t="shared" ref="J127:K127" si="36">J$36*J64*(1-$H$73)*J106/1000</f>
        <v>243.73743442082383</v>
      </c>
      <c r="K127" s="143">
        <f t="shared" si="36"/>
        <v>213.31849120664785</v>
      </c>
      <c r="L127" s="46"/>
      <c r="M127" s="79">
        <f t="shared" si="32"/>
        <v>-0.88284531215271322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194.20557713042842</v>
      </c>
      <c r="H128" s="147">
        <f t="shared" si="28"/>
        <v>145.13465659612143</v>
      </c>
      <c r="I128" s="143">
        <f t="shared" si="29"/>
        <v>357.14057757841277</v>
      </c>
      <c r="J128" s="143">
        <f t="shared" ref="J128:K128" si="37">J$36*J65*(1-$H$73)*J107/1000</f>
        <v>502.43334354152574</v>
      </c>
      <c r="K128" s="143">
        <f t="shared" si="37"/>
        <v>578.59027379665667</v>
      </c>
      <c r="L128" s="46"/>
      <c r="M128" s="79">
        <f t="shared" si="32"/>
        <v>2.6484693985661072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3393.5262270165576</v>
      </c>
      <c r="H129" s="148">
        <f>SUM(H122:H128)</f>
        <v>2729.3397415458612</v>
      </c>
      <c r="I129" s="145">
        <f t="shared" ref="I129:K129" si="38">SUM(I122:I128)</f>
        <v>2083.5599409623833</v>
      </c>
      <c r="J129" s="145">
        <f t="shared" si="38"/>
        <v>1724.4924930456777</v>
      </c>
      <c r="K129" s="145">
        <f t="shared" si="38"/>
        <v>1327.2149015720529</v>
      </c>
      <c r="L129" s="21"/>
      <c r="M129" s="79">
        <f t="shared" si="32"/>
        <v>-0.757073695880079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3430.6717540831437</v>
      </c>
      <c r="I133" s="143">
        <f t="shared" ref="I133:K133" si="39">I111+I122</f>
        <v>332.27434245887554</v>
      </c>
      <c r="J133" s="143">
        <f t="shared" si="39"/>
        <v>0</v>
      </c>
      <c r="K133" s="143">
        <f t="shared" si="39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40">H112+H123</f>
        <v>7861.9618349850271</v>
      </c>
      <c r="I134" s="143">
        <f t="shared" si="40"/>
        <v>5881.4585237027622</v>
      </c>
      <c r="J134" s="143">
        <f t="shared" si="40"/>
        <v>3084.6816412397748</v>
      </c>
      <c r="K134" s="143">
        <f t="shared" si="40"/>
        <v>812.44436953738011</v>
      </c>
      <c r="L134" s="46"/>
      <c r="M134" s="79">
        <f t="shared" ref="M134:M140" si="41">(K134-G134)/H134</f>
        <v>0.10333863055936945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40"/>
        <v>392.69537442242785</v>
      </c>
      <c r="I135" s="143">
        <f t="shared" si="40"/>
        <v>1700.9336464705514</v>
      </c>
      <c r="J135" s="143">
        <f t="shared" si="40"/>
        <v>1543.1427169076803</v>
      </c>
      <c r="K135" s="143">
        <f t="shared" si="40"/>
        <v>1424.2615586438203</v>
      </c>
      <c r="L135" s="46"/>
      <c r="M135" s="79">
        <f t="shared" si="41"/>
        <v>3.6268865166507473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40"/>
        <v>159.09604448839201</v>
      </c>
      <c r="I136" s="143">
        <f t="shared" si="40"/>
        <v>87.705397063742453</v>
      </c>
      <c r="J136" s="143">
        <f t="shared" si="40"/>
        <v>39.784604470975637</v>
      </c>
      <c r="K136" s="143">
        <f t="shared" si="40"/>
        <v>0</v>
      </c>
      <c r="L136" s="46"/>
      <c r="M136" s="79">
        <f t="shared" si="41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40"/>
        <v>142.21438786032849</v>
      </c>
      <c r="I137" s="143">
        <f t="shared" si="40"/>
        <v>190.39754950252529</v>
      </c>
      <c r="J137" s="143">
        <f t="shared" si="40"/>
        <v>238.7805877145052</v>
      </c>
      <c r="K137" s="143">
        <f t="shared" si="40"/>
        <v>269.11066737619046</v>
      </c>
      <c r="L137" s="46"/>
      <c r="M137" s="79">
        <f t="shared" si="41"/>
        <v>1.8922886173829985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40"/>
        <v>2654.7491874453258</v>
      </c>
      <c r="I138" s="143">
        <f t="shared" si="40"/>
        <v>1308.9451520047082</v>
      </c>
      <c r="J138" s="143">
        <f t="shared" si="40"/>
        <v>1451.1583410804158</v>
      </c>
      <c r="K138" s="143">
        <f t="shared" si="40"/>
        <v>1265.6324948943375</v>
      </c>
      <c r="L138" s="46"/>
      <c r="M138" s="79">
        <f t="shared" si="41"/>
        <v>0.47674277512907348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40"/>
        <v>822.29267193269948</v>
      </c>
      <c r="I139" s="143">
        <f t="shared" si="40"/>
        <v>2197.0695076327424</v>
      </c>
      <c r="J139" s="143">
        <f t="shared" si="40"/>
        <v>2991.3761053969456</v>
      </c>
      <c r="K139" s="143">
        <f t="shared" si="40"/>
        <v>3432.8137593917099</v>
      </c>
      <c r="L139" s="46"/>
      <c r="M139" s="79">
        <f t="shared" si="41"/>
        <v>4.174686065635604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15463.681255217345</v>
      </c>
      <c r="I140" s="145">
        <f t="shared" ref="I140:K140" si="42">SUM(I133:I139)</f>
        <v>11698.784118835907</v>
      </c>
      <c r="J140" s="145">
        <f t="shared" si="42"/>
        <v>9348.9239968102993</v>
      </c>
      <c r="K140" s="145">
        <f t="shared" si="42"/>
        <v>7204.2628498434387</v>
      </c>
      <c r="L140" s="21"/>
      <c r="M140" s="79">
        <f t="shared" si="41"/>
        <v>0.46588278243337222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énergie'!C21</f>
        <v>4.1021151124009851E-5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énergie'!C22</f>
        <v>0.24387457929202933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énergie'!C23</f>
        <v>3.8798739172946649E-2</v>
      </c>
      <c r="I148" s="47">
        <v>0.14000000000000001</v>
      </c>
      <c r="J148" s="47">
        <v>0.14000000000000001</v>
      </c>
      <c r="K148" s="47">
        <v>0.14000000000000001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énergie'!C24</f>
        <v>1.4755157309534661E-2</v>
      </c>
      <c r="I149" s="47">
        <f t="shared" ref="I149:K149" si="43">H149</f>
        <v>1.4755157309534661E-2</v>
      </c>
      <c r="J149" s="47">
        <f t="shared" si="43"/>
        <v>1.4755157309534661E-2</v>
      </c>
      <c r="K149" s="47">
        <f t="shared" si="43"/>
        <v>1.4755157309534661E-2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énergie'!C25</f>
        <v>1.1548604741342878E-2</v>
      </c>
      <c r="I150" s="47">
        <v>0.05</v>
      </c>
      <c r="J150" s="47">
        <v>0.1</v>
      </c>
      <c r="K150" s="47">
        <v>0.15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énergie'!C26</f>
        <v>0.37540666329243721</v>
      </c>
      <c r="I151" s="47">
        <f>1-I146-I147-I148-I149-I150-I152</f>
        <v>0.19524484269046527</v>
      </c>
      <c r="J151" s="47">
        <f t="shared" ref="J151:K151" si="44">1-J146-J147-J148-J149-J150-J152</f>
        <v>-4.7551573095346855E-3</v>
      </c>
      <c r="K151" s="47">
        <f t="shared" si="44"/>
        <v>-4.7551573095346855E-3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énergie'!C27</f>
        <v>0.31557523504058516</v>
      </c>
      <c r="I152" s="47">
        <v>0.6</v>
      </c>
      <c r="J152" s="47">
        <v>0.75</v>
      </c>
      <c r="K152" s="47">
        <v>0.7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0.99999999999999989</v>
      </c>
      <c r="I153" s="15">
        <f t="shared" ref="I153:K153" si="45">SUM(I146:I152)</f>
        <v>1</v>
      </c>
      <c r="J153" s="15">
        <f t="shared" si="45"/>
        <v>1</v>
      </c>
      <c r="K153" s="15">
        <f t="shared" si="45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74.798845638287986</v>
      </c>
      <c r="J157" s="45">
        <f>K157</f>
        <v>74.798845638287986</v>
      </c>
      <c r="K157" s="45">
        <f t="shared" ref="K157:K163" si="46">K81</f>
        <v>74.798845638287986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7">J158</f>
        <v>77.762580613554604</v>
      </c>
      <c r="J158" s="45">
        <f t="shared" si="47"/>
        <v>77.762580613554604</v>
      </c>
      <c r="K158" s="45">
        <f t="shared" si="46"/>
        <v>77.762580613554604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7"/>
        <v>33.968986825559277</v>
      </c>
      <c r="J159" s="45">
        <f t="shared" si="47"/>
        <v>33.968986825559277</v>
      </c>
      <c r="K159" s="45">
        <f t="shared" si="46"/>
        <v>33.968986825559277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7"/>
        <v>32.11167615628603</v>
      </c>
      <c r="J160" s="45">
        <f t="shared" si="47"/>
        <v>32.11167615628603</v>
      </c>
      <c r="K160" s="45">
        <f t="shared" si="46"/>
        <v>32.11167615628603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7"/>
        <v>36.905542939519066</v>
      </c>
      <c r="J161" s="45">
        <f t="shared" si="47"/>
        <v>36.905542939519066</v>
      </c>
      <c r="K161" s="45">
        <f t="shared" si="46"/>
        <v>36.905542939519066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7"/>
        <v>43.580690439876605</v>
      </c>
      <c r="J162" s="45">
        <f t="shared" si="47"/>
        <v>43.580690439876605</v>
      </c>
      <c r="K162" s="45">
        <f t="shared" si="46"/>
        <v>43.580690439876605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7"/>
        <v>40.189781861928466</v>
      </c>
      <c r="J163" s="45">
        <f t="shared" si="47"/>
        <v>40.189781861928466</v>
      </c>
      <c r="K163" s="45">
        <f t="shared" si="46"/>
        <v>40.189781861928466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8">I$35*I146*I157/1000</f>
        <v>0</v>
      </c>
      <c r="J167" s="10">
        <f t="shared" si="48"/>
        <v>0</v>
      </c>
      <c r="K167" s="10">
        <f t="shared" si="48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9">H$35*H147*H158/1000</f>
        <v>0</v>
      </c>
      <c r="I168" s="10">
        <f t="shared" si="49"/>
        <v>0</v>
      </c>
      <c r="J168" s="10">
        <f t="shared" si="49"/>
        <v>0</v>
      </c>
      <c r="K168" s="10">
        <f t="shared" si="49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9"/>
        <v>0</v>
      </c>
      <c r="I169" s="10">
        <f t="shared" si="49"/>
        <v>57.951902447775382</v>
      </c>
      <c r="J169" s="10">
        <f t="shared" si="49"/>
        <v>41.455269671155563</v>
      </c>
      <c r="K169" s="10">
        <f t="shared" si="49"/>
        <v>41.424293333845668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9"/>
        <v>0</v>
      </c>
      <c r="I170" s="10">
        <f t="shared" si="49"/>
        <v>5.7738286032011494</v>
      </c>
      <c r="J170" s="10">
        <f t="shared" si="49"/>
        <v>4.1302461467323814</v>
      </c>
      <c r="K170" s="10">
        <f t="shared" si="49"/>
        <v>4.1271599311841776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9"/>
        <v>0</v>
      </c>
      <c r="I171" s="10">
        <f t="shared" si="49"/>
        <v>22.486334743220397</v>
      </c>
      <c r="J171" s="10">
        <f t="shared" si="49"/>
        <v>32.170715069660659</v>
      </c>
      <c r="K171" s="10">
        <f t="shared" si="49"/>
        <v>48.220014549770681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9"/>
        <v>0</v>
      </c>
      <c r="I172" s="10">
        <f t="shared" si="49"/>
        <v>103.68853673273291</v>
      </c>
      <c r="J172" s="10">
        <f t="shared" si="49"/>
        <v>-1.8064590058884038</v>
      </c>
      <c r="K172" s="10">
        <f t="shared" si="49"/>
        <v>-1.8051091778943569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9"/>
        <v>0</v>
      </c>
      <c r="I173" s="10">
        <f t="shared" si="49"/>
        <v>293.84883122365176</v>
      </c>
      <c r="J173" s="10">
        <f t="shared" si="49"/>
        <v>262.75199834699254</v>
      </c>
      <c r="K173" s="10">
        <f t="shared" si="49"/>
        <v>245.05195303898861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50">SUM(I167:I173)</f>
        <v>483.7494337505816</v>
      </c>
      <c r="J174" s="11">
        <f t="shared" si="50"/>
        <v>338.70177022865278</v>
      </c>
      <c r="K174" s="11">
        <f t="shared" si="50"/>
        <v>337.01831167589478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1">H$36*($H$73*H45+(1-$H$73)*H59)+H$35*H146</f>
        <v>33898.254718247037</v>
      </c>
      <c r="I181" s="10">
        <f t="shared" si="51"/>
        <v>3513.6277934043892</v>
      </c>
      <c r="J181" s="10">
        <f t="shared" si="51"/>
        <v>0</v>
      </c>
      <c r="K181" s="10">
        <f t="shared" si="51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1"/>
        <v>72402.250566690695</v>
      </c>
      <c r="I182" s="10">
        <f t="shared" si="51"/>
        <v>59376.796080740773</v>
      </c>
      <c r="J182" s="10">
        <f t="shared" si="51"/>
        <v>35175.436342594367</v>
      </c>
      <c r="K182" s="10">
        <f t="shared" si="51"/>
        <v>10167.695415293663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1"/>
        <v>7737.6450987303033</v>
      </c>
      <c r="I183" s="10">
        <f t="shared" si="51"/>
        <v>40355.929599910989</v>
      </c>
      <c r="J183" s="10">
        <f t="shared" si="51"/>
        <v>40602.55373035284</v>
      </c>
      <c r="K183" s="10">
        <f t="shared" si="51"/>
        <v>40889.871633146548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1"/>
        <v>3316.1336137415578</v>
      </c>
      <c r="I184" s="10">
        <f t="shared" si="51"/>
        <v>2287.9813232712677</v>
      </c>
      <c r="J184" s="10">
        <f t="shared" si="51"/>
        <v>1202.680444095819</v>
      </c>
      <c r="K184" s="10">
        <f t="shared" si="51"/>
        <v>128.52521030348845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1"/>
        <v>2579.2150329101014</v>
      </c>
      <c r="I185" s="10">
        <f t="shared" si="51"/>
        <v>4591.4057393568946</v>
      </c>
      <c r="J185" s="10">
        <f t="shared" si="51"/>
        <v>6480.679583928435</v>
      </c>
      <c r="K185" s="10">
        <f t="shared" si="51"/>
        <v>8205.7787972993428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1"/>
        <v>48268.167044460461</v>
      </c>
      <c r="I186" s="10">
        <f t="shared" si="51"/>
        <v>26509.655637302312</v>
      </c>
      <c r="J186" s="10">
        <f t="shared" si="51"/>
        <v>30390.22430355816</v>
      </c>
      <c r="K186" s="10">
        <f t="shared" si="51"/>
        <v>29280.178383123584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1"/>
        <v>16212.208778292063</v>
      </c>
      <c r="I187" s="10">
        <f t="shared" si="51"/>
        <v>51231.878299537901</v>
      </c>
      <c r="J187" s="10">
        <f t="shared" si="51"/>
        <v>74561.525732777169</v>
      </c>
      <c r="K187" s="10">
        <f t="shared" si="51"/>
        <v>92337.364612876394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184413.87485307222</v>
      </c>
      <c r="I188" s="10">
        <f t="shared" ref="I188:K188" si="52">SUM(I181:I187)</f>
        <v>187867.27447352451</v>
      </c>
      <c r="J188" s="10">
        <f t="shared" si="52"/>
        <v>188413.10013730678</v>
      </c>
      <c r="K188" s="10">
        <f t="shared" si="52"/>
        <v>181009.41405204299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GB1593"/>
  <sheetViews>
    <sheetView showGridLines="0" topLeftCell="C37" zoomScale="130" zoomScaleNormal="130" workbookViewId="0">
      <selection activeCell="K66" sqref="K66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237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167106.71056882737</v>
      </c>
      <c r="I7" s="10">
        <f t="shared" si="0"/>
        <v>168706.2324204118</v>
      </c>
      <c r="J7" s="10">
        <f t="shared" si="0"/>
        <v>166834.81937003729</v>
      </c>
      <c r="K7" s="10">
        <f t="shared" si="0"/>
        <v>159294.42944009311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4962.05556380077</v>
      </c>
      <c r="J8" s="76">
        <f t="shared" si="0"/>
        <v>3394.7194103913025</v>
      </c>
      <c r="K8" s="76">
        <f t="shared" si="0"/>
        <v>3357.062697205185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167106.71056882737</v>
      </c>
      <c r="I9" s="96">
        <f t="shared" si="1"/>
        <v>163744.17685661104</v>
      </c>
      <c r="J9" s="96">
        <f t="shared" si="1"/>
        <v>163440.099959646</v>
      </c>
      <c r="K9" s="96">
        <f t="shared" si="1"/>
        <v>155937.36674288791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3584.8950181469531</v>
      </c>
      <c r="I13" s="86">
        <f t="shared" ref="I13:K13" si="2">I133+I167</f>
        <v>304.58902770750842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8977.673558736793</v>
      </c>
      <c r="I14" s="86">
        <f t="shared" si="3"/>
        <v>6436.4040096628632</v>
      </c>
      <c r="J14" s="86">
        <f t="shared" si="3"/>
        <v>3176.5602592176588</v>
      </c>
      <c r="K14" s="86">
        <f t="shared" si="3"/>
        <v>791.83183879725004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1357.2566620782518</v>
      </c>
      <c r="I15" s="86">
        <f t="shared" si="3"/>
        <v>2593.4290047416061</v>
      </c>
      <c r="J15" s="86">
        <f t="shared" si="3"/>
        <v>2525.6569757450052</v>
      </c>
      <c r="K15" s="86">
        <f t="shared" si="3"/>
        <v>2348.3298945820693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214.36380852936159</v>
      </c>
      <c r="I16" s="86">
        <f t="shared" si="3"/>
        <v>115.60928157241699</v>
      </c>
      <c r="J16" s="86">
        <f t="shared" si="3"/>
        <v>50.114206034489293</v>
      </c>
      <c r="K16" s="86">
        <f t="shared" si="3"/>
        <v>2.4367442835254174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141.75559832606967</v>
      </c>
      <c r="I17" s="86">
        <f t="shared" si="3"/>
        <v>241.12067529101006</v>
      </c>
      <c r="J17" s="86">
        <f t="shared" si="3"/>
        <v>421.81658556291228</v>
      </c>
      <c r="K17" s="86">
        <f t="shared" si="3"/>
        <v>357.28695600139366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751.98019755972325</v>
      </c>
      <c r="I18" s="86">
        <f t="shared" si="3"/>
        <v>560.09077483690589</v>
      </c>
      <c r="J18" s="86">
        <f t="shared" si="3"/>
        <v>452.83954625435314</v>
      </c>
      <c r="K18" s="86">
        <f t="shared" si="3"/>
        <v>375.02530830226146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116.24970775877308</v>
      </c>
      <c r="I19" s="86">
        <f t="shared" si="3"/>
        <v>1554.6950589011014</v>
      </c>
      <c r="J19" s="86">
        <f t="shared" si="3"/>
        <v>2584.3526768731217</v>
      </c>
      <c r="K19" s="86">
        <f t="shared" si="3"/>
        <v>3201.723037858058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15144.174551135928</v>
      </c>
      <c r="I20" s="13">
        <f t="shared" ref="I20:K20" si="4">SUM(I13:I19)</f>
        <v>11805.937832713413</v>
      </c>
      <c r="J20" s="13">
        <f t="shared" si="4"/>
        <v>9211.3402496875387</v>
      </c>
      <c r="K20" s="13">
        <f t="shared" si="4"/>
        <v>7076.6337798245577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-0.37430978616765942</v>
      </c>
      <c r="J23" s="177">
        <f t="shared" ref="J23:K23" si="5">J118/$G118-1</f>
        <v>-0.51398576500276394</v>
      </c>
      <c r="K23" s="177">
        <f t="shared" si="5"/>
        <v>-0.62903703547053436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-0.30743515770018559</v>
      </c>
      <c r="J24" s="177">
        <f t="shared" ref="J24:K24" si="6">J129/$G129-1</f>
        <v>-0.40726492976840278</v>
      </c>
      <c r="K24" s="177">
        <f t="shared" si="6"/>
        <v>-0.53314652338403978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167106.71056882737</v>
      </c>
      <c r="H34" s="125">
        <f>'Init. parc'!C23</f>
        <v>167106.71056882737</v>
      </c>
      <c r="I34" s="125">
        <f>'Init. parc'!D23</f>
        <v>168706.2324204118</v>
      </c>
      <c r="J34" s="125">
        <f>'Init. parc'!E23</f>
        <v>166834.81937003729</v>
      </c>
      <c r="K34" s="125">
        <f>'Init. parc'!F23</f>
        <v>159294.42944009311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parc'!N23</f>
        <v>4962.05556380077</v>
      </c>
      <c r="J35" s="125">
        <f>'Init. parc'!O23</f>
        <v>3394.7194103913025</v>
      </c>
      <c r="K35" s="125">
        <f>'Init. parc'!P23</f>
        <v>3357.062697205185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167106.71056882737</v>
      </c>
      <c r="H36" s="125">
        <f>H34-H35</f>
        <v>167106.71056882737</v>
      </c>
      <c r="I36" s="125">
        <f>I34-I35</f>
        <v>163744.17685661104</v>
      </c>
      <c r="J36" s="125">
        <f>J34-J35</f>
        <v>163440.099959646</v>
      </c>
      <c r="K36" s="125">
        <f>K34-K35</f>
        <v>155937.36674288791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310">
        <f>5/22</f>
        <v>0.22727272727272727</v>
      </c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0.20200000000000001</v>
      </c>
      <c r="H45" s="55">
        <f>'Init. énergie'!B30</f>
        <v>0.20200000000000001</v>
      </c>
      <c r="I45" s="47">
        <v>0.02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0.58799999999999997</v>
      </c>
      <c r="H46" s="55">
        <f>'Init. énergie'!B31</f>
        <v>0.58799999999999997</v>
      </c>
      <c r="I46" s="47">
        <f>H46*0.86</f>
        <v>0.50568000000000002</v>
      </c>
      <c r="J46" s="47">
        <f>H46*0.5</f>
        <v>0.29399999999999998</v>
      </c>
      <c r="K46" s="47">
        <f>H46*0.15</f>
        <v>8.8199999999999987E-2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8.4000000000000005E-2</v>
      </c>
      <c r="H47" s="55">
        <f>'Init. énergie'!B32</f>
        <v>8.4000000000000005E-2</v>
      </c>
      <c r="I47" s="47">
        <v>0.2</v>
      </c>
      <c r="J47" s="47">
        <v>0.23</v>
      </c>
      <c r="K47" s="47">
        <v>0.26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1.2999999999999999E-2</v>
      </c>
      <c r="H48" s="55">
        <f>'Init. énergie'!B33</f>
        <v>1.2999999999999999E-2</v>
      </c>
      <c r="I48" s="47">
        <f t="shared" ref="I48:I49" si="8">H48+((K48-H48)/3)</f>
        <v>8.6666666666666663E-3</v>
      </c>
      <c r="J48" s="47">
        <f t="shared" ref="J48" si="9">H48+((K48-H48)/3*2)</f>
        <v>4.3333333333333331E-3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8.9999999999999993E-3</v>
      </c>
      <c r="H49" s="55">
        <f>'Init. énergie'!B34</f>
        <v>8.9999999999999993E-3</v>
      </c>
      <c r="I49" s="47">
        <f t="shared" si="8"/>
        <v>1.9333333333333334E-2</v>
      </c>
      <c r="J49" s="47">
        <v>0.04</v>
      </c>
      <c r="K49" s="47">
        <v>0.04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0.09</v>
      </c>
      <c r="H50" s="55">
        <f>'Init. énergie'!B35</f>
        <v>0.09</v>
      </c>
      <c r="I50" s="47">
        <f t="shared" ref="I50" si="10">1-I45-I46-I47-I48-I49-I51</f>
        <v>6.6319999999999962E-2</v>
      </c>
      <c r="J50" s="47">
        <v>7.0000000000000007E-2</v>
      </c>
      <c r="K50" s="47">
        <v>7.0000000000000007E-2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1.2999999999999999E-2</v>
      </c>
      <c r="H51" s="55">
        <f>'Init. énergie'!B36</f>
        <v>1.2999999999999999E-2</v>
      </c>
      <c r="I51" s="47">
        <v>0.18</v>
      </c>
      <c r="J51" s="47">
        <v>0.36</v>
      </c>
      <c r="K51" s="123">
        <v>0.54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1">SUM(G45:G51)</f>
        <v>0.999</v>
      </c>
      <c r="H52" s="149">
        <f t="shared" si="11"/>
        <v>0.999</v>
      </c>
      <c r="I52" s="155">
        <f t="shared" si="11"/>
        <v>1</v>
      </c>
      <c r="J52" s="155">
        <f t="shared" si="11"/>
        <v>0.99833333333333341</v>
      </c>
      <c r="K52" s="155">
        <f>SUM(K45:K51)</f>
        <v>0.99819999999999998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2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-8.0936288892706529E-2</v>
      </c>
      <c r="J55" s="142">
        <f t="shared" si="12"/>
        <v>-7.8504768255666185E-2</v>
      </c>
      <c r="K55" s="142">
        <f t="shared" si="12"/>
        <v>-7.6006328206857252E-2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0.20200000000000001</v>
      </c>
      <c r="H59" s="55">
        <f>H45</f>
        <v>0.20200000000000001</v>
      </c>
      <c r="I59" s="47">
        <f>I45</f>
        <v>0.02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3">H60</f>
        <v>0.58799999999999997</v>
      </c>
      <c r="H60" s="55">
        <f t="shared" ref="H60:K65" si="14">H46</f>
        <v>0.58799999999999997</v>
      </c>
      <c r="I60" s="47">
        <f t="shared" si="14"/>
        <v>0.50568000000000002</v>
      </c>
      <c r="J60" s="47">
        <f t="shared" si="14"/>
        <v>0.29399999999999998</v>
      </c>
      <c r="K60" s="47">
        <f t="shared" si="14"/>
        <v>8.8199999999999987E-2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3"/>
        <v>8.4000000000000005E-2</v>
      </c>
      <c r="H61" s="55">
        <f t="shared" si="14"/>
        <v>8.4000000000000005E-2</v>
      </c>
      <c r="I61" s="47">
        <v>0.19</v>
      </c>
      <c r="J61" s="47">
        <f t="shared" si="14"/>
        <v>0.23</v>
      </c>
      <c r="K61" s="47">
        <v>0.23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3"/>
        <v>1.2999999999999999E-2</v>
      </c>
      <c r="H62" s="55">
        <f t="shared" si="14"/>
        <v>1.2999999999999999E-2</v>
      </c>
      <c r="I62" s="47">
        <f t="shared" si="14"/>
        <v>8.6666666666666663E-3</v>
      </c>
      <c r="J62" s="47">
        <f t="shared" si="14"/>
        <v>4.3333333333333331E-3</v>
      </c>
      <c r="K62" s="47">
        <f t="shared" si="14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3"/>
        <v>8.9999999999999993E-3</v>
      </c>
      <c r="H63" s="55">
        <f t="shared" si="14"/>
        <v>8.9999999999999993E-3</v>
      </c>
      <c r="I63" s="47">
        <f t="shared" si="14"/>
        <v>1.9333333333333334E-2</v>
      </c>
      <c r="J63" s="47">
        <f t="shared" si="14"/>
        <v>0.04</v>
      </c>
      <c r="K63" s="47">
        <f t="shared" si="14"/>
        <v>0.04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3"/>
        <v>0.09</v>
      </c>
      <c r="H64" s="55">
        <f t="shared" si="14"/>
        <v>0.09</v>
      </c>
      <c r="I64" s="47">
        <v>0.08</v>
      </c>
      <c r="J64" s="47">
        <f t="shared" si="14"/>
        <v>7.0000000000000007E-2</v>
      </c>
      <c r="K64" s="47">
        <f t="shared" si="14"/>
        <v>7.0000000000000007E-2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3"/>
        <v>1.2999999999999999E-2</v>
      </c>
      <c r="H65" s="55">
        <f t="shared" si="14"/>
        <v>1.2999999999999999E-2</v>
      </c>
      <c r="I65" s="47">
        <v>0.18</v>
      </c>
      <c r="J65" s="47">
        <f t="shared" si="14"/>
        <v>0.36</v>
      </c>
      <c r="K65" s="47">
        <v>0.56999999999999995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0.999</v>
      </c>
      <c r="H66" s="149">
        <v>1</v>
      </c>
      <c r="I66" s="47">
        <f t="shared" ref="I66:J66" si="16">SUM(I59:I65)</f>
        <v>1.0036800000000001</v>
      </c>
      <c r="J66" s="47">
        <f t="shared" si="16"/>
        <v>0.99833333333333341</v>
      </c>
      <c r="K66" s="47">
        <f>SUM(K59:K65)</f>
        <v>0.99819999999999998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-8.4058095490234908E-2</v>
      </c>
      <c r="J69" s="142">
        <f>(I$101*(J59-I59)+I$102*(J60-I60)+I$103*(J61-I61)+I$104*(J62-I62)+I$105*(J63-I63)+I$106*(J64-I64)+I$107*(J65-I65))/(I$101*I59+I$102*I60+I$103*I61+I$104*I62+I$105*I63+I$106*I64+I$107*I65)</f>
        <v>-8.5516271434395871E-2</v>
      </c>
      <c r="K69" s="142">
        <f>(J$101*(K59-J59)+J$102*(K60-J60)+J$103*(K61-J61)+J$104*(K62-J62)+J$105*(K63-J63)+J$106*(K64-J64)+J$107*(K65-J65))/(J$101*J59+J$102*J60+J$103*J61+J$104*J62+J$105*J63+J$106*J64+J$107*J65)</f>
        <v>-0.11522134897946315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bord'!H12</f>
        <v>0.92</v>
      </c>
      <c r="G73" s="92">
        <f>'Tableau de bord'!H25</f>
        <v>0.94300000000000006</v>
      </c>
      <c r="H73" s="92">
        <f>'Tableau de bord'!H28</f>
        <v>0.94300000000000006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132.5511197174215</v>
      </c>
      <c r="H81" s="54">
        <f>'Init. énergie'!D30</f>
        <v>106.20162996399759</v>
      </c>
      <c r="I81" s="81">
        <f>G81*(1-F$77)/(1+I$55)</f>
        <v>92.663972463712128</v>
      </c>
      <c r="J81" s="81">
        <f>G81*(1-G$77)/(1+I$55)/(1+J$55)</f>
        <v>78.255468225579278</v>
      </c>
      <c r="K81" s="81">
        <f>G81*(1-H$77)/(1+I$55)/(1+J$55)/(1+K$55)</f>
        <v>67.754116171564931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7">H82/F82^10</f>
        <v>110.49523345723766</v>
      </c>
      <c r="H82" s="54">
        <f>'Init. énergie'!D31</f>
        <v>91.367679124341691</v>
      </c>
      <c r="I82" s="81">
        <f t="shared" ref="I82:I87" si="18">G82*(1-F$77)/(1+I$55)</f>
        <v>77.24512091848581</v>
      </c>
      <c r="J82" s="81">
        <f t="shared" ref="J82:J87" si="19">G82*(1-G$77)/(1+I$55)/(1+J$55)</f>
        <v>65.234124384045856</v>
      </c>
      <c r="K82" s="81">
        <f t="shared" ref="K82:K87" si="20">G82*(1-H$77)/(1+I$55)/(1+J$55)/(1+K$55)</f>
        <v>56.480148187551677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7"/>
        <v>109.29079137937518</v>
      </c>
      <c r="H83" s="54">
        <f>'Init. énergie'!D32</f>
        <v>96.691613105737261</v>
      </c>
      <c r="I83" s="81">
        <f t="shared" si="18"/>
        <v>76.403118317714757</v>
      </c>
      <c r="J83" s="81">
        <f t="shared" si="19"/>
        <v>64.523046431972318</v>
      </c>
      <c r="K83" s="81">
        <f t="shared" si="20"/>
        <v>55.864492064545047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7"/>
        <v>111.53443890364676</v>
      </c>
      <c r="H84" s="54">
        <f>'Init. énergie'!D33</f>
        <v>98.676610154660196</v>
      </c>
      <c r="I84" s="81">
        <f t="shared" si="18"/>
        <v>77.971609725788852</v>
      </c>
      <c r="J84" s="81">
        <f t="shared" si="19"/>
        <v>65.847650010722461</v>
      </c>
      <c r="K84" s="81">
        <f t="shared" si="20"/>
        <v>57.011342844316779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7"/>
        <v>106.5365391770324</v>
      </c>
      <c r="H85" s="54">
        <f>'Init. énergie'!D34</f>
        <v>94.25487452068927</v>
      </c>
      <c r="I85" s="81">
        <f t="shared" si="18"/>
        <v>74.47767286859218</v>
      </c>
      <c r="J85" s="81">
        <f t="shared" si="19"/>
        <v>62.896992301572247</v>
      </c>
      <c r="K85" s="81">
        <f t="shared" si="20"/>
        <v>54.456643348659803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7"/>
        <v>66.905307693275773</v>
      </c>
      <c r="H86" s="54">
        <f>'Init. énergie'!D35</f>
        <v>50</v>
      </c>
      <c r="I86" s="81">
        <f t="shared" si="18"/>
        <v>46.772230992712245</v>
      </c>
      <c r="J86" s="81">
        <f t="shared" si="19"/>
        <v>39.49952434559183</v>
      </c>
      <c r="K86" s="81">
        <f t="shared" si="20"/>
        <v>34.198956595828037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7"/>
        <v>71.605304367204496</v>
      </c>
      <c r="H87" s="54">
        <f>'Init. énergie'!D36</f>
        <v>53.512424377058124</v>
      </c>
      <c r="I87" s="81">
        <f t="shared" si="18"/>
        <v>50.057909478876162</v>
      </c>
      <c r="J87" s="81">
        <f t="shared" si="19"/>
        <v>42.27430618946498</v>
      </c>
      <c r="K87" s="81">
        <f t="shared" si="20"/>
        <v>36.601381572170816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2">G81</f>
        <v>132.5511197174215</v>
      </c>
      <c r="H101" s="54">
        <f t="shared" si="22"/>
        <v>106.20162996399759</v>
      </c>
      <c r="I101" s="81">
        <f>$H101*(1+$G91)^(I$100-$H$100)</f>
        <v>98.692363086949072</v>
      </c>
      <c r="J101" s="81">
        <f>$H101*(1+$G91)^(J$100-$H$100)</f>
        <v>91.714058767159372</v>
      </c>
      <c r="K101" s="81">
        <f>$H101*(1+$G91)^(K$100-$H$100)</f>
        <v>85.229173893985745</v>
      </c>
      <c r="L101" s="67"/>
      <c r="M101" s="79">
        <f>(K101-G101)/H101</f>
        <v>-0.44558587132304767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2"/>
        <v>110.49523345723766</v>
      </c>
      <c r="H102" s="54">
        <f t="shared" si="22"/>
        <v>91.367679124341691</v>
      </c>
      <c r="I102" s="81">
        <f t="shared" ref="I102:K107" si="23">$H102*(1+$G92)^(I$100-$H$100)</f>
        <v>85.792552273895851</v>
      </c>
      <c r="J102" s="81">
        <f t="shared" si="23"/>
        <v>80.557611796754543</v>
      </c>
      <c r="K102" s="81">
        <f t="shared" si="23"/>
        <v>75.642100000458669</v>
      </c>
      <c r="L102" s="67"/>
      <c r="M102" s="79">
        <f t="shared" ref="M102:M107" si="24">(K102-G102)/H102</f>
        <v>-0.38146020333237957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109.29079137937518</v>
      </c>
      <c r="H103" s="54">
        <f t="shared" si="22"/>
        <v>96.691613105737261</v>
      </c>
      <c r="I103" s="81">
        <f t="shared" si="23"/>
        <v>92.838799047316982</v>
      </c>
      <c r="J103" s="81">
        <f t="shared" si="23"/>
        <v>89.1395058134229</v>
      </c>
      <c r="K103" s="81">
        <f t="shared" si="23"/>
        <v>85.58761614970382</v>
      </c>
      <c r="L103" s="67"/>
      <c r="M103" s="79">
        <f t="shared" si="24"/>
        <v>-0.24514199803193598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111.53443890364676</v>
      </c>
      <c r="H104" s="54">
        <f t="shared" si="22"/>
        <v>98.676610154660196</v>
      </c>
      <c r="I104" s="81">
        <f t="shared" si="23"/>
        <v>94.744701081787625</v>
      </c>
      <c r="J104" s="81">
        <f t="shared" si="23"/>
        <v>90.969464486142513</v>
      </c>
      <c r="K104" s="81">
        <f t="shared" si="23"/>
        <v>87.344657531314922</v>
      </c>
      <c r="L104" s="67"/>
      <c r="M104" s="79">
        <f t="shared" si="24"/>
        <v>-0.24514199803193612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106.5365391770324</v>
      </c>
      <c r="H105" s="54">
        <f t="shared" si="22"/>
        <v>94.25487452068927</v>
      </c>
      <c r="I105" s="81">
        <f t="shared" si="23"/>
        <v>90.499155757048086</v>
      </c>
      <c r="J105" s="81">
        <f>$H105*(1+$G95)^(J$100-$H$100)</f>
        <v>86.893088918607546</v>
      </c>
      <c r="K105" s="81">
        <f>$H105*(1+$G95)^(K$100-$H$100)</f>
        <v>83.430710912781208</v>
      </c>
      <c r="L105" s="67"/>
      <c r="M105" s="79">
        <f t="shared" si="24"/>
        <v>-0.24514199803193604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66.905307693275773</v>
      </c>
      <c r="H106" s="54">
        <f t="shared" si="22"/>
        <v>50</v>
      </c>
      <c r="I106" s="81">
        <f t="shared" si="23"/>
        <v>45.41658678713204</v>
      </c>
      <c r="J106" s="81">
        <f t="shared" si="23"/>
        <v>41.253327107861935</v>
      </c>
      <c r="K106" s="81">
        <f t="shared" si="23"/>
        <v>37.471706217043163</v>
      </c>
      <c r="L106" s="67"/>
      <c r="M106" s="79">
        <f t="shared" si="24"/>
        <v>-0.58867202952465225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71.605304367204496</v>
      </c>
      <c r="H107" s="54">
        <f t="shared" si="22"/>
        <v>53.512424377058124</v>
      </c>
      <c r="I107" s="81">
        <f t="shared" si="23"/>
        <v>48.607033318210007</v>
      </c>
      <c r="J107" s="81">
        <f t="shared" si="23"/>
        <v>44.151310943230079</v>
      </c>
      <c r="K107" s="81">
        <f t="shared" si="23"/>
        <v>40.104036904377224</v>
      </c>
      <c r="L107" s="67"/>
      <c r="M107" s="79">
        <f t="shared" si="24"/>
        <v>-0.58867202952465203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G$36*G45*$H$73*G81/1000</f>
        <v>4219.2994919134189</v>
      </c>
      <c r="H111" s="54">
        <f t="shared" si="25"/>
        <v>3380.5560021125771</v>
      </c>
      <c r="I111" s="125">
        <f t="shared" si="25"/>
        <v>286.16628598600329</v>
      </c>
      <c r="J111" s="125">
        <f t="shared" si="25"/>
        <v>0</v>
      </c>
      <c r="K111" s="125">
        <f t="shared" si="25"/>
        <v>0</v>
      </c>
      <c r="L111" s="46"/>
      <c r="M111" s="79">
        <f>(K111-G111)/H111</f>
        <v>-1.2481081482681233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10238.267043680129</v>
      </c>
      <c r="H112" s="54">
        <f t="shared" si="25"/>
        <v>8465.9461658887958</v>
      </c>
      <c r="I112" s="125">
        <f t="shared" si="25"/>
        <v>6031.4869398973224</v>
      </c>
      <c r="J112" s="125">
        <f t="shared" si="25"/>
        <v>2955.9186643780827</v>
      </c>
      <c r="K112" s="125">
        <f t="shared" si="25"/>
        <v>732.53149457342363</v>
      </c>
      <c r="L112" s="46"/>
      <c r="M112" s="79">
        <f t="shared" ref="M112:M118" si="26">(K112-G112)/H112</f>
        <v>-1.1228202214901217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1446.6665504111249</v>
      </c>
      <c r="H113" s="54">
        <f t="shared" si="25"/>
        <v>1279.8930323397915</v>
      </c>
      <c r="I113" s="125">
        <f t="shared" si="25"/>
        <v>2359.4926944548711</v>
      </c>
      <c r="J113" s="125">
        <f t="shared" si="25"/>
        <v>2287.2467135562692</v>
      </c>
      <c r="K113" s="125">
        <f t="shared" si="25"/>
        <v>2135.851682930313</v>
      </c>
      <c r="L113" s="46"/>
      <c r="M113" s="79">
        <f t="shared" si="26"/>
        <v>0.53847088397635734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228.48512008282415</v>
      </c>
      <c r="H114" s="54">
        <f t="shared" si="25"/>
        <v>202.14507144318799</v>
      </c>
      <c r="I114" s="125">
        <f t="shared" si="25"/>
        <v>104.34368031297925</v>
      </c>
      <c r="J114" s="125">
        <f t="shared" si="25"/>
        <v>43.977717980595656</v>
      </c>
      <c r="K114" s="125">
        <f t="shared" si="25"/>
        <v>0</v>
      </c>
      <c r="L114" s="46"/>
      <c r="M114" s="79">
        <f t="shared" si="26"/>
        <v>-1.1303027001924157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151.0938116286932</v>
      </c>
      <c r="H115" s="54">
        <f t="shared" si="25"/>
        <v>133.67552922148371</v>
      </c>
      <c r="I115" s="125">
        <f t="shared" si="25"/>
        <v>222.33631027021653</v>
      </c>
      <c r="J115" s="125">
        <f t="shared" si="25"/>
        <v>387.75747754084159</v>
      </c>
      <c r="K115" s="125">
        <f t="shared" si="25"/>
        <v>320.31166032864621</v>
      </c>
      <c r="L115" s="46"/>
      <c r="M115" s="79">
        <f t="shared" si="26"/>
        <v>1.2658850104088992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948.87425813311052</v>
      </c>
      <c r="H116" s="54">
        <f t="shared" si="25"/>
        <v>709.11732629881908</v>
      </c>
      <c r="I116" s="125">
        <f t="shared" si="25"/>
        <v>478.97203811329308</v>
      </c>
      <c r="J116" s="125">
        <f t="shared" si="25"/>
        <v>426.14776775060608</v>
      </c>
      <c r="K116" s="125">
        <f t="shared" si="25"/>
        <v>352.02441458828014</v>
      </c>
      <c r="L116" s="46"/>
      <c r="M116" s="79">
        <f t="shared" si="26"/>
        <v>-0.84167996100171494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146.68784572486837</v>
      </c>
      <c r="H117" s="54">
        <f t="shared" si="25"/>
        <v>109.62347441652302</v>
      </c>
      <c r="I117" s="125">
        <f t="shared" si="25"/>
        <v>1391.3063613653021</v>
      </c>
      <c r="J117" s="125">
        <f t="shared" si="25"/>
        <v>2345.5748772212328</v>
      </c>
      <c r="K117" s="125">
        <f t="shared" si="25"/>
        <v>2906.3848933851677</v>
      </c>
      <c r="L117" s="46"/>
      <c r="M117" s="79">
        <f t="shared" si="26"/>
        <v>25.174325684794599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17379.374121574168</v>
      </c>
      <c r="H118" s="146">
        <f>SUM(H111:H117)</f>
        <v>14280.956601721178</v>
      </c>
      <c r="I118" s="144">
        <f t="shared" ref="I118:J118" si="27">SUM(I111:I117)</f>
        <v>10874.104310399987</v>
      </c>
      <c r="J118" s="144">
        <f t="shared" si="27"/>
        <v>8446.6232184276305</v>
      </c>
      <c r="K118" s="144">
        <f>SUM(K111:K117)</f>
        <v>6447.1041458058307</v>
      </c>
      <c r="L118" s="21"/>
      <c r="M118" s="79">
        <f t="shared" si="26"/>
        <v>-0.76551384341093442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G$36*G45*(1-$H$73)*G101/1000</f>
        <v>255.03719092159562</v>
      </c>
      <c r="H122" s="147">
        <f t="shared" si="28"/>
        <v>204.33901603437613</v>
      </c>
      <c r="I122" s="143">
        <f t="shared" ref="I122:I128" si="29">I$36*I59*(1-$H$73)*I101/1000</f>
        <v>18.422741721505112</v>
      </c>
      <c r="J122" s="143">
        <f t="shared" ref="J122:K122" si="30">J$36*J59*(1-$H$73)*J101/1000</f>
        <v>0</v>
      </c>
      <c r="K122" s="143">
        <f t="shared" si="30"/>
        <v>0</v>
      </c>
      <c r="L122" s="46"/>
      <c r="M122" s="79">
        <f>(K122-G122)/H122</f>
        <v>-1.2481081482681238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618.85601430516101</v>
      </c>
      <c r="H123" s="147">
        <f t="shared" si="28"/>
        <v>511.72739284799661</v>
      </c>
      <c r="I123" s="143">
        <f t="shared" si="29"/>
        <v>404.91706976554065</v>
      </c>
      <c r="J123" s="143">
        <f t="shared" ref="J123:K123" si="31">J$36*J60*(1-$H$73)*J102/1000</f>
        <v>220.64159483957599</v>
      </c>
      <c r="K123" s="143">
        <f t="shared" si="31"/>
        <v>59.300344223826443</v>
      </c>
      <c r="L123" s="46"/>
      <c r="M123" s="79">
        <f t="shared" ref="M123:M129" si="32">(K123-G123)/H123</f>
        <v>-1.093464367750868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87.444319590067892</v>
      </c>
      <c r="H124" s="147">
        <f t="shared" si="28"/>
        <v>77.363629738460261</v>
      </c>
      <c r="I124" s="143">
        <f t="shared" si="29"/>
        <v>164.63563186979047</v>
      </c>
      <c r="J124" s="143">
        <f t="shared" ref="J124:K124" si="33">J$36*J61*(1-$H$73)*J103/1000</f>
        <v>190.99919329794545</v>
      </c>
      <c r="K124" s="143">
        <f t="shared" si="33"/>
        <v>174.97009117011675</v>
      </c>
      <c r="L124" s="46"/>
      <c r="M124" s="79">
        <f t="shared" si="32"/>
        <v>1.131355546216527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13.810871521443223</v>
      </c>
      <c r="H125" s="147">
        <f t="shared" si="28"/>
        <v>12.218737086173597</v>
      </c>
      <c r="I125" s="143">
        <f t="shared" si="29"/>
        <v>7.663863186540504</v>
      </c>
      <c r="J125" s="143">
        <f t="shared" ref="J125:K125" si="34">J$36*J62*(1-$H$73)*J104/1000</f>
        <v>3.6724104171159744</v>
      </c>
      <c r="K125" s="143">
        <f t="shared" si="34"/>
        <v>0</v>
      </c>
      <c r="L125" s="46"/>
      <c r="M125" s="79">
        <f t="shared" si="32"/>
        <v>-1.1303027001924155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9.1329239266548274</v>
      </c>
      <c r="H126" s="147">
        <f t="shared" si="28"/>
        <v>8.0800691045859629</v>
      </c>
      <c r="I126" s="143">
        <f t="shared" si="29"/>
        <v>16.330218161752974</v>
      </c>
      <c r="J126" s="143">
        <f t="shared" ref="J126:K126" si="35">J$36*J63*(1-$H$73)*J105/1000</f>
        <v>32.380138516143909</v>
      </c>
      <c r="K126" s="143">
        <f t="shared" si="35"/>
        <v>29.662721032715758</v>
      </c>
      <c r="L126" s="46"/>
      <c r="M126" s="79">
        <f t="shared" si="32"/>
        <v>2.5407947432539832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57.35507180656122</v>
      </c>
      <c r="H127" s="147">
        <f t="shared" si="28"/>
        <v>42.862871260904178</v>
      </c>
      <c r="I127" s="143">
        <f t="shared" si="29"/>
        <v>33.911359383076686</v>
      </c>
      <c r="J127" s="143">
        <f t="shared" ref="J127:K127" si="36">J$36*J64*(1-$H$73)*J106/1000</f>
        <v>26.902367145645918</v>
      </c>
      <c r="K127" s="143">
        <f t="shared" si="36"/>
        <v>23.314524387446742</v>
      </c>
      <c r="L127" s="46"/>
      <c r="M127" s="79">
        <f t="shared" si="32"/>
        <v>-0.79417328839011614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8.8666036122136642</v>
      </c>
      <c r="H128" s="147">
        <f t="shared" si="28"/>
        <v>6.6262333422500586</v>
      </c>
      <c r="I128" s="143">
        <f t="shared" si="29"/>
        <v>81.660557452955928</v>
      </c>
      <c r="J128" s="143">
        <f t="shared" ref="J128:K128" si="37">J$36*J65*(1-$H$73)*J107/1000</f>
        <v>148.07426270865224</v>
      </c>
      <c r="K128" s="143">
        <f t="shared" si="37"/>
        <v>203.18329491630939</v>
      </c>
      <c r="L128" s="46"/>
      <c r="M128" s="79">
        <f t="shared" si="32"/>
        <v>29.325361976780606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1050.5029956836972</v>
      </c>
      <c r="H129" s="148">
        <f>SUM(H122:H128)</f>
        <v>863.21794941474695</v>
      </c>
      <c r="I129" s="145">
        <f t="shared" ref="I129:K129" si="38">SUM(I122:I128)</f>
        <v>727.54144154116238</v>
      </c>
      <c r="J129" s="145">
        <f t="shared" si="38"/>
        <v>622.66996692507951</v>
      </c>
      <c r="K129" s="145">
        <f t="shared" si="38"/>
        <v>490.43097573041507</v>
      </c>
      <c r="L129" s="21"/>
      <c r="M129" s="79">
        <f t="shared" si="32"/>
        <v>-0.64881878363744094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3584.8950181469531</v>
      </c>
      <c r="I133" s="143">
        <f t="shared" ref="I133:K133" si="39">I111+I122</f>
        <v>304.58902770750842</v>
      </c>
      <c r="J133" s="143">
        <f t="shared" si="39"/>
        <v>0</v>
      </c>
      <c r="K133" s="143">
        <f t="shared" si="39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40">H112+H123</f>
        <v>8977.673558736793</v>
      </c>
      <c r="I134" s="143">
        <f t="shared" si="40"/>
        <v>6436.4040096628632</v>
      </c>
      <c r="J134" s="143">
        <f t="shared" si="40"/>
        <v>3176.5602592176588</v>
      </c>
      <c r="K134" s="143">
        <f t="shared" si="40"/>
        <v>791.83183879725004</v>
      </c>
      <c r="L134" s="46"/>
      <c r="M134" s="79">
        <f t="shared" ref="M134:M140" si="41">(K134-G134)/H134</f>
        <v>8.8200114831159554E-2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40"/>
        <v>1357.2566620782518</v>
      </c>
      <c r="I135" s="143">
        <f t="shared" si="40"/>
        <v>2524.1283263246614</v>
      </c>
      <c r="J135" s="143">
        <f t="shared" si="40"/>
        <v>2478.2459068542148</v>
      </c>
      <c r="K135" s="143">
        <f t="shared" si="40"/>
        <v>2310.8217741004296</v>
      </c>
      <c r="L135" s="46"/>
      <c r="M135" s="79">
        <f t="shared" si="41"/>
        <v>1.7025680099164624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40"/>
        <v>214.36380852936159</v>
      </c>
      <c r="I136" s="143">
        <f t="shared" si="40"/>
        <v>112.00754349951976</v>
      </c>
      <c r="J136" s="143">
        <f t="shared" si="40"/>
        <v>47.650128397711633</v>
      </c>
      <c r="K136" s="143">
        <f t="shared" si="40"/>
        <v>0</v>
      </c>
      <c r="L136" s="46"/>
      <c r="M136" s="79">
        <f t="shared" si="41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40"/>
        <v>141.75559832606967</v>
      </c>
      <c r="I137" s="143">
        <f t="shared" si="40"/>
        <v>238.66652843196951</v>
      </c>
      <c r="J137" s="143">
        <f t="shared" si="40"/>
        <v>420.13761605698551</v>
      </c>
      <c r="K137" s="143">
        <f t="shared" si="40"/>
        <v>349.97438136136196</v>
      </c>
      <c r="L137" s="46"/>
      <c r="M137" s="79">
        <f t="shared" si="41"/>
        <v>2.4688575653734843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40"/>
        <v>751.98019755972325</v>
      </c>
      <c r="I138" s="143">
        <f t="shared" si="40"/>
        <v>512.88339749636975</v>
      </c>
      <c r="J138" s="143">
        <f t="shared" si="40"/>
        <v>453.05013489625202</v>
      </c>
      <c r="K138" s="143">
        <f t="shared" si="40"/>
        <v>375.33893897572688</v>
      </c>
      <c r="L138" s="46"/>
      <c r="M138" s="79">
        <f t="shared" si="41"/>
        <v>0.49913407320266168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40"/>
        <v>116.24970775877308</v>
      </c>
      <c r="I139" s="143">
        <f t="shared" si="40"/>
        <v>1472.9669188182581</v>
      </c>
      <c r="J139" s="143">
        <f t="shared" si="40"/>
        <v>2493.6491399298852</v>
      </c>
      <c r="K139" s="143">
        <f t="shared" si="40"/>
        <v>3109.5681883014772</v>
      </c>
      <c r="L139" s="46"/>
      <c r="M139" s="79">
        <f t="shared" si="41"/>
        <v>26.749040907303318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15144.174551135928</v>
      </c>
      <c r="I140" s="145">
        <f t="shared" ref="I140:K140" si="42">SUM(I133:I139)</f>
        <v>11601.645751941151</v>
      </c>
      <c r="J140" s="145">
        <f t="shared" si="42"/>
        <v>9069.293185352708</v>
      </c>
      <c r="K140" s="145">
        <f t="shared" si="42"/>
        <v>6937.5351215362452</v>
      </c>
      <c r="L140" s="21"/>
      <c r="M140" s="79">
        <f t="shared" si="41"/>
        <v>0.45809925777802646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énergie'!C30</f>
        <v>5.6584972145073235E-2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énergie'!C31</f>
        <v>0.5881912261494745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énergie'!C32</f>
        <v>8.0741361547576412E-2</v>
      </c>
      <c r="I148" s="47">
        <v>0.25</v>
      </c>
      <c r="J148" s="47">
        <v>0.25</v>
      </c>
      <c r="K148" s="47">
        <v>0.2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énergie'!C33</f>
        <v>1.2731783152525081E-2</v>
      </c>
      <c r="I149" s="47">
        <f t="shared" ref="I149:K150" si="43">H149</f>
        <v>1.2731783152525081E-2</v>
      </c>
      <c r="J149" s="47">
        <f t="shared" si="43"/>
        <v>1.2731783152525081E-2</v>
      </c>
      <c r="K149" s="47">
        <f t="shared" si="43"/>
        <v>1.2731783152525081E-2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énergie'!C34</f>
        <v>9.0821371602788342E-3</v>
      </c>
      <c r="I150" s="47">
        <f t="shared" si="43"/>
        <v>9.0821371602788342E-3</v>
      </c>
      <c r="J150" s="47">
        <f t="shared" si="43"/>
        <v>9.0821371602788342E-3</v>
      </c>
      <c r="K150" s="47">
        <v>0.04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énergie'!C35</f>
        <v>2.1278159067402536E-2</v>
      </c>
      <c r="I151" s="47">
        <f>1-I146-I147-I148-I149-I150-I152</f>
        <v>0.27818607968719605</v>
      </c>
      <c r="J151" s="47">
        <f t="shared" ref="J151:K151" si="44">1-J146-J147-J148-J149-J150-J152</f>
        <v>-1.8139203128039183E-3</v>
      </c>
      <c r="K151" s="47">
        <f t="shared" si="44"/>
        <v>-2.7317831525250913E-3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énergie'!C36</f>
        <v>0.23139036077766945</v>
      </c>
      <c r="I152" s="47">
        <v>0.45</v>
      </c>
      <c r="J152" s="47">
        <v>0.73</v>
      </c>
      <c r="K152" s="47">
        <v>0.75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5">SUM(I146:I152)</f>
        <v>1</v>
      </c>
      <c r="J153" s="15">
        <f t="shared" si="45"/>
        <v>1</v>
      </c>
      <c r="K153" s="15">
        <f t="shared" si="45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67.754116171564931</v>
      </c>
      <c r="J157" s="45">
        <f>K157</f>
        <v>67.754116171564931</v>
      </c>
      <c r="K157" s="45">
        <f t="shared" ref="K157:K163" si="46">K81</f>
        <v>67.754116171564931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7">J158</f>
        <v>56.480148187551677</v>
      </c>
      <c r="J158" s="45">
        <f t="shared" si="47"/>
        <v>56.480148187551677</v>
      </c>
      <c r="K158" s="45">
        <f t="shared" si="46"/>
        <v>56.480148187551677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7"/>
        <v>55.864492064545047</v>
      </c>
      <c r="J159" s="45">
        <f t="shared" si="47"/>
        <v>55.864492064545047</v>
      </c>
      <c r="K159" s="45">
        <f t="shared" si="46"/>
        <v>55.864492064545047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7"/>
        <v>57.011342844316779</v>
      </c>
      <c r="J160" s="45">
        <f t="shared" si="47"/>
        <v>57.011342844316779</v>
      </c>
      <c r="K160" s="45">
        <f t="shared" si="46"/>
        <v>57.011342844316779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7"/>
        <v>54.456643348659803</v>
      </c>
      <c r="J161" s="45">
        <f t="shared" si="47"/>
        <v>54.456643348659803</v>
      </c>
      <c r="K161" s="45">
        <f t="shared" si="46"/>
        <v>54.456643348659803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7"/>
        <v>34.198956595828037</v>
      </c>
      <c r="J162" s="45">
        <f t="shared" si="47"/>
        <v>34.198956595828037</v>
      </c>
      <c r="K162" s="45">
        <f t="shared" si="46"/>
        <v>34.198956595828037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7"/>
        <v>36.601381572170816</v>
      </c>
      <c r="J163" s="45">
        <f t="shared" si="47"/>
        <v>36.601381572170816</v>
      </c>
      <c r="K163" s="45">
        <f t="shared" si="46"/>
        <v>36.601381572170816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8">I$35*I146*I157/1000</f>
        <v>0</v>
      </c>
      <c r="J167" s="10">
        <f t="shared" si="48"/>
        <v>0</v>
      </c>
      <c r="K167" s="10">
        <f t="shared" si="48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9">H$35*H147*H158/1000</f>
        <v>0</v>
      </c>
      <c r="I168" s="10">
        <f t="shared" si="49"/>
        <v>0</v>
      </c>
      <c r="J168" s="10">
        <f t="shared" si="49"/>
        <v>0</v>
      </c>
      <c r="K168" s="10">
        <f t="shared" si="49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9"/>
        <v>0</v>
      </c>
      <c r="I169" s="10">
        <f t="shared" si="49"/>
        <v>69.300678416944919</v>
      </c>
      <c r="J169" s="10">
        <f t="shared" si="49"/>
        <v>47.411068890790489</v>
      </c>
      <c r="K169" s="10">
        <f t="shared" si="49"/>
        <v>37.50812048163985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9"/>
        <v>0</v>
      </c>
      <c r="I170" s="10">
        <f t="shared" si="49"/>
        <v>3.6017380728972408</v>
      </c>
      <c r="J170" s="10">
        <f t="shared" si="49"/>
        <v>2.4640776367776573</v>
      </c>
      <c r="K170" s="10">
        <f t="shared" si="49"/>
        <v>2.4367442835254174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9"/>
        <v>0</v>
      </c>
      <c r="I171" s="10">
        <f t="shared" si="49"/>
        <v>2.4541468590405366</v>
      </c>
      <c r="J171" s="10">
        <f t="shared" si="49"/>
        <v>1.6789695059267697</v>
      </c>
      <c r="K171" s="10">
        <f t="shared" si="49"/>
        <v>7.3125746400317064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9"/>
        <v>0</v>
      </c>
      <c r="I172" s="10">
        <f t="shared" si="49"/>
        <v>47.207377340536119</v>
      </c>
      <c r="J172" s="10">
        <f t="shared" si="49"/>
        <v>-0.21058864189886939</v>
      </c>
      <c r="K172" s="10">
        <f t="shared" si="49"/>
        <v>-0.31363067346540846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9"/>
        <v>0</v>
      </c>
      <c r="I173" s="10">
        <f t="shared" si="49"/>
        <v>81.728140082843325</v>
      </c>
      <c r="J173" s="10">
        <f t="shared" si="49"/>
        <v>90.703536943236372</v>
      </c>
      <c r="K173" s="10">
        <f t="shared" si="49"/>
        <v>92.154849556580942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50">SUM(I167:I173)</f>
        <v>204.29208077226212</v>
      </c>
      <c r="J174" s="11">
        <f t="shared" si="50"/>
        <v>142.04706433483244</v>
      </c>
      <c r="K174" s="11">
        <f t="shared" si="50"/>
        <v>139.09865828831249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1">H$36*($H$73*H45+(1-$H$73)*H59)+H$35*H146</f>
        <v>33755.555534903135</v>
      </c>
      <c r="I181" s="10">
        <f t="shared" si="51"/>
        <v>3274.8835371322207</v>
      </c>
      <c r="J181" s="10">
        <f t="shared" si="51"/>
        <v>0</v>
      </c>
      <c r="K181" s="10">
        <f t="shared" si="51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1"/>
        <v>98258.745814470487</v>
      </c>
      <c r="I182" s="10">
        <f t="shared" si="51"/>
        <v>82802.15535285107</v>
      </c>
      <c r="J182" s="10">
        <f t="shared" si="51"/>
        <v>48051.389388135925</v>
      </c>
      <c r="K182" s="10">
        <f t="shared" si="51"/>
        <v>13753.675746722713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1"/>
        <v>14036.963687781501</v>
      </c>
      <c r="I183" s="10">
        <f t="shared" si="51"/>
        <v>33896.015081464131</v>
      </c>
      <c r="J183" s="10">
        <f t="shared" si="51"/>
        <v>38439.902843316406</v>
      </c>
      <c r="K183" s="10">
        <f t="shared" si="51"/>
        <v>40948.474995461562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1"/>
        <v>2172.3872373947556</v>
      </c>
      <c r="I184" s="10">
        <f t="shared" si="51"/>
        <v>1482.2920148530543</v>
      </c>
      <c r="J184" s="10">
        <f t="shared" si="51"/>
        <v>751.46126455523586</v>
      </c>
      <c r="K184" s="10">
        <f t="shared" si="51"/>
        <v>42.741394290247385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1"/>
        <v>1503.9603951194463</v>
      </c>
      <c r="I185" s="10">
        <f t="shared" si="51"/>
        <v>3210.7868217885102</v>
      </c>
      <c r="J185" s="10">
        <f t="shared" si="51"/>
        <v>6568.4353056916743</v>
      </c>
      <c r="K185" s="10">
        <f t="shared" si="51"/>
        <v>6371.7771776037234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1"/>
        <v>15039.603951194464</v>
      </c>
      <c r="I186" s="10">
        <f t="shared" si="51"/>
        <v>12367.569752959926</v>
      </c>
      <c r="J186" s="10">
        <f t="shared" si="51"/>
        <v>11434.649246680443</v>
      </c>
      <c r="K186" s="10">
        <f t="shared" si="51"/>
        <v>10906.44490468396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1"/>
        <v>2172.3872373947556</v>
      </c>
      <c r="I187" s="10">
        <f t="shared" si="51"/>
        <v>31706.87683790033</v>
      </c>
      <c r="J187" s="10">
        <f t="shared" si="51"/>
        <v>61316.581155058208</v>
      </c>
      <c r="K187" s="10">
        <f t="shared" si="51"/>
        <v>86990.627961193721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166939.60385825855</v>
      </c>
      <c r="I188" s="10">
        <f t="shared" ref="I188:K188" si="52">SUM(I181:I187)</f>
        <v>168740.57939894922</v>
      </c>
      <c r="J188" s="10">
        <f t="shared" si="52"/>
        <v>166562.41920343789</v>
      </c>
      <c r="K188" s="10">
        <f t="shared" si="52"/>
        <v>159013.74217995594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GB1593"/>
  <sheetViews>
    <sheetView showGridLines="0" topLeftCell="A37" zoomScale="115" zoomScaleNormal="115" workbookViewId="0">
      <selection activeCell="K66" sqref="K66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238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179200</v>
      </c>
      <c r="I7" s="10">
        <f t="shared" si="0"/>
        <v>196005.76671201803</v>
      </c>
      <c r="J7" s="10">
        <f t="shared" si="0"/>
        <v>209480.58833950156</v>
      </c>
      <c r="K7" s="10">
        <f t="shared" si="0"/>
        <v>215699.51918408886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21439.617925882485</v>
      </c>
      <c r="J8" s="76">
        <f t="shared" si="0"/>
        <v>18543.245511428384</v>
      </c>
      <c r="K8" s="76">
        <f t="shared" si="0"/>
        <v>11635.794006183507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179200</v>
      </c>
      <c r="I9" s="96">
        <f t="shared" si="1"/>
        <v>174566.14878613554</v>
      </c>
      <c r="J9" s="96">
        <f t="shared" si="1"/>
        <v>190937.34282807316</v>
      </c>
      <c r="K9" s="96">
        <f t="shared" si="1"/>
        <v>204063.72517790535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3808.9479439951956</v>
      </c>
      <c r="I13" s="86">
        <f t="shared" ref="I13:K13" si="2">I133+I167</f>
        <v>416.93626029091678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10537.022711480739</v>
      </c>
      <c r="I14" s="86">
        <f t="shared" si="3"/>
        <v>7605.1354821355817</v>
      </c>
      <c r="J14" s="86">
        <f t="shared" si="3"/>
        <v>4346.3365875493091</v>
      </c>
      <c r="K14" s="86">
        <f t="shared" si="3"/>
        <v>1283.7986347076951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1744.7346539514624</v>
      </c>
      <c r="I15" s="86">
        <f t="shared" si="3"/>
        <v>3678.0894966965643</v>
      </c>
      <c r="J15" s="86">
        <f t="shared" si="3"/>
        <v>4171.7727500605379</v>
      </c>
      <c r="K15" s="86">
        <f t="shared" si="3"/>
        <v>3934.9043840142881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268.71711769333643</v>
      </c>
      <c r="I16" s="86">
        <f t="shared" si="3"/>
        <v>192.98537115732489</v>
      </c>
      <c r="J16" s="86">
        <f t="shared" si="3"/>
        <v>114.32937585343893</v>
      </c>
      <c r="K16" s="86">
        <f t="shared" si="3"/>
        <v>28.192705890556326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289.13034571123416</v>
      </c>
      <c r="I17" s="86">
        <f t="shared" si="3"/>
        <v>441.17897458728459</v>
      </c>
      <c r="J17" s="86">
        <f t="shared" si="3"/>
        <v>593.21623620565879</v>
      </c>
      <c r="K17" s="86">
        <f t="shared" si="3"/>
        <v>755.99002635507577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2089.6512000000002</v>
      </c>
      <c r="I18" s="86">
        <f t="shared" si="3"/>
        <v>1857.3953627810513</v>
      </c>
      <c r="J18" s="86">
        <f t="shared" si="3"/>
        <v>1073.0298647434456</v>
      </c>
      <c r="K18" s="86">
        <f t="shared" si="3"/>
        <v>1013.5833002588178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258.00164643359227</v>
      </c>
      <c r="I19" s="86">
        <f t="shared" si="3"/>
        <v>1460.5906835990165</v>
      </c>
      <c r="J19" s="86">
        <f t="shared" si="3"/>
        <v>3073.4417789819781</v>
      </c>
      <c r="K19" s="86">
        <f t="shared" si="3"/>
        <v>4204.3183162352543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18996.205619265562</v>
      </c>
      <c r="I20" s="13">
        <f t="shared" ref="I20:K20" si="4">SUM(I13:I19)</f>
        <v>15652.311631247741</v>
      </c>
      <c r="J20" s="13">
        <f t="shared" si="4"/>
        <v>13372.126593394369</v>
      </c>
      <c r="K20" s="13">
        <f t="shared" si="4"/>
        <v>11220.787367461689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-0.37944521558437616</v>
      </c>
      <c r="J23" s="177">
        <f t="shared" ref="J23:K23" si="5">J118/$G118-1</f>
        <v>-0.47178850964860952</v>
      </c>
      <c r="K23" s="177">
        <f t="shared" si="5"/>
        <v>-0.54838041503516743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-0.32751877443793875</v>
      </c>
      <c r="J24" s="177">
        <f t="shared" ref="J24:K24" si="6">J129/$G129-1</f>
        <v>-0.39985396428018727</v>
      </c>
      <c r="K24" s="177">
        <f t="shared" si="6"/>
        <v>-0.47075505352911906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179200</v>
      </c>
      <c r="H34" s="125">
        <f>'Init. parc'!C25</f>
        <v>179200</v>
      </c>
      <c r="I34" s="125">
        <f>'Init. parc'!D25</f>
        <v>196005.76671201803</v>
      </c>
      <c r="J34" s="125">
        <f>'Init. parc'!E25</f>
        <v>209480.58833950156</v>
      </c>
      <c r="K34" s="125">
        <f>'Init. parc'!F25</f>
        <v>215699.51918408886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parc'!N25</f>
        <v>21439.617925882485</v>
      </c>
      <c r="J35" s="125">
        <f>'Init. parc'!O25</f>
        <v>18543.245511428384</v>
      </c>
      <c r="K35" s="125">
        <f>'Init. parc'!P25</f>
        <v>11635.794006183507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179200</v>
      </c>
      <c r="H36" s="125">
        <f>H34-H35</f>
        <v>179200</v>
      </c>
      <c r="I36" s="125">
        <f>I34-I35</f>
        <v>174566.14878613554</v>
      </c>
      <c r="J36" s="125">
        <f>J34-J35</f>
        <v>190937.34282807316</v>
      </c>
      <c r="K36" s="125">
        <f>K34-K35</f>
        <v>204063.72517790535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0.158</v>
      </c>
      <c r="H45" s="55">
        <f>'Init. énergie'!B48</f>
        <v>0.158</v>
      </c>
      <c r="I45" s="47">
        <v>0.02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0.52700000000000002</v>
      </c>
      <c r="H46" s="55">
        <f>'Init. énergie'!B49</f>
        <v>0.52700000000000002</v>
      </c>
      <c r="I46" s="47">
        <f>H46*0.86</f>
        <v>0.45322000000000001</v>
      </c>
      <c r="J46" s="47">
        <f>H46*0.5</f>
        <v>0.26350000000000001</v>
      </c>
      <c r="K46" s="47">
        <f>H46*0.15</f>
        <v>7.9049999999999995E-2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8.5999999999999993E-2</v>
      </c>
      <c r="H47" s="55">
        <f>'Init. énergie'!B50</f>
        <v>8.5999999999999993E-2</v>
      </c>
      <c r="I47" s="47">
        <v>0.19</v>
      </c>
      <c r="J47" s="47">
        <v>0.23</v>
      </c>
      <c r="K47" s="47">
        <v>0.23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1.4999999999999999E-2</v>
      </c>
      <c r="H48" s="55">
        <f>'Init. énergie'!B51</f>
        <v>1.4999999999999999E-2</v>
      </c>
      <c r="I48" s="47">
        <f t="shared" ref="I48:I49" si="8">H48+((K48-H48)/3)</f>
        <v>9.9999999999999985E-3</v>
      </c>
      <c r="J48" s="47">
        <f t="shared" ref="J48" si="9">H48+((K48-H48)/3*2)</f>
        <v>4.9999999999999992E-3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1.2999999999999999E-2</v>
      </c>
      <c r="H49" s="55">
        <f>'Init. énergie'!B52</f>
        <v>1.2999999999999999E-2</v>
      </c>
      <c r="I49" s="47">
        <f t="shared" si="8"/>
        <v>2.1999999999999999E-2</v>
      </c>
      <c r="J49" s="47">
        <v>0.03</v>
      </c>
      <c r="K49" s="47">
        <v>0.04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0.16900000000000001</v>
      </c>
      <c r="H50" s="55">
        <f>'Init. énergie'!B53</f>
        <v>0.16900000000000001</v>
      </c>
      <c r="I50" s="47">
        <f>1-I45-I46-I47-I48-I49-I51</f>
        <v>0.15478</v>
      </c>
      <c r="J50" s="47">
        <v>0.09</v>
      </c>
      <c r="K50" s="47">
        <v>0.09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3.2000000000000001E-2</v>
      </c>
      <c r="H51" s="55">
        <f>'Init. énergie'!B54</f>
        <v>3.2000000000000001E-2</v>
      </c>
      <c r="I51" s="47">
        <v>0.15</v>
      </c>
      <c r="J51" s="47">
        <v>0.38</v>
      </c>
      <c r="K51" s="123">
        <v>0.56000000000000005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0">SUM(G45:G51)</f>
        <v>1</v>
      </c>
      <c r="H52" s="149">
        <f t="shared" si="10"/>
        <v>1</v>
      </c>
      <c r="I52" s="155">
        <f t="shared" si="10"/>
        <v>1</v>
      </c>
      <c r="J52" s="155">
        <f t="shared" si="10"/>
        <v>0.99850000000000005</v>
      </c>
      <c r="K52" s="155">
        <f>SUM(K45:K51)</f>
        <v>0.99904999999999999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1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-9.5067708299789916E-2</v>
      </c>
      <c r="J55" s="142">
        <f t="shared" si="11"/>
        <v>-0.13248179992410503</v>
      </c>
      <c r="K55" s="142">
        <f t="shared" si="11"/>
        <v>-0.13089929544185272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0.158</v>
      </c>
      <c r="H59" s="55">
        <f>H45</f>
        <v>0.158</v>
      </c>
      <c r="I59" s="47">
        <f>I45</f>
        <v>0.02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2">H60</f>
        <v>0.52700000000000002</v>
      </c>
      <c r="H60" s="55">
        <f t="shared" ref="H60:K65" si="13">H46</f>
        <v>0.52700000000000002</v>
      </c>
      <c r="I60" s="47">
        <f t="shared" si="13"/>
        <v>0.45322000000000001</v>
      </c>
      <c r="J60" s="47">
        <f t="shared" si="13"/>
        <v>0.26350000000000001</v>
      </c>
      <c r="K60" s="47">
        <f t="shared" si="13"/>
        <v>7.9049999999999995E-2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2"/>
        <v>8.5999999999999993E-2</v>
      </c>
      <c r="H61" s="55">
        <f t="shared" si="13"/>
        <v>8.5999999999999993E-2</v>
      </c>
      <c r="I61" s="47">
        <v>0.19</v>
      </c>
      <c r="J61" s="47">
        <f t="shared" si="13"/>
        <v>0.23</v>
      </c>
      <c r="K61" s="47">
        <v>0.26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2"/>
        <v>1.4999999999999999E-2</v>
      </c>
      <c r="H62" s="55">
        <f t="shared" si="13"/>
        <v>1.4999999999999999E-2</v>
      </c>
      <c r="I62" s="47">
        <f t="shared" si="13"/>
        <v>9.9999999999999985E-3</v>
      </c>
      <c r="J62" s="47">
        <f t="shared" si="13"/>
        <v>4.9999999999999992E-3</v>
      </c>
      <c r="K62" s="47">
        <f t="shared" si="13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2"/>
        <v>1.2999999999999999E-2</v>
      </c>
      <c r="H63" s="55">
        <f t="shared" si="13"/>
        <v>1.2999999999999999E-2</v>
      </c>
      <c r="I63" s="47">
        <f t="shared" si="13"/>
        <v>2.1999999999999999E-2</v>
      </c>
      <c r="J63" s="47">
        <f t="shared" si="13"/>
        <v>0.03</v>
      </c>
      <c r="K63" s="47">
        <f t="shared" si="13"/>
        <v>0.04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2"/>
        <v>0.16900000000000001</v>
      </c>
      <c r="H64" s="55">
        <f t="shared" si="13"/>
        <v>0.16900000000000001</v>
      </c>
      <c r="I64" s="47">
        <v>0.14000000000000001</v>
      </c>
      <c r="J64" s="47">
        <f t="shared" si="13"/>
        <v>0.09</v>
      </c>
      <c r="K64" s="47">
        <f t="shared" si="13"/>
        <v>0.09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2"/>
        <v>3.2000000000000001E-2</v>
      </c>
      <c r="H65" s="55">
        <f t="shared" si="13"/>
        <v>3.2000000000000001E-2</v>
      </c>
      <c r="I65" s="47">
        <v>0.16</v>
      </c>
      <c r="J65" s="47">
        <f t="shared" si="13"/>
        <v>0.38</v>
      </c>
      <c r="K65" s="47">
        <v>0.53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4">SUM(G59:G65)</f>
        <v>1</v>
      </c>
      <c r="H66" s="149">
        <v>1</v>
      </c>
      <c r="I66" s="47">
        <f t="shared" ref="I66:J66" si="15">SUM(I59:I65)</f>
        <v>0.9952200000000001</v>
      </c>
      <c r="J66" s="47">
        <f t="shared" si="15"/>
        <v>0.99850000000000005</v>
      </c>
      <c r="K66" s="47">
        <f>SUM(K59:K65)</f>
        <v>0.99904999999999999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-0.10044384664743593</v>
      </c>
      <c r="J69" s="142">
        <f>(I$101*(J59-I59)+I$102*(J60-I60)+I$103*(J61-I61)+I$104*(J62-I62)+I$105*(J63-I63)+I$106*(J64-I64)+I$107*(J65-I65))/(I$101*I59+I$102*I60+I$103*I61+I$104*I62+I$105*I63+I$106*I64+I$107*I65)</f>
        <v>-0.13066101726246526</v>
      </c>
      <c r="K69" s="142">
        <f>(J$101*(K59-J59)+J$102*(K60-J60)+J$103*(K61-J61)+J$104*(K62-J62)+J$105*(K63-J63)+J$106*(K64-J64)+J$107*(K65-J65))/(J$101*J59+J$102*J60+J$103*J61+J$104*J62+J$105*J63+J$106*J64+J$107*J65)</f>
        <v>-0.11995294348412046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bord'!J12</f>
        <v>0.83</v>
      </c>
      <c r="G73" s="92">
        <f>'Tableau de bord'!J25</f>
        <v>0.96399999999999997</v>
      </c>
      <c r="H73" s="92">
        <f>'Tableau de bord'!J28</f>
        <v>0.96399999999999997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167.90443338994407</v>
      </c>
      <c r="H81" s="54">
        <f>'Init. énergie'!D48</f>
        <v>134.52715105091531</v>
      </c>
      <c r="I81" s="81">
        <f>G81*(1-F$77)/(1+I$55)</f>
        <v>119.21179014438083</v>
      </c>
      <c r="J81" s="81">
        <f>G81*(1-G$77)/(1+I$55)/(1+J$55)</f>
        <v>106.93933696827989</v>
      </c>
      <c r="K81" s="81">
        <f>G81*(1-H$77)/(1+I$55)/(1+J$55)/(1+K$55)</f>
        <v>98.436773927272867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6">H82/F82^10</f>
        <v>134.93364309349963</v>
      </c>
      <c r="H82" s="54">
        <f>'Init. énergie'!D49</f>
        <v>111.57561660808248</v>
      </c>
      <c r="I82" s="81">
        <f t="shared" ref="I82:I87" si="17">G82*(1-F$77)/(1+I$55)</f>
        <v>95.802599247164636</v>
      </c>
      <c r="J82" s="81">
        <f t="shared" ref="J82:J87" si="18">G82*(1-G$77)/(1+I$55)/(1+J$55)</f>
        <v>85.940043605766846</v>
      </c>
      <c r="K82" s="81">
        <f t="shared" ref="K82:K87" si="19">G82*(1-H$77)/(1+I$55)/(1+J$55)/(1+K$55)</f>
        <v>79.107098319022981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6"/>
        <v>127.96396714601187</v>
      </c>
      <c r="H83" s="54">
        <f>'Init. énergie'!D50</f>
        <v>113.21212196009803</v>
      </c>
      <c r="I83" s="81">
        <f t="shared" si="17"/>
        <v>90.854144166787876</v>
      </c>
      <c r="J83" s="81">
        <f t="shared" si="18"/>
        <v>81.501015346297748</v>
      </c>
      <c r="K83" s="81">
        <f t="shared" si="19"/>
        <v>75.021009573552746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6"/>
        <v>112.99541804936804</v>
      </c>
      <c r="H84" s="54">
        <f>'Init. énergie'!D51</f>
        <v>99.969165808532892</v>
      </c>
      <c r="I84" s="81">
        <f t="shared" si="17"/>
        <v>80.226506184586526</v>
      </c>
      <c r="J84" s="81">
        <f t="shared" si="18"/>
        <v>71.967456979469631</v>
      </c>
      <c r="K84" s="81">
        <f t="shared" si="19"/>
        <v>66.245448060989006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6"/>
        <v>140.28365833833044</v>
      </c>
      <c r="H85" s="54">
        <f>'Init. énergie'!D52</f>
        <v>124.11158383895697</v>
      </c>
      <c r="I85" s="81">
        <f t="shared" si="17"/>
        <v>99.601098677818769</v>
      </c>
      <c r="J85" s="81">
        <f t="shared" si="18"/>
        <v>89.347500285148726</v>
      </c>
      <c r="K85" s="81">
        <f t="shared" si="19"/>
        <v>82.243633969274669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6"/>
        <v>92.329324616720555</v>
      </c>
      <c r="H86" s="54">
        <f>'Init. énergie'!D53</f>
        <v>69</v>
      </c>
      <c r="I86" s="81">
        <f t="shared" si="17"/>
        <v>65.553623857082187</v>
      </c>
      <c r="J86" s="81">
        <f t="shared" si="18"/>
        <v>58.805098578370938</v>
      </c>
      <c r="K86" s="81">
        <f t="shared" si="19"/>
        <v>54.1296061733307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6"/>
        <v>60.203960449257927</v>
      </c>
      <c r="H87" s="54">
        <f>'Init. énergie'!D54</f>
        <v>44.991916579518737</v>
      </c>
      <c r="I87" s="81">
        <f t="shared" si="17"/>
        <v>42.744683711057846</v>
      </c>
      <c r="J87" s="81">
        <f t="shared" si="18"/>
        <v>38.344262169397695</v>
      </c>
      <c r="K87" s="81">
        <f t="shared" si="19"/>
        <v>35.295575730908659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0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0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0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0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0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0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1">G81</f>
        <v>167.90443338994407</v>
      </c>
      <c r="H101" s="54">
        <f t="shared" si="21"/>
        <v>134.52715105091531</v>
      </c>
      <c r="I101" s="81">
        <f>$H101*(1+$G91)^(I$100-$H$100)</f>
        <v>125.01505335719065</v>
      </c>
      <c r="J101" s="81">
        <f>$H101*(1+$G91)^(J$100-$H$100)</f>
        <v>116.17553366595948</v>
      </c>
      <c r="K101" s="81">
        <f>$H101*(1+$G91)^(K$100-$H$100)</f>
        <v>107.96103557231471</v>
      </c>
      <c r="L101" s="67"/>
      <c r="M101" s="79">
        <f>(K101-G101)/H101</f>
        <v>-0.44558587132304778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1"/>
        <v>134.93364309349963</v>
      </c>
      <c r="H102" s="54">
        <f t="shared" si="21"/>
        <v>111.57561660808248</v>
      </c>
      <c r="I102" s="81">
        <f t="shared" ref="I102:K107" si="22">$H102*(1+$G92)^(I$100-$H$100)</f>
        <v>104.76742992797396</v>
      </c>
      <c r="J102" s="81">
        <f t="shared" si="22"/>
        <v>98.374669191994641</v>
      </c>
      <c r="K102" s="81">
        <f t="shared" si="22"/>
        <v>92.371985695244845</v>
      </c>
      <c r="L102" s="67"/>
      <c r="M102" s="79">
        <f t="shared" ref="M102:M107" si="23">(K102-G102)/H102</f>
        <v>-0.38146020333237968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1"/>
        <v>127.96396714601187</v>
      </c>
      <c r="H103" s="54">
        <f t="shared" si="21"/>
        <v>113.21212196009803</v>
      </c>
      <c r="I103" s="81">
        <f t="shared" si="22"/>
        <v>108.70102486427788</v>
      </c>
      <c r="J103" s="81">
        <f t="shared" si="22"/>
        <v>104.36967881150495</v>
      </c>
      <c r="K103" s="81">
        <f t="shared" si="22"/>
        <v>100.21092136727822</v>
      </c>
      <c r="L103" s="67"/>
      <c r="M103" s="79">
        <f t="shared" si="23"/>
        <v>-0.24514199803193601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1"/>
        <v>112.99541804936804</v>
      </c>
      <c r="H104" s="54">
        <f t="shared" si="21"/>
        <v>99.969165808532892</v>
      </c>
      <c r="I104" s="81">
        <f t="shared" si="22"/>
        <v>95.985753027793905</v>
      </c>
      <c r="J104" s="81">
        <f t="shared" si="22"/>
        <v>92.16106496235507</v>
      </c>
      <c r="K104" s="81">
        <f t="shared" si="22"/>
        <v>88.488777001478368</v>
      </c>
      <c r="L104" s="67"/>
      <c r="M104" s="79">
        <f t="shared" si="23"/>
        <v>-0.24514199803193618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1"/>
        <v>140.28365833833044</v>
      </c>
      <c r="H105" s="54">
        <f t="shared" si="21"/>
        <v>124.11158383895697</v>
      </c>
      <c r="I105" s="81">
        <f t="shared" si="22"/>
        <v>119.16618227135019</v>
      </c>
      <c r="J105" s="81">
        <f>$H105*(1+$G95)^(J$100-$H$100)</f>
        <v>114.41783722263067</v>
      </c>
      <c r="K105" s="81">
        <f>$H105*(1+$G95)^(K$100-$H$100)</f>
        <v>109.85869669714037</v>
      </c>
      <c r="L105" s="67"/>
      <c r="M105" s="79">
        <f t="shared" si="23"/>
        <v>-0.24514199803193612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1"/>
        <v>92.329324616720555</v>
      </c>
      <c r="H106" s="54">
        <f t="shared" si="21"/>
        <v>69</v>
      </c>
      <c r="I106" s="81">
        <f t="shared" si="22"/>
        <v>62.674889766242217</v>
      </c>
      <c r="J106" s="81">
        <f t="shared" si="22"/>
        <v>56.929591408849475</v>
      </c>
      <c r="K106" s="81">
        <f t="shared" si="22"/>
        <v>51.710954579519566</v>
      </c>
      <c r="L106" s="67"/>
      <c r="M106" s="79">
        <f t="shared" si="23"/>
        <v>-0.58867202952465203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1"/>
        <v>60.203960449257927</v>
      </c>
      <c r="H107" s="54">
        <f t="shared" si="21"/>
        <v>44.991916579518737</v>
      </c>
      <c r="I107" s="81">
        <f t="shared" si="22"/>
        <v>40.867585681062351</v>
      </c>
      <c r="J107" s="81">
        <f t="shared" si="22"/>
        <v>37.121325037290461</v>
      </c>
      <c r="K107" s="81">
        <f t="shared" si="22"/>
        <v>33.718477604188791</v>
      </c>
      <c r="L107" s="67"/>
      <c r="M107" s="79">
        <f t="shared" si="23"/>
        <v>-0.58867202952465203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4">G$36*G45*$H$73*G81/1000</f>
        <v>4582.8357224812571</v>
      </c>
      <c r="H111" s="54">
        <f t="shared" si="24"/>
        <v>3671.8258180113685</v>
      </c>
      <c r="I111" s="125">
        <f t="shared" si="24"/>
        <v>401.22341487941901</v>
      </c>
      <c r="J111" s="125">
        <f t="shared" si="24"/>
        <v>0</v>
      </c>
      <c r="K111" s="125">
        <f t="shared" si="24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4"/>
        <v>12284.172334963996</v>
      </c>
      <c r="H112" s="54">
        <f t="shared" si="24"/>
        <v>10157.689893867431</v>
      </c>
      <c r="I112" s="125">
        <f t="shared" si="24"/>
        <v>7306.7361214949624</v>
      </c>
      <c r="J112" s="125">
        <f t="shared" si="24"/>
        <v>4168.1572747178816</v>
      </c>
      <c r="K112" s="125">
        <f t="shared" si="24"/>
        <v>1230.15595496431</v>
      </c>
      <c r="L112" s="46"/>
      <c r="M112" s="79">
        <f t="shared" ref="M112:M118" si="25">(K112-G112)/H112</f>
        <v>-1.0882411744695415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4"/>
        <v>1901.0834720233158</v>
      </c>
      <c r="H113" s="54">
        <f t="shared" si="24"/>
        <v>1681.9242064092098</v>
      </c>
      <c r="I113" s="125">
        <f t="shared" si="24"/>
        <v>2904.9282321552923</v>
      </c>
      <c r="J113" s="125">
        <f t="shared" si="24"/>
        <v>3450.315137932444</v>
      </c>
      <c r="K113" s="125">
        <f t="shared" si="24"/>
        <v>3394.3262643309449</v>
      </c>
      <c r="L113" s="46"/>
      <c r="M113" s="79">
        <f t="shared" si="25"/>
        <v>0.88781812320520537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4"/>
        <v>292.79734310290002</v>
      </c>
      <c r="H114" s="54">
        <f t="shared" si="24"/>
        <v>259.0433014563763</v>
      </c>
      <c r="I114" s="125">
        <f t="shared" si="24"/>
        <v>135.00658255462778</v>
      </c>
      <c r="J114" s="125">
        <f t="shared" si="24"/>
        <v>66.23294552773234</v>
      </c>
      <c r="K114" s="125">
        <f t="shared" si="24"/>
        <v>0</v>
      </c>
      <c r="L114" s="46"/>
      <c r="M114" s="79">
        <f t="shared" si="25"/>
        <v>-1.1303027001924155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4"/>
        <v>315.0398372882355</v>
      </c>
      <c r="H115" s="54">
        <f t="shared" si="24"/>
        <v>278.7216532656297</v>
      </c>
      <c r="I115" s="125">
        <f t="shared" si="24"/>
        <v>368.74307631604762</v>
      </c>
      <c r="J115" s="125">
        <f t="shared" si="24"/>
        <v>493.36867254710518</v>
      </c>
      <c r="K115" s="125">
        <f t="shared" si="24"/>
        <v>647.1502558568211</v>
      </c>
      <c r="L115" s="46"/>
      <c r="M115" s="79">
        <f t="shared" si="25"/>
        <v>1.1915486819105328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4"/>
        <v>2695.5128254669703</v>
      </c>
      <c r="H116" s="54">
        <f t="shared" si="24"/>
        <v>2014.4237568000001</v>
      </c>
      <c r="I116" s="125">
        <f t="shared" si="24"/>
        <v>1707.4524255050546</v>
      </c>
      <c r="J116" s="125">
        <f t="shared" si="24"/>
        <v>974.14902483069204</v>
      </c>
      <c r="K116" s="125">
        <f t="shared" si="24"/>
        <v>958.34133641966957</v>
      </c>
      <c r="L116" s="46"/>
      <c r="M116" s="79">
        <f t="shared" si="25"/>
        <v>-0.86236646246014959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4"/>
        <v>332.80518153141662</v>
      </c>
      <c r="H117" s="54">
        <f t="shared" si="24"/>
        <v>248.71358716198296</v>
      </c>
      <c r="I117" s="125">
        <f t="shared" si="24"/>
        <v>1078.9726384689116</v>
      </c>
      <c r="J117" s="125">
        <f t="shared" si="24"/>
        <v>2681.9574929560008</v>
      </c>
      <c r="K117" s="125">
        <f t="shared" si="24"/>
        <v>3888.2227921454169</v>
      </c>
      <c r="L117" s="46"/>
      <c r="M117" s="79">
        <f t="shared" si="25"/>
        <v>14.295228705371922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22404.246716858084</v>
      </c>
      <c r="H118" s="146">
        <f>SUM(H111:H117)</f>
        <v>18312.342216972</v>
      </c>
      <c r="I118" s="144">
        <f t="shared" ref="I118:J118" si="26">SUM(I111:I117)</f>
        <v>13903.062491374316</v>
      </c>
      <c r="J118" s="144">
        <f t="shared" si="26"/>
        <v>11834.180548511857</v>
      </c>
      <c r="K118" s="144">
        <f>SUM(K111:K117)</f>
        <v>10118.196603717162</v>
      </c>
      <c r="L118" s="21"/>
      <c r="M118" s="79">
        <f t="shared" si="25"/>
        <v>-0.67091636709115943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7">G$36*G45*(1-$H$73)*G101/1000</f>
        <v>171.14324274826288</v>
      </c>
      <c r="H122" s="147">
        <f t="shared" si="27"/>
        <v>137.12212598382717</v>
      </c>
      <c r="I122" s="143">
        <f t="shared" ref="I122:I128" si="28">I$36*I59*(1-$H$73)*I101/1000</f>
        <v>15.712845411497787</v>
      </c>
      <c r="J122" s="143">
        <f t="shared" ref="J122:K122" si="29">J$36*J59*(1-$H$73)*J101/1000</f>
        <v>0</v>
      </c>
      <c r="K122" s="143">
        <f t="shared" si="29"/>
        <v>0</v>
      </c>
      <c r="L122" s="46"/>
      <c r="M122" s="79">
        <f>(K122-G122)/H122</f>
        <v>-1.2481081482681236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7"/>
        <v>458.74502495716206</v>
      </c>
      <c r="H123" s="147">
        <f t="shared" si="27"/>
        <v>379.33281761330687</v>
      </c>
      <c r="I123" s="143">
        <f t="shared" si="28"/>
        <v>298.39936064061942</v>
      </c>
      <c r="J123" s="143">
        <f t="shared" ref="J123:K123" si="30">J$36*J60*(1-$H$73)*J102/1000</f>
        <v>178.17931283142721</v>
      </c>
      <c r="K123" s="143">
        <f t="shared" si="30"/>
        <v>53.642679743384996</v>
      </c>
      <c r="L123" s="46"/>
      <c r="M123" s="79">
        <f t="shared" ref="M123:M129" si="31">(K123-G123)/H123</f>
        <v>-1.0679338206554534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7"/>
        <v>70.994818457302301</v>
      </c>
      <c r="H124" s="147">
        <f t="shared" si="27"/>
        <v>62.810447542252703</v>
      </c>
      <c r="I124" s="143">
        <f t="shared" si="28"/>
        <v>129.79255187289471</v>
      </c>
      <c r="J124" s="143">
        <f t="shared" ref="J124:K124" si="32">J$36*J61*(1-$H$73)*J103/1000</f>
        <v>165.00441251305048</v>
      </c>
      <c r="K124" s="143">
        <f t="shared" si="32"/>
        <v>191.40651426983081</v>
      </c>
      <c r="L124" s="46"/>
      <c r="M124" s="79">
        <f t="shared" si="31"/>
        <v>1.9170647642898475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7"/>
        <v>10.934340613801256</v>
      </c>
      <c r="H125" s="147">
        <f t="shared" si="27"/>
        <v>9.6738162369601195</v>
      </c>
      <c r="I125" s="143">
        <f t="shared" si="28"/>
        <v>6.0321107679836912</v>
      </c>
      <c r="J125" s="143">
        <f t="shared" ref="J125:K125" si="33">J$36*J62*(1-$H$73)*J104/1000</f>
        <v>3.1674579941011549</v>
      </c>
      <c r="K125" s="143">
        <f t="shared" si="33"/>
        <v>0</v>
      </c>
      <c r="L125" s="46"/>
      <c r="M125" s="79">
        <f t="shared" si="31"/>
        <v>-1.1303027001924155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7"/>
        <v>11.764973176739096</v>
      </c>
      <c r="H126" s="147">
        <f t="shared" si="27"/>
        <v>10.408692445604437</v>
      </c>
      <c r="I126" s="143">
        <f t="shared" si="28"/>
        <v>16.475486151687775</v>
      </c>
      <c r="J126" s="143">
        <f t="shared" ref="J126:K126" si="34">J$36*J63*(1-$H$73)*J105/1000</f>
        <v>23.594368836338045</v>
      </c>
      <c r="K126" s="143">
        <f t="shared" si="34"/>
        <v>32.282171843339711</v>
      </c>
      <c r="L126" s="46"/>
      <c r="M126" s="79">
        <f t="shared" si="31"/>
        <v>1.9711600447244428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7"/>
        <v>100.66230468548862</v>
      </c>
      <c r="H127" s="147">
        <f t="shared" si="27"/>
        <v>75.227443200000081</v>
      </c>
      <c r="I127" s="143">
        <f t="shared" si="28"/>
        <v>55.142207225726004</v>
      </c>
      <c r="J127" s="143">
        <f t="shared" ref="J127:K127" si="35">J$36*J64*(1-$H$73)*J106/1000</f>
        <v>35.218751114535365</v>
      </c>
      <c r="K127" s="143">
        <f t="shared" si="35"/>
        <v>34.189549277767242</v>
      </c>
      <c r="L127" s="46"/>
      <c r="M127" s="79">
        <f t="shared" si="31"/>
        <v>-0.88362374926124443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7"/>
        <v>12.4284092688081</v>
      </c>
      <c r="H128" s="147">
        <f t="shared" si="27"/>
        <v>9.2880592716093311</v>
      </c>
      <c r="I128" s="143">
        <f t="shared" si="28"/>
        <v>41.092398964975558</v>
      </c>
      <c r="J128" s="143">
        <f t="shared" ref="J128:K128" si="36">J$36*J65*(1-$H$73)*J107/1000</f>
        <v>96.961749215523781</v>
      </c>
      <c r="K128" s="143">
        <f t="shared" si="36"/>
        <v>131.28410224931139</v>
      </c>
      <c r="L128" s="46"/>
      <c r="M128" s="79">
        <f t="shared" si="31"/>
        <v>12.796612242108282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836.67311390756436</v>
      </c>
      <c r="H129" s="148">
        <f>SUM(H122:H128)</f>
        <v>683.86340229356063</v>
      </c>
      <c r="I129" s="145">
        <f t="shared" ref="I129:K129" si="37">SUM(I122:I128)</f>
        <v>562.64696103538495</v>
      </c>
      <c r="J129" s="145">
        <f t="shared" si="37"/>
        <v>502.12605250497609</v>
      </c>
      <c r="K129" s="145">
        <f t="shared" si="37"/>
        <v>442.80501738363415</v>
      </c>
      <c r="L129" s="21"/>
      <c r="M129" s="79">
        <f t="shared" si="31"/>
        <v>-0.57594556925105822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3808.9479439951956</v>
      </c>
      <c r="I133" s="143">
        <f t="shared" ref="I133:K133" si="38">I111+I122</f>
        <v>416.93626029091678</v>
      </c>
      <c r="J133" s="143">
        <f t="shared" si="38"/>
        <v>0</v>
      </c>
      <c r="K133" s="143">
        <f t="shared" si="38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9">H112+H123</f>
        <v>10537.022711480739</v>
      </c>
      <c r="I134" s="143">
        <f t="shared" si="39"/>
        <v>7605.1354821355817</v>
      </c>
      <c r="J134" s="143">
        <f t="shared" si="39"/>
        <v>4346.3365875493091</v>
      </c>
      <c r="K134" s="143">
        <f t="shared" si="39"/>
        <v>1283.7986347076951</v>
      </c>
      <c r="L134" s="46"/>
      <c r="M134" s="79">
        <f t="shared" ref="M134:M140" si="40">(K134-G134)/H134</f>
        <v>0.12183694292590989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9"/>
        <v>1744.7346539514624</v>
      </c>
      <c r="I135" s="143">
        <f t="shared" si="39"/>
        <v>3034.7207840281872</v>
      </c>
      <c r="J135" s="143">
        <f t="shared" si="39"/>
        <v>3615.3195504454943</v>
      </c>
      <c r="K135" s="143">
        <f t="shared" si="39"/>
        <v>3585.7327786007759</v>
      </c>
      <c r="L135" s="46"/>
      <c r="M135" s="79">
        <f t="shared" si="40"/>
        <v>2.0551737024766683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9"/>
        <v>268.71711769333643</v>
      </c>
      <c r="I136" s="143">
        <f t="shared" si="39"/>
        <v>141.03869332261146</v>
      </c>
      <c r="J136" s="143">
        <f t="shared" si="39"/>
        <v>69.400403521833496</v>
      </c>
      <c r="K136" s="143">
        <f t="shared" si="39"/>
        <v>0</v>
      </c>
      <c r="L136" s="46"/>
      <c r="M136" s="79">
        <f t="shared" si="40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9"/>
        <v>289.13034571123416</v>
      </c>
      <c r="I137" s="143">
        <f t="shared" si="39"/>
        <v>385.21856246773541</v>
      </c>
      <c r="J137" s="143">
        <f t="shared" si="39"/>
        <v>516.96304138344317</v>
      </c>
      <c r="K137" s="143">
        <f t="shared" si="39"/>
        <v>679.43242770016082</v>
      </c>
      <c r="L137" s="46"/>
      <c r="M137" s="79">
        <f t="shared" si="40"/>
        <v>2.349917391164249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9"/>
        <v>2089.6512000000002</v>
      </c>
      <c r="I138" s="143">
        <f t="shared" si="39"/>
        <v>1762.5946327307806</v>
      </c>
      <c r="J138" s="143">
        <f t="shared" si="39"/>
        <v>1009.3677759452274</v>
      </c>
      <c r="K138" s="143">
        <f t="shared" si="39"/>
        <v>992.53088569743682</v>
      </c>
      <c r="L138" s="46"/>
      <c r="M138" s="79">
        <f t="shared" si="40"/>
        <v>0.47497442908052628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9"/>
        <v>258.00164643359227</v>
      </c>
      <c r="I139" s="143">
        <f t="shared" si="39"/>
        <v>1120.065037433887</v>
      </c>
      <c r="J139" s="143">
        <f t="shared" si="39"/>
        <v>2778.9192421715247</v>
      </c>
      <c r="K139" s="143">
        <f t="shared" si="39"/>
        <v>4019.5068943947281</v>
      </c>
      <c r="L139" s="46"/>
      <c r="M139" s="79">
        <f t="shared" si="40"/>
        <v>15.579384666559946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18996.205619265562</v>
      </c>
      <c r="I140" s="145">
        <f t="shared" ref="I140:K140" si="41">SUM(I133:I139)</f>
        <v>14465.709452409701</v>
      </c>
      <c r="J140" s="145">
        <f t="shared" si="41"/>
        <v>12336.306601016833</v>
      </c>
      <c r="K140" s="145">
        <f t="shared" si="41"/>
        <v>10561.001621100797</v>
      </c>
      <c r="L140" s="21"/>
      <c r="M140" s="79">
        <f t="shared" si="40"/>
        <v>0.55595321680399401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énergie'!C48</f>
        <v>1.1068404808735261E-2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énergie'!C49</f>
        <v>0.44151844048973238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énergie'!C50</f>
        <v>0.19276276753541544</v>
      </c>
      <c r="I148" s="47">
        <v>0.4</v>
      </c>
      <c r="J148" s="47">
        <v>0.4</v>
      </c>
      <c r="K148" s="47">
        <v>0.4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énergie'!C51</f>
        <v>3.6575030316210601E-2</v>
      </c>
      <c r="I149" s="47">
        <f t="shared" ref="I149:K150" si="42">H149</f>
        <v>3.6575030316210601E-2</v>
      </c>
      <c r="J149" s="47">
        <f t="shared" si="42"/>
        <v>3.6575030316210601E-2</v>
      </c>
      <c r="K149" s="47">
        <f t="shared" si="42"/>
        <v>3.6575030316210601E-2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énergie'!C52</f>
        <v>3.1736685713051743E-2</v>
      </c>
      <c r="I150" s="47">
        <f t="shared" si="42"/>
        <v>3.1736685713051743E-2</v>
      </c>
      <c r="J150" s="47">
        <v>0.05</v>
      </c>
      <c r="K150" s="47">
        <v>0.08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énergie'!C53</f>
        <v>8.5410409228175652E-2</v>
      </c>
      <c r="I151" s="47">
        <f>1-I146-I147-I148-I149-I150-I152</f>
        <v>8.168828397073763E-2</v>
      </c>
      <c r="J151" s="47">
        <f t="shared" ref="J151:K151" si="43">1-J146-J147-J148-J149-J150-J152</f>
        <v>6.3424969683789356E-2</v>
      </c>
      <c r="K151" s="47">
        <f t="shared" si="43"/>
        <v>3.3424969683789385E-2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énergie'!C54</f>
        <v>0.20092826190867891</v>
      </c>
      <c r="I152" s="47">
        <v>0.45</v>
      </c>
      <c r="J152" s="47">
        <v>0.45</v>
      </c>
      <c r="K152" s="47">
        <v>0.45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4">SUM(I146:I152)</f>
        <v>1</v>
      </c>
      <c r="J153" s="15">
        <f t="shared" si="44"/>
        <v>1</v>
      </c>
      <c r="K153" s="15">
        <f t="shared" si="44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98.436773927272867</v>
      </c>
      <c r="J157" s="45">
        <f>K157</f>
        <v>98.436773927272867</v>
      </c>
      <c r="K157" s="45">
        <f t="shared" ref="K157:K163" si="45">K81</f>
        <v>98.436773927272867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6">J158</f>
        <v>79.107098319022981</v>
      </c>
      <c r="J158" s="45">
        <f t="shared" si="46"/>
        <v>79.107098319022981</v>
      </c>
      <c r="K158" s="45">
        <f t="shared" si="45"/>
        <v>79.107098319022981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6"/>
        <v>75.021009573552746</v>
      </c>
      <c r="J159" s="45">
        <f t="shared" si="46"/>
        <v>75.021009573552746</v>
      </c>
      <c r="K159" s="45">
        <f t="shared" si="45"/>
        <v>75.021009573552746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6"/>
        <v>66.245448060989006</v>
      </c>
      <c r="J160" s="45">
        <f t="shared" si="46"/>
        <v>66.245448060989006</v>
      </c>
      <c r="K160" s="45">
        <f t="shared" si="45"/>
        <v>66.245448060989006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6"/>
        <v>82.243633969274669</v>
      </c>
      <c r="J161" s="45">
        <f t="shared" si="46"/>
        <v>82.243633969274669</v>
      </c>
      <c r="K161" s="45">
        <f t="shared" si="45"/>
        <v>82.243633969274669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6"/>
        <v>54.1296061733307</v>
      </c>
      <c r="J162" s="45">
        <f t="shared" si="46"/>
        <v>54.1296061733307</v>
      </c>
      <c r="K162" s="45">
        <f t="shared" si="45"/>
        <v>54.1296061733307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6"/>
        <v>35.295575730908659</v>
      </c>
      <c r="J163" s="45">
        <f t="shared" si="46"/>
        <v>35.295575730908659</v>
      </c>
      <c r="K163" s="45">
        <f t="shared" si="45"/>
        <v>35.295575730908659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7">I$35*I146*I157/1000</f>
        <v>0</v>
      </c>
      <c r="J167" s="10">
        <f t="shared" si="47"/>
        <v>0</v>
      </c>
      <c r="K167" s="10">
        <f t="shared" si="47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8">H$35*H147*H158/1000</f>
        <v>0</v>
      </c>
      <c r="I168" s="10">
        <f t="shared" si="48"/>
        <v>0</v>
      </c>
      <c r="J168" s="10">
        <f t="shared" si="48"/>
        <v>0</v>
      </c>
      <c r="K168" s="10">
        <f t="shared" si="48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8"/>
        <v>0</v>
      </c>
      <c r="I169" s="10">
        <f t="shared" si="48"/>
        <v>643.36871266837716</v>
      </c>
      <c r="J169" s="10">
        <f t="shared" si="48"/>
        <v>556.4531996150431</v>
      </c>
      <c r="K169" s="10">
        <f t="shared" si="48"/>
        <v>349.17160541351222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8"/>
        <v>0</v>
      </c>
      <c r="I170" s="10">
        <f t="shared" si="48"/>
        <v>51.946677834713427</v>
      </c>
      <c r="J170" s="10">
        <f t="shared" si="48"/>
        <v>44.928972331605436</v>
      </c>
      <c r="K170" s="10">
        <f t="shared" si="48"/>
        <v>28.192705890556326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8"/>
        <v>0</v>
      </c>
      <c r="I171" s="10">
        <f t="shared" si="48"/>
        <v>55.960412119549154</v>
      </c>
      <c r="J171" s="10">
        <f t="shared" si="48"/>
        <v>76.253194822215576</v>
      </c>
      <c r="K171" s="10">
        <f t="shared" si="48"/>
        <v>76.557598654914912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8"/>
        <v>0</v>
      </c>
      <c r="I172" s="10">
        <f t="shared" si="48"/>
        <v>94.800730050270715</v>
      </c>
      <c r="J172" s="10">
        <f t="shared" si="48"/>
        <v>63.66208879821825</v>
      </c>
      <c r="K172" s="10">
        <f t="shared" si="48"/>
        <v>21.052414561380996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8"/>
        <v>0</v>
      </c>
      <c r="I173" s="10">
        <f t="shared" si="48"/>
        <v>340.52564616512944</v>
      </c>
      <c r="J173" s="10">
        <f t="shared" si="48"/>
        <v>294.52253681045363</v>
      </c>
      <c r="K173" s="10">
        <f t="shared" si="48"/>
        <v>184.81142184052641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9">SUM(I167:I173)</f>
        <v>1186.6021788380399</v>
      </c>
      <c r="J174" s="11">
        <f t="shared" si="49"/>
        <v>1035.819992377536</v>
      </c>
      <c r="K174" s="11">
        <f t="shared" si="49"/>
        <v>659.78574636089093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0">H$36*($H$73*H45+(1-$H$73)*H59)+H$35*H146</f>
        <v>28313.599999999999</v>
      </c>
      <c r="I181" s="10">
        <f t="shared" si="50"/>
        <v>3491.3229757227109</v>
      </c>
      <c r="J181" s="10">
        <f t="shared" si="50"/>
        <v>0</v>
      </c>
      <c r="K181" s="10">
        <f t="shared" si="50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0"/>
        <v>94438.400000000009</v>
      </c>
      <c r="I182" s="10">
        <f t="shared" si="50"/>
        <v>79116.869952852358</v>
      </c>
      <c r="J182" s="10">
        <f t="shared" si="50"/>
        <v>50311.989835197281</v>
      </c>
      <c r="K182" s="10">
        <f t="shared" si="50"/>
        <v>16131.237475313419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0"/>
        <v>15411.199999999999</v>
      </c>
      <c r="I183" s="10">
        <f t="shared" si="50"/>
        <v>41743.415439718745</v>
      </c>
      <c r="J183" s="10">
        <f t="shared" si="50"/>
        <v>51332.887055028186</v>
      </c>
      <c r="K183" s="10">
        <f t="shared" si="50"/>
        <v>51809.363216583777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0"/>
        <v>2688</v>
      </c>
      <c r="I184" s="10">
        <f t="shared" si="50"/>
        <v>2529.8161634684793</v>
      </c>
      <c r="J184" s="10">
        <f t="shared" si="50"/>
        <v>1632.906480881795</v>
      </c>
      <c r="K184" s="10">
        <f t="shared" si="50"/>
        <v>425.57951852934337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0"/>
        <v>2329.6</v>
      </c>
      <c r="I185" s="10">
        <f t="shared" si="50"/>
        <v>4520.8776892166243</v>
      </c>
      <c r="J185" s="10">
        <f t="shared" si="50"/>
        <v>6655.2825604136142</v>
      </c>
      <c r="K185" s="10">
        <f t="shared" si="50"/>
        <v>9093.4125276108953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0"/>
        <v>30284.800000000003</v>
      </c>
      <c r="I186" s="10">
        <f t="shared" si="50"/>
        <v>28677.830950025538</v>
      </c>
      <c r="J186" s="10">
        <f t="shared" si="50"/>
        <v>18360.465638927992</v>
      </c>
      <c r="K186" s="10">
        <f t="shared" si="50"/>
        <v>18754.661327914982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0"/>
        <v>5734.4000000000005</v>
      </c>
      <c r="I187" s="10">
        <f t="shared" si="50"/>
        <v>35895.594198130457</v>
      </c>
      <c r="J187" s="10">
        <f t="shared" si="50"/>
        <v>80900.650754810573</v>
      </c>
      <c r="K187" s="10">
        <f t="shared" si="50"/>
        <v>119291.40457921743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179200.00000000003</v>
      </c>
      <c r="I188" s="10">
        <f t="shared" ref="I188:K188" si="51">SUM(I181:I187)</f>
        <v>195975.7273691349</v>
      </c>
      <c r="J188" s="10">
        <f t="shared" si="51"/>
        <v>209194.18232525943</v>
      </c>
      <c r="K188" s="10">
        <f t="shared" si="51"/>
        <v>215505.65864516984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GB1593"/>
  <sheetViews>
    <sheetView showGridLines="0" topLeftCell="A34" zoomScale="115" zoomScaleNormal="115" workbookViewId="0">
      <selection activeCell="K66" sqref="K66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239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56508.434021496723</v>
      </c>
      <c r="I7" s="10">
        <f t="shared" si="0"/>
        <v>58404.017751985768</v>
      </c>
      <c r="J7" s="10">
        <f t="shared" si="0"/>
        <v>59160.994293855387</v>
      </c>
      <c r="K7" s="10">
        <f t="shared" si="0"/>
        <v>57895.332115337398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3032.6506608058498</v>
      </c>
      <c r="J8" s="76">
        <f t="shared" si="0"/>
        <v>1932.1865496032522</v>
      </c>
      <c r="K8" s="76">
        <f t="shared" si="0"/>
        <v>1190.4419462520159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56508.434021496723</v>
      </c>
      <c r="I9" s="96">
        <f t="shared" si="1"/>
        <v>55371.36709117992</v>
      </c>
      <c r="J9" s="96">
        <f t="shared" si="1"/>
        <v>57228.807744252132</v>
      </c>
      <c r="K9" s="96">
        <f t="shared" si="1"/>
        <v>56704.890169085382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775.0285636451614</v>
      </c>
      <c r="I13" s="86">
        <f t="shared" ref="I13:K13" si="2">I133+I167</f>
        <v>122.89630535301498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4659.8384813407283</v>
      </c>
      <c r="I14" s="86">
        <f t="shared" si="3"/>
        <v>3556.130826487105</v>
      </c>
      <c r="J14" s="86">
        <f t="shared" si="3"/>
        <v>2156.5164806636176</v>
      </c>
      <c r="K14" s="86">
        <f t="shared" si="3"/>
        <v>678.79529092603184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196.33019618287977</v>
      </c>
      <c r="I15" s="86">
        <f t="shared" si="3"/>
        <v>437.25903827037064</v>
      </c>
      <c r="J15" s="86">
        <f t="shared" si="3"/>
        <v>529.76205832566745</v>
      </c>
      <c r="K15" s="86">
        <f t="shared" si="3"/>
        <v>566.30143855653284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23.048589382883492</v>
      </c>
      <c r="I16" s="86">
        <f t="shared" si="3"/>
        <v>13.82278077301067</v>
      </c>
      <c r="J16" s="86">
        <f t="shared" si="3"/>
        <v>6.7251997556954572</v>
      </c>
      <c r="K16" s="86">
        <f t="shared" si="3"/>
        <v>0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21.255363322958679</v>
      </c>
      <c r="I17" s="86">
        <f t="shared" si="3"/>
        <v>55.525585767281477</v>
      </c>
      <c r="J17" s="86">
        <f t="shared" si="3"/>
        <v>89.574784531557881</v>
      </c>
      <c r="K17" s="86">
        <f t="shared" si="3"/>
        <v>127.26497361286037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922.21764323082664</v>
      </c>
      <c r="I18" s="86">
        <f t="shared" si="3"/>
        <v>692.79855658638348</v>
      </c>
      <c r="J18" s="86">
        <f t="shared" si="3"/>
        <v>442.10099097200884</v>
      </c>
      <c r="K18" s="86">
        <f t="shared" si="3"/>
        <v>441.88877858819524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164.33662746238309</v>
      </c>
      <c r="I19" s="86">
        <f t="shared" si="3"/>
        <v>507.69178222035265</v>
      </c>
      <c r="J19" s="86">
        <f t="shared" si="3"/>
        <v>1041.2207025480595</v>
      </c>
      <c r="K19" s="86">
        <f t="shared" si="3"/>
        <v>1495.2242083022338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6762.055464567823</v>
      </c>
      <c r="I20" s="13">
        <f t="shared" ref="I20:K20" si="4">SUM(I13:I19)</f>
        <v>5386.124875457519</v>
      </c>
      <c r="J20" s="13">
        <f t="shared" si="4"/>
        <v>4265.9002167966064</v>
      </c>
      <c r="K20" s="13">
        <f t="shared" si="4"/>
        <v>3309.4746899858537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-0.3722874242771258</v>
      </c>
      <c r="J23" s="177">
        <f t="shared" ref="J23:K23" si="5">J118/$G118-1</f>
        <v>-0.49512117789944488</v>
      </c>
      <c r="K23" s="177">
        <f t="shared" si="5"/>
        <v>-0.59979458899302918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-0.365648562316644</v>
      </c>
      <c r="J24" s="177">
        <f t="shared" ref="J24:K24" si="6">J129/$G129-1</f>
        <v>-0.53401460554853153</v>
      </c>
      <c r="K24" s="177">
        <f t="shared" si="6"/>
        <v>-0.69172318114861797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56508.434021496723</v>
      </c>
      <c r="H34" s="125">
        <f>'Init. parc'!C26</f>
        <v>56508.434021496723</v>
      </c>
      <c r="I34" s="125">
        <f>'Init. parc'!D26</f>
        <v>58404.017751985768</v>
      </c>
      <c r="J34" s="125">
        <f>'Init. parc'!E26</f>
        <v>59160.994293855387</v>
      </c>
      <c r="K34" s="125">
        <f>'Init. parc'!F26</f>
        <v>57895.332115337398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parc'!N26</f>
        <v>3032.6506608058498</v>
      </c>
      <c r="J35" s="125">
        <f>'Init. parc'!O26</f>
        <v>1932.1865496032522</v>
      </c>
      <c r="K35" s="125">
        <f>'Init. parc'!P26</f>
        <v>1190.4419462520159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56508.434021496723</v>
      </c>
      <c r="H36" s="125">
        <f>H34-H35</f>
        <v>56508.434021496723</v>
      </c>
      <c r="I36" s="125">
        <f>I34-I35</f>
        <v>55371.36709117992</v>
      </c>
      <c r="J36" s="125">
        <f>J34-J35</f>
        <v>57228.807744252132</v>
      </c>
      <c r="K36" s="125">
        <f>K34-K35</f>
        <v>56704.890169085382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0.115</v>
      </c>
      <c r="H45" s="55">
        <f>'Init. énergie'!B57</f>
        <v>0.115</v>
      </c>
      <c r="I45" s="47">
        <v>0.02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0.47399999999999998</v>
      </c>
      <c r="H46" s="55">
        <f>'Init. énergie'!B58</f>
        <v>0.47399999999999998</v>
      </c>
      <c r="I46" s="47">
        <f>H46*0.86</f>
        <v>0.40763999999999995</v>
      </c>
      <c r="J46" s="47">
        <f>H46*0.5</f>
        <v>0.23699999999999999</v>
      </c>
      <c r="K46" s="47">
        <f>H46*0.15</f>
        <v>7.1099999999999997E-2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7.4999999999999997E-2</v>
      </c>
      <c r="H47" s="55">
        <f>'Init. énergie'!B59</f>
        <v>7.4999999999999997E-2</v>
      </c>
      <c r="I47" s="47">
        <v>0.18</v>
      </c>
      <c r="J47" s="47">
        <v>0.22</v>
      </c>
      <c r="K47" s="47">
        <v>0.22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8.9999999999999993E-3</v>
      </c>
      <c r="H48" s="55">
        <f>'Init. énergie'!B60</f>
        <v>8.9999999999999993E-3</v>
      </c>
      <c r="I48" s="47">
        <f t="shared" ref="I48:I49" si="8">H48+((K48-H48)/3)</f>
        <v>6.0000000000000001E-3</v>
      </c>
      <c r="J48" s="47">
        <f t="shared" ref="J48:J49" si="9">H48+((K48-H48)/3*2)</f>
        <v>3.0000000000000001E-3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8.0000000000000002E-3</v>
      </c>
      <c r="H49" s="55">
        <f>'Init. énergie'!B61</f>
        <v>8.0000000000000002E-3</v>
      </c>
      <c r="I49" s="47">
        <f t="shared" si="8"/>
        <v>2.1999999999999999E-2</v>
      </c>
      <c r="J49" s="47">
        <f t="shared" si="9"/>
        <v>3.6000000000000004E-2</v>
      </c>
      <c r="K49" s="47">
        <v>0.05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0.255</v>
      </c>
      <c r="H50" s="55">
        <f>'Init. énergie'!B62</f>
        <v>0.255</v>
      </c>
      <c r="I50" s="47">
        <f t="shared" ref="I50" si="10">1-I45-I46-I47-I48-I49-I51</f>
        <v>0.19435999999999995</v>
      </c>
      <c r="J50" s="47">
        <v>0.12</v>
      </c>
      <c r="K50" s="47">
        <v>0.12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6.4000000000000001E-2</v>
      </c>
      <c r="H51" s="55">
        <f>'Init. énergie'!B63</f>
        <v>6.4000000000000001E-2</v>
      </c>
      <c r="I51" s="47">
        <v>0.17</v>
      </c>
      <c r="J51" s="47">
        <v>0.38</v>
      </c>
      <c r="K51" s="123">
        <v>0.54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K52" si="11">SUM(G45:G51)</f>
        <v>1</v>
      </c>
      <c r="H52" s="149">
        <f t="shared" si="11"/>
        <v>1</v>
      </c>
      <c r="I52" s="155">
        <f t="shared" si="11"/>
        <v>1</v>
      </c>
      <c r="J52" s="155">
        <f t="shared" si="11"/>
        <v>0.996</v>
      </c>
      <c r="K52" s="155">
        <f t="shared" si="11"/>
        <v>1.0011000000000001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2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-0.1383257672419054</v>
      </c>
      <c r="J55" s="142">
        <f t="shared" si="12"/>
        <v>-0.23528585928014709</v>
      </c>
      <c r="K55" s="142">
        <f t="shared" si="12"/>
        <v>-0.25389612201367723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0.115</v>
      </c>
      <c r="H59" s="55">
        <f>H45</f>
        <v>0.115</v>
      </c>
      <c r="I59" s="47">
        <f>I45</f>
        <v>0.02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3">H60</f>
        <v>0.47399999999999998</v>
      </c>
      <c r="H60" s="55">
        <f t="shared" ref="H60:K65" si="14">H46</f>
        <v>0.47399999999999998</v>
      </c>
      <c r="I60" s="47">
        <f t="shared" si="14"/>
        <v>0.40763999999999995</v>
      </c>
      <c r="J60" s="47">
        <f t="shared" si="14"/>
        <v>0.23699999999999999</v>
      </c>
      <c r="K60" s="47">
        <f t="shared" si="14"/>
        <v>7.1099999999999997E-2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3"/>
        <v>7.4999999999999997E-2</v>
      </c>
      <c r="H61" s="55">
        <f t="shared" si="14"/>
        <v>7.4999999999999997E-2</v>
      </c>
      <c r="I61" s="47">
        <v>0.22</v>
      </c>
      <c r="J61" s="47">
        <v>0.24</v>
      </c>
      <c r="K61" s="47">
        <v>0.31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3"/>
        <v>8.9999999999999993E-3</v>
      </c>
      <c r="H62" s="55">
        <f t="shared" si="14"/>
        <v>8.9999999999999993E-3</v>
      </c>
      <c r="I62" s="47">
        <f t="shared" si="14"/>
        <v>6.0000000000000001E-3</v>
      </c>
      <c r="J62" s="47">
        <f t="shared" si="14"/>
        <v>3.0000000000000001E-3</v>
      </c>
      <c r="K62" s="47">
        <f t="shared" si="14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3"/>
        <v>8.0000000000000002E-3</v>
      </c>
      <c r="H63" s="55">
        <f t="shared" si="14"/>
        <v>8.0000000000000002E-3</v>
      </c>
      <c r="I63" s="47">
        <f t="shared" si="14"/>
        <v>2.1999999999999999E-2</v>
      </c>
      <c r="J63" s="47">
        <f t="shared" si="14"/>
        <v>3.6000000000000004E-2</v>
      </c>
      <c r="K63" s="47">
        <f t="shared" si="14"/>
        <v>0.05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3"/>
        <v>0.255</v>
      </c>
      <c r="H64" s="55">
        <f t="shared" si="14"/>
        <v>0.255</v>
      </c>
      <c r="I64" s="47">
        <v>0.14000000000000001</v>
      </c>
      <c r="J64" s="47">
        <v>0.1</v>
      </c>
      <c r="K64" s="47">
        <v>0.06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3"/>
        <v>6.4000000000000001E-2</v>
      </c>
      <c r="H65" s="55">
        <f t="shared" si="14"/>
        <v>6.4000000000000001E-2</v>
      </c>
      <c r="I65" s="47">
        <v>0.18</v>
      </c>
      <c r="J65" s="47">
        <f t="shared" si="14"/>
        <v>0.38</v>
      </c>
      <c r="K65" s="47">
        <v>0.51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</v>
      </c>
      <c r="H66" s="149">
        <v>1</v>
      </c>
      <c r="I66" s="47">
        <f t="shared" ref="I66:J66" si="16">SUM(I59:I65)</f>
        <v>0.99564000000000008</v>
      </c>
      <c r="J66" s="47">
        <f t="shared" si="16"/>
        <v>0.996</v>
      </c>
      <c r="K66" s="47">
        <f>SUM(K59:K65)</f>
        <v>1.0011000000000001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-0.14811688277472942</v>
      </c>
      <c r="J69" s="142">
        <f>(I$101*(J59-I59)+I$102*(J60-I60)+I$103*(J61-I61)+I$104*(J62-I62)+I$105*(J63-I63)+I$106*(J64-I64)+I$107*(J65-I65))/(I$101*I59+I$102*I60+I$103*I61+I$104*I62+I$105*I63+I$106*I64+I$107*I65)</f>
        <v>-0.23865281374710529</v>
      </c>
      <c r="K69" s="142">
        <f>(J$101*(K59-J59)+J$102*(K60-J60)+J$103*(K61-J61)+J$104*(K62-J62)+J$105*(K63-J63)+J$106*(K64-J64)+J$107*(K65-J65))/(J$101*J59+J$102*J60+J$103*J61+J$104*J62+J$105*J63+J$106*J64+J$107*J65)</f>
        <v>-0.2833350734404973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bord'!K12</f>
        <v>0.77</v>
      </c>
      <c r="G73" s="92">
        <f>'Tableau de bord'!K25</f>
        <v>0.9484999999999999</v>
      </c>
      <c r="H73" s="92">
        <f>'Tableau de bord'!K28</f>
        <v>0.89633249999999998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148.85341910555709</v>
      </c>
      <c r="H81" s="54">
        <f>'Init. énergie'!D57</f>
        <v>119.26323797509556</v>
      </c>
      <c r="I81" s="81">
        <f>G81*(1-F$77)/(1+I$55)</f>
        <v>110.99127505437407</v>
      </c>
      <c r="J81" s="81">
        <f>G81*(1-G$77)/(1+I$55)/(1+J$55)</f>
        <v>112.95009274306994</v>
      </c>
      <c r="K81" s="81">
        <f>G81*(1-H$77)/(1+I$55)/(1+J$55)/(1+K$55)</f>
        <v>121.10924076461161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7">H82/F82^10</f>
        <v>210.39247383479704</v>
      </c>
      <c r="H82" s="54">
        <f>'Init. énergie'!D58</f>
        <v>173.97195732387533</v>
      </c>
      <c r="I82" s="81">
        <f t="shared" ref="I82:I87" si="18">G82*(1-F$77)/(1+I$55)</f>
        <v>156.87734331590087</v>
      </c>
      <c r="J82" s="81">
        <f t="shared" ref="J82:J87" si="19">G82*(1-G$77)/(1+I$55)/(1+J$55)</f>
        <v>159.64597638991737</v>
      </c>
      <c r="K82" s="81">
        <f t="shared" ref="K82:K87" si="20">G82*(1-H$77)/(1+I$55)/(1+J$55)/(1+K$55)</f>
        <v>171.17828345381574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7"/>
        <v>52.360927406670321</v>
      </c>
      <c r="H83" s="54">
        <f>'Init. énergie'!D59</f>
        <v>46.324694613006521</v>
      </c>
      <c r="I83" s="81">
        <f t="shared" si="18"/>
        <v>39.042476355713731</v>
      </c>
      <c r="J83" s="81">
        <f t="shared" si="19"/>
        <v>39.731513338653123</v>
      </c>
      <c r="K83" s="81">
        <f t="shared" si="20"/>
        <v>42.601588878894923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7"/>
        <v>51.225161274527416</v>
      </c>
      <c r="H84" s="54">
        <f>'Init. énergie'!D60</f>
        <v>45.319861012282082</v>
      </c>
      <c r="I84" s="81">
        <f t="shared" si="18"/>
        <v>38.195602082165991</v>
      </c>
      <c r="J84" s="81">
        <f t="shared" si="19"/>
        <v>38.869693094745877</v>
      </c>
      <c r="K84" s="81">
        <f t="shared" si="20"/>
        <v>41.67751353835844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7"/>
        <v>53.144709664869517</v>
      </c>
      <c r="H85" s="54">
        <f>'Init. énergie'!D61</f>
        <v>47.018121478275241</v>
      </c>
      <c r="I85" s="81">
        <f t="shared" si="18"/>
        <v>39.626896873060637</v>
      </c>
      <c r="J85" s="81">
        <f t="shared" si="19"/>
        <v>40.326247939214724</v>
      </c>
      <c r="K85" s="81">
        <f t="shared" si="20"/>
        <v>43.239285176270279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7"/>
        <v>85.638793847392975</v>
      </c>
      <c r="H86" s="54">
        <f>'Init. énergie'!D62</f>
        <v>64</v>
      </c>
      <c r="I86" s="81">
        <f t="shared" si="18"/>
        <v>63.855832001416076</v>
      </c>
      <c r="J86" s="81">
        <f t="shared" si="19"/>
        <v>64.982784846939182</v>
      </c>
      <c r="K86" s="81">
        <f t="shared" si="20"/>
        <v>69.676930265874233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7"/>
        <v>60.803935819691645</v>
      </c>
      <c r="H87" s="54">
        <f>'Init. énergie'!D63</f>
        <v>45.44029309187578</v>
      </c>
      <c r="I87" s="81">
        <f t="shared" si="18"/>
        <v>45.337933152655118</v>
      </c>
      <c r="J87" s="81">
        <f t="shared" si="19"/>
        <v>46.138074833925337</v>
      </c>
      <c r="K87" s="81">
        <f t="shared" si="20"/>
        <v>49.470939578492441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2">G81</f>
        <v>148.85341910555709</v>
      </c>
      <c r="H101" s="54">
        <f t="shared" si="22"/>
        <v>119.26323797509556</v>
      </c>
      <c r="I101" s="81">
        <f>$H101*(1+$G91)^(I$100-$H$100)</f>
        <v>110.83041558922878</v>
      </c>
      <c r="J101" s="81">
        <f>$H101*(1+$G91)^(J$100-$H$100)</f>
        <v>102.99385819330321</v>
      </c>
      <c r="K101" s="81">
        <f>$H101*(1+$G91)^(K$100-$H$100)</f>
        <v>95.711405295616146</v>
      </c>
      <c r="L101" s="67"/>
      <c r="M101" s="79">
        <f>(K101-G101)/H101</f>
        <v>-0.44558587132304772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2"/>
        <v>210.39247383479704</v>
      </c>
      <c r="H102" s="54">
        <f t="shared" si="22"/>
        <v>173.97195732387533</v>
      </c>
      <c r="I102" s="81">
        <f t="shared" ref="I102:K107" si="23">$H102*(1+$G92)^(I$100-$H$100)</f>
        <v>163.35643398130466</v>
      </c>
      <c r="J102" s="81">
        <f t="shared" si="23"/>
        <v>153.38865489344096</v>
      </c>
      <c r="K102" s="81">
        <f t="shared" si="23"/>
        <v>144.02909561989952</v>
      </c>
      <c r="L102" s="67"/>
      <c r="M102" s="79">
        <f t="shared" ref="M102:M107" si="24">(K102-G102)/H102</f>
        <v>-0.38146020333237945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52.360927406670321</v>
      </c>
      <c r="H103" s="54">
        <f t="shared" si="22"/>
        <v>46.324694613006521</v>
      </c>
      <c r="I103" s="81">
        <f t="shared" si="23"/>
        <v>44.478821647149182</v>
      </c>
      <c r="J103" s="81">
        <f t="shared" si="23"/>
        <v>42.706500099915253</v>
      </c>
      <c r="K103" s="81">
        <f t="shared" si="23"/>
        <v>41.004799211018636</v>
      </c>
      <c r="L103" s="67"/>
      <c r="M103" s="79">
        <f t="shared" si="24"/>
        <v>-0.24514199803193609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51.225161274527416</v>
      </c>
      <c r="H104" s="54">
        <f t="shared" si="22"/>
        <v>45.319861012282082</v>
      </c>
      <c r="I104" s="81">
        <f t="shared" si="23"/>
        <v>43.514027062207944</v>
      </c>
      <c r="J104" s="81">
        <f t="shared" si="23"/>
        <v>41.780149119553087</v>
      </c>
      <c r="K104" s="81">
        <f t="shared" si="23"/>
        <v>40.115359995446944</v>
      </c>
      <c r="L104" s="67"/>
      <c r="M104" s="79">
        <f t="shared" si="24"/>
        <v>-0.24514199803193609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53.144709664869517</v>
      </c>
      <c r="H105" s="54">
        <f t="shared" si="22"/>
        <v>47.018121478275241</v>
      </c>
      <c r="I105" s="81">
        <f t="shared" si="23"/>
        <v>45.144617938377607</v>
      </c>
      <c r="J105" s="81">
        <f>$H105*(1+$G95)^(J$100-$H$100)</f>
        <v>43.345766796399154</v>
      </c>
      <c r="K105" s="81">
        <f>$H105*(1+$G95)^(K$100-$H$100)</f>
        <v>41.618593421976833</v>
      </c>
      <c r="L105" s="67"/>
      <c r="M105" s="79">
        <f t="shared" si="24"/>
        <v>-0.24514199803193615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85.638793847392975</v>
      </c>
      <c r="H106" s="54">
        <f t="shared" si="22"/>
        <v>64</v>
      </c>
      <c r="I106" s="81">
        <f t="shared" si="23"/>
        <v>58.133231087529012</v>
      </c>
      <c r="J106" s="81">
        <f t="shared" si="23"/>
        <v>52.804258698063279</v>
      </c>
      <c r="K106" s="81">
        <f t="shared" si="23"/>
        <v>47.963783957815252</v>
      </c>
      <c r="L106" s="67"/>
      <c r="M106" s="79">
        <f t="shared" si="24"/>
        <v>-0.58867202952465192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60.803935819691645</v>
      </c>
      <c r="H107" s="54">
        <f t="shared" si="22"/>
        <v>45.44029309187578</v>
      </c>
      <c r="I107" s="81">
        <f t="shared" si="23"/>
        <v>41.274860296797861</v>
      </c>
      <c r="J107" s="81">
        <f t="shared" si="23"/>
        <v>37.491265495925411</v>
      </c>
      <c r="K107" s="81">
        <f t="shared" si="23"/>
        <v>34.054506263102105</v>
      </c>
      <c r="L107" s="67"/>
      <c r="M107" s="79">
        <f t="shared" si="24"/>
        <v>-0.58867202952465203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G$36*G45*$H$73*G81/1000</f>
        <v>867.03987474400924</v>
      </c>
      <c r="H111" s="54">
        <f t="shared" si="25"/>
        <v>694.68329002347662</v>
      </c>
      <c r="I111" s="125">
        <f t="shared" si="25"/>
        <v>110.17250550029576</v>
      </c>
      <c r="J111" s="125">
        <f t="shared" si="25"/>
        <v>0</v>
      </c>
      <c r="K111" s="125">
        <f t="shared" si="25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5051.1580500548926</v>
      </c>
      <c r="H112" s="54">
        <f t="shared" si="25"/>
        <v>4176.764675576338</v>
      </c>
      <c r="I112" s="125">
        <f t="shared" si="25"/>
        <v>3173.8866225527122</v>
      </c>
      <c r="J112" s="125">
        <f t="shared" si="25"/>
        <v>1940.8419266146107</v>
      </c>
      <c r="K112" s="125">
        <f t="shared" si="25"/>
        <v>618.59716467850376</v>
      </c>
      <c r="L112" s="46"/>
      <c r="M112" s="79">
        <f t="shared" ref="M112:M118" si="26">(K112-G112)/H112</f>
        <v>-1.0612426673917783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198.90743150700072</v>
      </c>
      <c r="H113" s="54">
        <f t="shared" si="25"/>
        <v>175.97713557009109</v>
      </c>
      <c r="I113" s="125">
        <f t="shared" si="25"/>
        <v>348.79018148444726</v>
      </c>
      <c r="J113" s="125">
        <f t="shared" si="25"/>
        <v>448.37524822020805</v>
      </c>
      <c r="K113" s="125">
        <f t="shared" si="25"/>
        <v>476.36312443854956</v>
      </c>
      <c r="L113" s="46"/>
      <c r="M113" s="79">
        <f t="shared" si="26"/>
        <v>1.5766576267576486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23.351149253365129</v>
      </c>
      <c r="H114" s="54">
        <f t="shared" si="25"/>
        <v>20.659199743033415</v>
      </c>
      <c r="I114" s="125">
        <f t="shared" si="25"/>
        <v>11.3741512882603</v>
      </c>
      <c r="J114" s="125">
        <f t="shared" si="25"/>
        <v>5.9815840323420471</v>
      </c>
      <c r="K114" s="125">
        <f t="shared" si="25"/>
        <v>0</v>
      </c>
      <c r="L114" s="46"/>
      <c r="M114" s="79">
        <f t="shared" si="26"/>
        <v>-1.1303027001924157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21.534383434220253</v>
      </c>
      <c r="H115" s="54">
        <f t="shared" si="25"/>
        <v>19.051872945675861</v>
      </c>
      <c r="I115" s="125">
        <f t="shared" si="25"/>
        <v>43.268031318001881</v>
      </c>
      <c r="J115" s="125">
        <f t="shared" si="25"/>
        <v>74.468766245055491</v>
      </c>
      <c r="K115" s="125">
        <f t="shared" si="25"/>
        <v>109.88493796456915</v>
      </c>
      <c r="L115" s="46"/>
      <c r="M115" s="79">
        <f t="shared" si="26"/>
        <v>4.6373684509795936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1106.0968061819774</v>
      </c>
      <c r="H116" s="54">
        <f t="shared" si="25"/>
        <v>826.61364570119486</v>
      </c>
      <c r="I116" s="125">
        <f t="shared" si="25"/>
        <v>615.97324398561409</v>
      </c>
      <c r="J116" s="125">
        <f t="shared" si="25"/>
        <v>400.0031461736566</v>
      </c>
      <c r="K116" s="125">
        <f t="shared" si="25"/>
        <v>424.9716041482975</v>
      </c>
      <c r="L116" s="46"/>
      <c r="M116" s="79">
        <f t="shared" si="26"/>
        <v>-0.82399462623908071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197.1033845525364</v>
      </c>
      <c r="H117" s="54">
        <f t="shared" si="25"/>
        <v>147.3002601349265</v>
      </c>
      <c r="I117" s="125">
        <f t="shared" si="25"/>
        <v>382.52958479015825</v>
      </c>
      <c r="J117" s="125">
        <f t="shared" si="25"/>
        <v>899.34620780277203</v>
      </c>
      <c r="K117" s="125">
        <f t="shared" si="25"/>
        <v>1357.7930330781978</v>
      </c>
      <c r="L117" s="46"/>
      <c r="M117" s="79">
        <f t="shared" si="26"/>
        <v>7.8797528766240728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7465.1910797280025</v>
      </c>
      <c r="H118" s="146">
        <f>SUM(H111:H117)</f>
        <v>6061.0500796947372</v>
      </c>
      <c r="I118" s="144">
        <f t="shared" ref="I118:J118" si="27">SUM(I111:I117)</f>
        <v>4685.9943209194889</v>
      </c>
      <c r="J118" s="144">
        <f t="shared" si="27"/>
        <v>3769.0168790886451</v>
      </c>
      <c r="K118" s="144">
        <f>SUM(K111:K117)</f>
        <v>2987.6098643081177</v>
      </c>
      <c r="L118" s="21"/>
      <c r="M118" s="79">
        <f t="shared" si="26"/>
        <v>-0.73874677762857166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G$36*G45*(1-$H$73)*G101/1000</f>
        <v>100.27959068205672</v>
      </c>
      <c r="H122" s="147">
        <f t="shared" si="28"/>
        <v>80.345273621684782</v>
      </c>
      <c r="I122" s="143">
        <f t="shared" ref="I122:I128" si="29">I$36*I59*(1-$H$73)*I101/1000</f>
        <v>12.723799852719219</v>
      </c>
      <c r="J122" s="143">
        <f t="shared" ref="J122:K122" si="30">J$36*J59*(1-$H$73)*J101/1000</f>
        <v>0</v>
      </c>
      <c r="K122" s="143">
        <f t="shared" si="30"/>
        <v>0</v>
      </c>
      <c r="L122" s="46"/>
      <c r="M122" s="79">
        <f>(K122-G122)/H122</f>
        <v>-1.2481081482681238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584.20388321751784</v>
      </c>
      <c r="H123" s="147">
        <f t="shared" si="28"/>
        <v>483.07380576439004</v>
      </c>
      <c r="I123" s="143">
        <f t="shared" si="29"/>
        <v>382.24420393439271</v>
      </c>
      <c r="J123" s="143">
        <f t="shared" ref="J123:K123" si="31">J$36*J60*(1-$H$73)*J102/1000</f>
        <v>215.67455404900701</v>
      </c>
      <c r="K123" s="143">
        <f t="shared" si="31"/>
        <v>60.198126247528123</v>
      </c>
      <c r="L123" s="46"/>
      <c r="M123" s="79">
        <f t="shared" ref="M123:M129" si="32">(K123-G123)/H123</f>
        <v>-1.0847322929067353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23.005119367814959</v>
      </c>
      <c r="H124" s="147">
        <f t="shared" si="28"/>
        <v>20.353060612788692</v>
      </c>
      <c r="I124" s="143">
        <f t="shared" si="29"/>
        <v>56.169922619683398</v>
      </c>
      <c r="J124" s="143">
        <f t="shared" ref="J124:K124" si="33">J$36*J61*(1-$H$73)*J103/1000</f>
        <v>60.808255849577357</v>
      </c>
      <c r="K124" s="143">
        <f t="shared" si="33"/>
        <v>74.723898604457361</v>
      </c>
      <c r="L124" s="46"/>
      <c r="M124" s="79">
        <f t="shared" si="32"/>
        <v>2.5410811779406437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2.7007335617343227</v>
      </c>
      <c r="H125" s="147">
        <f t="shared" si="28"/>
        <v>2.3893896398500747</v>
      </c>
      <c r="I125" s="143">
        <f t="shared" si="29"/>
        <v>1.4986782324557582</v>
      </c>
      <c r="J125" s="143">
        <f t="shared" ref="J125:K125" si="34">J$36*J62*(1-$H$73)*J104/1000</f>
        <v>0.74361572335341042</v>
      </c>
      <c r="K125" s="143">
        <f t="shared" si="34"/>
        <v>0</v>
      </c>
      <c r="L125" s="46"/>
      <c r="M125" s="79">
        <f t="shared" si="32"/>
        <v>-1.1303027001924155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2.4906111232907753</v>
      </c>
      <c r="H126" s="147">
        <f t="shared" si="28"/>
        <v>2.2034903772828187</v>
      </c>
      <c r="I126" s="143">
        <f t="shared" si="29"/>
        <v>5.7010721111501574</v>
      </c>
      <c r="J126" s="143">
        <f t="shared" ref="J126:K126" si="35">J$36*J63*(1-$H$73)*J105/1000</f>
        <v>9.2577727202589877</v>
      </c>
      <c r="K126" s="143">
        <f t="shared" si="35"/>
        <v>12.23264976831271</v>
      </c>
      <c r="L126" s="46"/>
      <c r="M126" s="79">
        <f t="shared" si="32"/>
        <v>4.4211850187587824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127.92829742854376</v>
      </c>
      <c r="H127" s="147">
        <f t="shared" si="28"/>
        <v>95.603997529631741</v>
      </c>
      <c r="I127" s="143">
        <f t="shared" si="29"/>
        <v>46.717583368426567</v>
      </c>
      <c r="J127" s="143">
        <f t="shared" ref="J127:K127" si="36">J$36*J64*(1-$H$73)*J106/1000</f>
        <v>31.327538600162981</v>
      </c>
      <c r="K127" s="143">
        <f t="shared" si="36"/>
        <v>16.917174439897757</v>
      </c>
      <c r="L127" s="46"/>
      <c r="M127" s="79">
        <f t="shared" si="32"/>
        <v>-1.1611556614485596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22.796467960383083</v>
      </c>
      <c r="H128" s="147">
        <f t="shared" si="28"/>
        <v>17.036367327456603</v>
      </c>
      <c r="I128" s="143">
        <f t="shared" si="29"/>
        <v>42.646754748323659</v>
      </c>
      <c r="J128" s="143">
        <f t="shared" ref="J128:K128" si="37">J$36*J65*(1-$H$73)*J107/1000</f>
        <v>84.522244315408429</v>
      </c>
      <c r="K128" s="143">
        <f t="shared" si="37"/>
        <v>102.09580626719408</v>
      </c>
      <c r="L128" s="46"/>
      <c r="M128" s="79">
        <f t="shared" si="32"/>
        <v>4.6547093510368542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863.40470334134147</v>
      </c>
      <c r="H129" s="148">
        <f>SUM(H122:H128)</f>
        <v>701.00538487308472</v>
      </c>
      <c r="I129" s="145">
        <f t="shared" ref="I129:K129" si="38">SUM(I122:I128)</f>
        <v>547.70201486715143</v>
      </c>
      <c r="J129" s="145">
        <f t="shared" si="38"/>
        <v>402.33398125776819</v>
      </c>
      <c r="K129" s="145">
        <f t="shared" si="38"/>
        <v>266.16765532739004</v>
      </c>
      <c r="L129" s="21"/>
      <c r="M129" s="79">
        <f t="shared" si="32"/>
        <v>-0.85197212589469573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775.0285636451614</v>
      </c>
      <c r="I133" s="143">
        <f t="shared" ref="I133:K133" si="39">I111+I122</f>
        <v>122.89630535301498</v>
      </c>
      <c r="J133" s="143">
        <f t="shared" si="39"/>
        <v>0</v>
      </c>
      <c r="K133" s="143">
        <f t="shared" si="39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40">H112+H123</f>
        <v>4659.8384813407283</v>
      </c>
      <c r="I134" s="143">
        <f t="shared" si="40"/>
        <v>3556.130826487105</v>
      </c>
      <c r="J134" s="143">
        <f t="shared" si="40"/>
        <v>2156.5164806636176</v>
      </c>
      <c r="K134" s="143">
        <f t="shared" si="40"/>
        <v>678.79529092603184</v>
      </c>
      <c r="L134" s="46"/>
      <c r="M134" s="79">
        <f t="shared" ref="M134:M140" si="41">(K134-G134)/H134</f>
        <v>0.14566927451329362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40"/>
        <v>196.33019618287977</v>
      </c>
      <c r="I135" s="143">
        <f t="shared" si="40"/>
        <v>404.96010410413066</v>
      </c>
      <c r="J135" s="143">
        <f t="shared" si="40"/>
        <v>509.18350406978539</v>
      </c>
      <c r="K135" s="143">
        <f t="shared" si="40"/>
        <v>551.08702304300687</v>
      </c>
      <c r="L135" s="46"/>
      <c r="M135" s="79">
        <f t="shared" si="41"/>
        <v>2.8069397054423271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40"/>
        <v>23.048589382883492</v>
      </c>
      <c r="I136" s="143">
        <f t="shared" si="40"/>
        <v>12.872829520716058</v>
      </c>
      <c r="J136" s="143">
        <f t="shared" si="40"/>
        <v>6.7251997556954572</v>
      </c>
      <c r="K136" s="143">
        <f t="shared" si="40"/>
        <v>0</v>
      </c>
      <c r="L136" s="46"/>
      <c r="M136" s="79">
        <f t="shared" si="41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40"/>
        <v>21.255363322958679</v>
      </c>
      <c r="I137" s="143">
        <f t="shared" si="40"/>
        <v>48.969103429152042</v>
      </c>
      <c r="J137" s="143">
        <f t="shared" si="40"/>
        <v>83.726538965314475</v>
      </c>
      <c r="K137" s="143">
        <f t="shared" si="40"/>
        <v>122.11758773288186</v>
      </c>
      <c r="L137" s="46"/>
      <c r="M137" s="79">
        <f t="shared" si="41"/>
        <v>5.7452599552122585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40"/>
        <v>922.21764323082664</v>
      </c>
      <c r="I138" s="143">
        <f t="shared" si="40"/>
        <v>662.69082735404061</v>
      </c>
      <c r="J138" s="143">
        <f t="shared" si="40"/>
        <v>431.3306847738196</v>
      </c>
      <c r="K138" s="143">
        <f t="shared" si="40"/>
        <v>441.88877858819524</v>
      </c>
      <c r="L138" s="46"/>
      <c r="M138" s="79">
        <f t="shared" si="41"/>
        <v>0.4791588860088557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40"/>
        <v>164.33662746238309</v>
      </c>
      <c r="I139" s="143">
        <f t="shared" si="40"/>
        <v>425.1763395384819</v>
      </c>
      <c r="J139" s="143">
        <f t="shared" si="40"/>
        <v>983.86845211818047</v>
      </c>
      <c r="K139" s="143">
        <f t="shared" si="40"/>
        <v>1459.8888393453919</v>
      </c>
      <c r="L139" s="46"/>
      <c r="M139" s="79">
        <f t="shared" si="41"/>
        <v>8.8835268308007773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6762.055464567823</v>
      </c>
      <c r="I140" s="145">
        <f t="shared" ref="I140:K140" si="42">SUM(I133:I139)</f>
        <v>5233.6963357866407</v>
      </c>
      <c r="J140" s="145">
        <f t="shared" si="42"/>
        <v>4171.3508603464124</v>
      </c>
      <c r="K140" s="145">
        <f t="shared" si="42"/>
        <v>3253.7775196355078</v>
      </c>
      <c r="L140" s="21"/>
      <c r="M140" s="79">
        <f t="shared" si="41"/>
        <v>0.48118172598329367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énergie'!C57</f>
        <v>1.9344819899405983E-2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énergie'!C58</f>
        <v>0.52399466367463399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énergie'!C59</f>
        <v>6.7035227617333368E-2</v>
      </c>
      <c r="I148" s="47">
        <v>0.25</v>
      </c>
      <c r="J148" s="47">
        <v>0.25</v>
      </c>
      <c r="K148" s="47">
        <v>0.3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énergie'!C60</f>
        <v>7.5158331919586794E-3</v>
      </c>
      <c r="I149" s="47">
        <f t="shared" ref="I149" si="43">H149</f>
        <v>7.5158331919586794E-3</v>
      </c>
      <c r="J149" s="47">
        <v>0</v>
      </c>
      <c r="K149" s="47"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énergie'!C61</f>
        <v>6.8921199229294077E-3</v>
      </c>
      <c r="I150" s="47">
        <v>0.05</v>
      </c>
      <c r="J150" s="47">
        <v>7.0000000000000007E-2</v>
      </c>
      <c r="K150" s="47">
        <v>0.1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énergie'!C62</f>
        <v>0.16762986130287999</v>
      </c>
      <c r="I151" s="47">
        <f>1-I146-I147-I148-I149-I150-I152</f>
        <v>0.14248416680804121</v>
      </c>
      <c r="J151" s="47">
        <f t="shared" ref="J151:K151" si="44">1-J146-J147-J148-J149-J150-J152</f>
        <v>7.999999999999996E-2</v>
      </c>
      <c r="K151" s="47">
        <f t="shared" si="44"/>
        <v>0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énergie'!C63</f>
        <v>0.20758747439085867</v>
      </c>
      <c r="I152" s="47">
        <v>0.55000000000000004</v>
      </c>
      <c r="J152" s="47">
        <v>0.6</v>
      </c>
      <c r="K152" s="47">
        <v>0.6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5">SUM(I146:I152)</f>
        <v>1</v>
      </c>
      <c r="J153" s="15">
        <f t="shared" si="45"/>
        <v>1</v>
      </c>
      <c r="K153" s="15">
        <f t="shared" si="45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121.10924076461161</v>
      </c>
      <c r="J157" s="45">
        <f>K157</f>
        <v>121.10924076461161</v>
      </c>
      <c r="K157" s="45">
        <f t="shared" ref="K157:K163" si="46">K81</f>
        <v>121.10924076461161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7">J158</f>
        <v>171.17828345381574</v>
      </c>
      <c r="J158" s="45">
        <f t="shared" si="47"/>
        <v>171.17828345381574</v>
      </c>
      <c r="K158" s="45">
        <f t="shared" si="46"/>
        <v>171.17828345381574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7"/>
        <v>42.601588878894923</v>
      </c>
      <c r="J159" s="45">
        <f t="shared" si="47"/>
        <v>42.601588878894923</v>
      </c>
      <c r="K159" s="45">
        <f t="shared" si="46"/>
        <v>42.601588878894923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7"/>
        <v>41.67751353835844</v>
      </c>
      <c r="J160" s="45">
        <f t="shared" si="47"/>
        <v>41.67751353835844</v>
      </c>
      <c r="K160" s="45">
        <f t="shared" si="46"/>
        <v>41.67751353835844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7"/>
        <v>43.239285176270279</v>
      </c>
      <c r="J161" s="45">
        <f t="shared" si="47"/>
        <v>43.239285176270279</v>
      </c>
      <c r="K161" s="45">
        <f t="shared" si="46"/>
        <v>43.239285176270279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7"/>
        <v>69.676930265874233</v>
      </c>
      <c r="J162" s="45">
        <f t="shared" si="47"/>
        <v>69.676930265874233</v>
      </c>
      <c r="K162" s="45">
        <f t="shared" si="46"/>
        <v>69.676930265874233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7"/>
        <v>49.470939578492441</v>
      </c>
      <c r="J163" s="45">
        <f t="shared" si="47"/>
        <v>49.470939578492441</v>
      </c>
      <c r="K163" s="45">
        <f t="shared" si="46"/>
        <v>49.470939578492441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8">I$35*I146*I157/1000</f>
        <v>0</v>
      </c>
      <c r="J167" s="10">
        <f t="shared" si="48"/>
        <v>0</v>
      </c>
      <c r="K167" s="10">
        <f t="shared" si="48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9">H$35*H147*H158/1000</f>
        <v>0</v>
      </c>
      <c r="I168" s="10">
        <f t="shared" si="49"/>
        <v>0</v>
      </c>
      <c r="J168" s="10">
        <f t="shared" si="49"/>
        <v>0</v>
      </c>
      <c r="K168" s="10">
        <f t="shared" si="49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9"/>
        <v>0</v>
      </c>
      <c r="I169" s="10">
        <f t="shared" si="49"/>
        <v>32.29893416623996</v>
      </c>
      <c r="J169" s="10">
        <f t="shared" si="49"/>
        <v>20.578554255882064</v>
      </c>
      <c r="K169" s="10">
        <f t="shared" si="49"/>
        <v>15.214415513525973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9"/>
        <v>0</v>
      </c>
      <c r="I170" s="10">
        <f t="shared" si="49"/>
        <v>0.94995125229461153</v>
      </c>
      <c r="J170" s="10">
        <f t="shared" si="49"/>
        <v>0</v>
      </c>
      <c r="K170" s="10">
        <f t="shared" si="49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9"/>
        <v>0</v>
      </c>
      <c r="I171" s="10">
        <f t="shared" si="49"/>
        <v>6.5564823381294319</v>
      </c>
      <c r="J171" s="10">
        <f t="shared" si="49"/>
        <v>5.8482455662434107</v>
      </c>
      <c r="K171" s="10">
        <f t="shared" si="49"/>
        <v>5.1473858799785139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9"/>
        <v>0</v>
      </c>
      <c r="I172" s="10">
        <f t="shared" si="49"/>
        <v>30.107729232342919</v>
      </c>
      <c r="J172" s="10">
        <f t="shared" si="49"/>
        <v>10.770306198189269</v>
      </c>
      <c r="K172" s="10">
        <f t="shared" si="49"/>
        <v>0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9"/>
        <v>0</v>
      </c>
      <c r="I173" s="10">
        <f t="shared" si="49"/>
        <v>82.515442681870752</v>
      </c>
      <c r="J173" s="10">
        <f t="shared" si="49"/>
        <v>57.352250429878957</v>
      </c>
      <c r="K173" s="10">
        <f t="shared" si="49"/>
        <v>35.335368956841855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50">SUM(I167:I173)</f>
        <v>152.42853967087768</v>
      </c>
      <c r="J174" s="11">
        <f t="shared" si="50"/>
        <v>94.549356450193699</v>
      </c>
      <c r="K174" s="11">
        <f t="shared" si="50"/>
        <v>55.69717035034634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1">H$36*($H$73*H45+(1-$H$73)*H59)+H$35*H146</f>
        <v>6498.4699124721237</v>
      </c>
      <c r="I181" s="10">
        <f t="shared" si="51"/>
        <v>1107.4273418235985</v>
      </c>
      <c r="J181" s="10">
        <f t="shared" si="51"/>
        <v>0</v>
      </c>
      <c r="K181" s="10">
        <f t="shared" si="51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1"/>
        <v>26784.997726189446</v>
      </c>
      <c r="I182" s="10">
        <f t="shared" si="51"/>
        <v>22571.584081048579</v>
      </c>
      <c r="J182" s="10">
        <f t="shared" si="51"/>
        <v>13563.227435387755</v>
      </c>
      <c r="K182" s="10">
        <f t="shared" si="51"/>
        <v>4031.7176910219705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1"/>
        <v>4238.1325516122542</v>
      </c>
      <c r="I183" s="10">
        <f t="shared" si="51"/>
        <v>10954.617189530843</v>
      </c>
      <c r="J183" s="10">
        <f t="shared" si="51"/>
        <v>13192.039689672829</v>
      </c>
      <c r="K183" s="10">
        <f t="shared" si="51"/>
        <v>13361.269299218719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1"/>
        <v>508.57590619347059</v>
      </c>
      <c r="I184" s="10">
        <f t="shared" si="51"/>
        <v>355.02109904317956</v>
      </c>
      <c r="J184" s="10">
        <f t="shared" si="51"/>
        <v>171.6864232327564</v>
      </c>
      <c r="K184" s="10">
        <f t="shared" si="51"/>
        <v>0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1"/>
        <v>452.0674721719738</v>
      </c>
      <c r="I185" s="10">
        <f t="shared" si="51"/>
        <v>1369.8026090462506</v>
      </c>
      <c r="J185" s="10">
        <f t="shared" si="51"/>
        <v>2195.4901372653044</v>
      </c>
      <c r="K185" s="10">
        <f t="shared" si="51"/>
        <v>2954.2887030794709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1"/>
        <v>14409.650675481666</v>
      </c>
      <c r="I186" s="10">
        <f t="shared" si="51"/>
        <v>10882.045729747308</v>
      </c>
      <c r="J186" s="10">
        <f t="shared" si="51"/>
        <v>6903.3765047419711</v>
      </c>
      <c r="K186" s="10">
        <f t="shared" si="51"/>
        <v>6451.8795681940264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1"/>
        <v>3616.5397773757904</v>
      </c>
      <c r="I187" s="10">
        <f t="shared" si="51"/>
        <v>11138.492380923055</v>
      </c>
      <c r="J187" s="10">
        <f t="shared" si="51"/>
        <v>22906.258872577764</v>
      </c>
      <c r="K187" s="10">
        <f t="shared" si="51"/>
        <v>31158.55223300921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56508.434021496723</v>
      </c>
      <c r="I188" s="10">
        <f t="shared" ref="I188:K188" si="52">SUM(I181:I187)</f>
        <v>58378.990431162805</v>
      </c>
      <c r="J188" s="10">
        <f t="shared" si="52"/>
        <v>58932.079062878387</v>
      </c>
      <c r="K188" s="10">
        <f t="shared" si="52"/>
        <v>57957.707494523391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GB1593"/>
  <sheetViews>
    <sheetView showGridLines="0" topLeftCell="A34" zoomScale="115" zoomScaleNormal="115" workbookViewId="0">
      <selection activeCell="M55" sqref="M55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240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41814.604215450461</v>
      </c>
      <c r="I7" s="10">
        <f t="shared" si="0"/>
        <v>43217.281263933044</v>
      </c>
      <c r="J7" s="10">
        <f t="shared" si="0"/>
        <v>43777.42197649672</v>
      </c>
      <c r="K7" s="10">
        <f t="shared" si="0"/>
        <v>42840.868628636097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2489.8567580842946</v>
      </c>
      <c r="J8" s="76">
        <f t="shared" si="0"/>
        <v>1683.7900254259353</v>
      </c>
      <c r="K8" s="76">
        <f t="shared" si="0"/>
        <v>1138.2129713889146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41814.604215450461</v>
      </c>
      <c r="I9" s="96">
        <f t="shared" si="1"/>
        <v>40727.42450584875</v>
      </c>
      <c r="J9" s="96">
        <f t="shared" si="1"/>
        <v>42093.631951070784</v>
      </c>
      <c r="K9" s="96">
        <f t="shared" si="1"/>
        <v>41702.655657247182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1184.8678605253267</v>
      </c>
      <c r="I13" s="86">
        <f t="shared" ref="I13:K13" si="2">I133+I167</f>
        <v>105.99629801259429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2573.628699991908</v>
      </c>
      <c r="I14" s="86">
        <f t="shared" si="3"/>
        <v>1914.2297264137896</v>
      </c>
      <c r="J14" s="86">
        <f t="shared" si="3"/>
        <v>1031.4613136141184</v>
      </c>
      <c r="K14" s="86">
        <f t="shared" si="3"/>
        <v>293.44233064894593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324.73142968208481</v>
      </c>
      <c r="I15" s="86">
        <f t="shared" si="3"/>
        <v>873.47361297421298</v>
      </c>
      <c r="J15" s="86">
        <f t="shared" si="3"/>
        <v>993.59565546930946</v>
      </c>
      <c r="K15" s="86">
        <f t="shared" si="3"/>
        <v>984.72360581967394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87.743683724161997</v>
      </c>
      <c r="I16" s="86">
        <f t="shared" si="3"/>
        <v>51.140999350072462</v>
      </c>
      <c r="J16" s="86">
        <f t="shared" si="3"/>
        <v>77.878145359953919</v>
      </c>
      <c r="K16" s="86">
        <f t="shared" si="3"/>
        <v>0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74.66951741609185</v>
      </c>
      <c r="I17" s="86">
        <f t="shared" si="3"/>
        <v>86.785320323898489</v>
      </c>
      <c r="J17" s="86">
        <f t="shared" si="3"/>
        <v>100.37368710829429</v>
      </c>
      <c r="K17" s="86">
        <f t="shared" si="3"/>
        <v>112.20251615748211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601.96304228562485</v>
      </c>
      <c r="I18" s="86">
        <f t="shared" si="3"/>
        <v>484.08025956782944</v>
      </c>
      <c r="J18" s="86">
        <f t="shared" si="3"/>
        <v>228.93932959249119</v>
      </c>
      <c r="K18" s="86">
        <f t="shared" si="3"/>
        <v>189.95348717080196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131.45762730537481</v>
      </c>
      <c r="I19" s="86">
        <f t="shared" si="3"/>
        <v>426.14351192396924</v>
      </c>
      <c r="J19" s="86">
        <f t="shared" si="3"/>
        <v>726.73394410871947</v>
      </c>
      <c r="K19" s="86">
        <f t="shared" si="3"/>
        <v>905.54444496979499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4979.0618609305739</v>
      </c>
      <c r="I20" s="13">
        <f t="shared" ref="I20:K20" si="4">SUM(I13:I19)</f>
        <v>3941.8497285663657</v>
      </c>
      <c r="J20" s="13">
        <f t="shared" si="4"/>
        <v>3158.9820752528867</v>
      </c>
      <c r="K20" s="13">
        <f t="shared" si="4"/>
        <v>2485.8663847666985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-0.38174987069330979</v>
      </c>
      <c r="J23" s="177">
        <f t="shared" ref="J23:K23" si="5">J118/$G118-1</f>
        <v>-0.50273196822858734</v>
      </c>
      <c r="K23" s="177">
        <f t="shared" si="5"/>
        <v>-0.60588057552410368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-0.34194279694364538</v>
      </c>
      <c r="J24" s="177">
        <f t="shared" ref="J24:K24" si="6">J129/$G129-1</f>
        <v>-0.43677178523377957</v>
      </c>
      <c r="K24" s="177">
        <f t="shared" si="6"/>
        <v>-0.57461902295302569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41814.604215450461</v>
      </c>
      <c r="H34" s="125">
        <f>'Init. parc'!C27</f>
        <v>41814.604215450461</v>
      </c>
      <c r="I34" s="125">
        <f>'Init. parc'!D27</f>
        <v>43217.281263933044</v>
      </c>
      <c r="J34" s="125">
        <f>'Init. parc'!E27</f>
        <v>43777.42197649672</v>
      </c>
      <c r="K34" s="125">
        <f>'Init. parc'!F27</f>
        <v>42840.868628636097</v>
      </c>
      <c r="L34" s="12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parc'!N27</f>
        <v>2489.8567580842946</v>
      </c>
      <c r="J35" s="125">
        <f>'Init. parc'!O27</f>
        <v>1683.7900254259353</v>
      </c>
      <c r="K35" s="125">
        <f>'Init. parc'!P27</f>
        <v>1138.2129713889146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41814.604215450461</v>
      </c>
      <c r="H36" s="125">
        <f>H34-H35</f>
        <v>41814.604215450461</v>
      </c>
      <c r="I36" s="125">
        <f>I34-I35</f>
        <v>40727.42450584875</v>
      </c>
      <c r="J36" s="125">
        <f>J34-J35</f>
        <v>42093.631951070784</v>
      </c>
      <c r="K36" s="125">
        <f>K34-K35</f>
        <v>41702.655657247182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0.19600000000000001</v>
      </c>
      <c r="H45" s="55">
        <f>'Init. énergie'!B66</f>
        <v>0.19600000000000001</v>
      </c>
      <c r="I45" s="47">
        <v>0.02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0.41</v>
      </c>
      <c r="H46" s="55">
        <f>'Init. énergie'!B67</f>
        <v>0.41</v>
      </c>
      <c r="I46" s="47">
        <f>H46*0.86</f>
        <v>0.35259999999999997</v>
      </c>
      <c r="J46" s="47">
        <f>H46*0.5</f>
        <v>0.20499999999999999</v>
      </c>
      <c r="K46" s="47">
        <f>H46*0.15</f>
        <v>6.1499999999999992E-2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6.2E-2</v>
      </c>
      <c r="H47" s="55">
        <f>'Init. énergie'!B68</f>
        <v>6.2E-2</v>
      </c>
      <c r="I47" s="47">
        <v>0.2</v>
      </c>
      <c r="J47" s="47">
        <v>0.25</v>
      </c>
      <c r="K47" s="47">
        <v>0.27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1.7000000000000001E-2</v>
      </c>
      <c r="H48" s="55">
        <f>'Init. énergie'!B69</f>
        <v>1.7000000000000001E-2</v>
      </c>
      <c r="I48" s="47">
        <f t="shared" ref="I48:I49" si="8">H48+((K48-H48)/3)</f>
        <v>1.1333333333333334E-2</v>
      </c>
      <c r="J48" s="47">
        <v>0.02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1.4E-2</v>
      </c>
      <c r="H49" s="55">
        <f>'Init. énergie'!B70</f>
        <v>1.4E-2</v>
      </c>
      <c r="I49" s="47">
        <f t="shared" si="8"/>
        <v>1.9333333333333334E-2</v>
      </c>
      <c r="J49" s="47">
        <f t="shared" ref="J49" si="9">H49+((K49-H49)/3*2)</f>
        <v>2.4666666666666667E-2</v>
      </c>
      <c r="K49" s="47">
        <v>0.03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0.23599999999999999</v>
      </c>
      <c r="H50" s="55">
        <f>'Init. énergie'!B71</f>
        <v>0.23599999999999999</v>
      </c>
      <c r="I50" s="47">
        <f>1-I45-I46-I47-I48-I49-I51</f>
        <v>0.19673333333333326</v>
      </c>
      <c r="J50" s="47">
        <v>0.1</v>
      </c>
      <c r="K50" s="47">
        <v>0.09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6.6000000000000003E-2</v>
      </c>
      <c r="H51" s="55">
        <f>'Init. énergie'!B72</f>
        <v>6.6000000000000003E-2</v>
      </c>
      <c r="I51" s="47">
        <v>0.2</v>
      </c>
      <c r="J51" s="47">
        <v>0.4</v>
      </c>
      <c r="K51" s="123">
        <v>0.55000000000000004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0">SUM(G45:G51)</f>
        <v>1.0009999999999999</v>
      </c>
      <c r="H52" s="149">
        <f t="shared" si="10"/>
        <v>1.0009999999999999</v>
      </c>
      <c r="I52" s="155">
        <f t="shared" si="10"/>
        <v>0.99999999999999978</v>
      </c>
      <c r="J52" s="155">
        <f t="shared" si="10"/>
        <v>0.9996666666666667</v>
      </c>
      <c r="K52" s="155">
        <f>SUM(K45:K51)</f>
        <v>1.0015000000000001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1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-0.10755888784684363</v>
      </c>
      <c r="J55" s="142">
        <f t="shared" si="11"/>
        <v>-0.12776426117964446</v>
      </c>
      <c r="K55" s="142">
        <f t="shared" si="11"/>
        <v>-0.14648904154233738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0.19600000000000001</v>
      </c>
      <c r="H59" s="55">
        <f>H45</f>
        <v>0.19600000000000001</v>
      </c>
      <c r="I59" s="47">
        <f>I45</f>
        <v>0.02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2">H60</f>
        <v>0.41</v>
      </c>
      <c r="H60" s="55">
        <f t="shared" ref="H60:K65" si="13">H46</f>
        <v>0.41</v>
      </c>
      <c r="I60" s="47">
        <f t="shared" si="13"/>
        <v>0.35259999999999997</v>
      </c>
      <c r="J60" s="47">
        <f t="shared" si="13"/>
        <v>0.20499999999999999</v>
      </c>
      <c r="K60" s="47">
        <f t="shared" si="13"/>
        <v>6.1499999999999992E-2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2"/>
        <v>6.2E-2</v>
      </c>
      <c r="H61" s="55">
        <f t="shared" si="13"/>
        <v>6.2E-2</v>
      </c>
      <c r="I61" s="47">
        <v>0.19</v>
      </c>
      <c r="J61" s="47">
        <f t="shared" si="13"/>
        <v>0.25</v>
      </c>
      <c r="K61" s="47">
        <v>0.24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2"/>
        <v>1.7000000000000001E-2</v>
      </c>
      <c r="H62" s="55">
        <f t="shared" si="13"/>
        <v>1.7000000000000001E-2</v>
      </c>
      <c r="I62" s="47">
        <f t="shared" si="13"/>
        <v>1.1333333333333334E-2</v>
      </c>
      <c r="J62" s="47">
        <f t="shared" si="13"/>
        <v>0.02</v>
      </c>
      <c r="K62" s="47">
        <f t="shared" si="13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2"/>
        <v>1.4E-2</v>
      </c>
      <c r="H63" s="55">
        <f t="shared" si="13"/>
        <v>1.4E-2</v>
      </c>
      <c r="I63" s="47">
        <f t="shared" si="13"/>
        <v>1.9333333333333334E-2</v>
      </c>
      <c r="J63" s="47">
        <f t="shared" si="13"/>
        <v>2.4666666666666667E-2</v>
      </c>
      <c r="K63" s="47">
        <f t="shared" si="13"/>
        <v>0.03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2"/>
        <v>0.23599999999999999</v>
      </c>
      <c r="H64" s="55">
        <f t="shared" si="13"/>
        <v>0.23599999999999999</v>
      </c>
      <c r="I64" s="47">
        <f t="shared" si="13"/>
        <v>0.19673333333333326</v>
      </c>
      <c r="J64" s="47">
        <f t="shared" si="13"/>
        <v>0.1</v>
      </c>
      <c r="K64" s="47">
        <f t="shared" si="13"/>
        <v>0.09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2"/>
        <v>6.6000000000000003E-2</v>
      </c>
      <c r="H65" s="55">
        <f t="shared" si="13"/>
        <v>6.6000000000000003E-2</v>
      </c>
      <c r="I65" s="47">
        <v>0.21</v>
      </c>
      <c r="J65" s="47">
        <f t="shared" si="13"/>
        <v>0.4</v>
      </c>
      <c r="K65" s="47">
        <v>0.57999999999999996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4">SUM(G59:G65)</f>
        <v>1.0009999999999999</v>
      </c>
      <c r="H66" s="149">
        <v>1</v>
      </c>
      <c r="I66" s="47">
        <f t="shared" ref="I66:J66" si="15">SUM(I59:I65)</f>
        <v>0.99999999999999978</v>
      </c>
      <c r="J66" s="47">
        <f t="shared" si="15"/>
        <v>0.9996666666666667</v>
      </c>
      <c r="K66" s="47">
        <f>SUM(K59:K65)</f>
        <v>1.0015000000000001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-0.1140778296943416</v>
      </c>
      <c r="J69" s="142">
        <f>(I$101*(J59-I59)+I$102*(J60-I60)+I$103*(J61-I61)+I$104*(J62-I62)+I$105*(J63-I63)+I$106*(J64-I64)+I$107*(J65-I65))/(I$101*I59+I$102*I60+I$103*I61+I$104*I62+I$105*I63+I$106*I64+I$107*I65)</f>
        <v>-0.11861263374675121</v>
      </c>
      <c r="K69" s="142">
        <f>(J$101*(K59-J59)+J$102*(K60-J60)+J$103*(K61-J61)+J$104*(K62-J62)+J$105*(K63-J63)+J$106*(K64-J64)+J$107*(K65-J65))/(J$101*J59+J$102*J60+J$103*J61+J$104*J62+J$105*J63+J$106*J64+J$107*J65)</f>
        <v>-0.18583660420823345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bord'!L12</f>
        <v>0.86</v>
      </c>
      <c r="G73" s="92">
        <f>'Tableau de bord'!L25</f>
        <v>0.95</v>
      </c>
      <c r="H73" s="92">
        <f>'Tableau de bord'!L28</f>
        <v>0.95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180.44218446699179</v>
      </c>
      <c r="H81" s="54">
        <f>'Init. énergie'!D66</f>
        <v>144.57255544511395</v>
      </c>
      <c r="I81" s="81">
        <f>G81*(1-F$77)/(1+I$55)</f>
        <v>129.90672655177519</v>
      </c>
      <c r="J81" s="81">
        <f>G81*(1-G$77)/(1+I$55)/(1+J$55)</f>
        <v>115.9029885324243</v>
      </c>
      <c r="K81" s="81">
        <f>G81*(1-H$77)/(1+I$55)/(1+J$55)/(1+K$55)</f>
        <v>108.63643859182953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6">H82/F82^10</f>
        <v>181.54529344579473</v>
      </c>
      <c r="H82" s="54">
        <f>'Init. énergie'!D67</f>
        <v>150.1184403986914</v>
      </c>
      <c r="I82" s="81">
        <f t="shared" ref="I82:I87" si="17">G82*(1-F$77)/(1+I$55)</f>
        <v>130.70089381864494</v>
      </c>
      <c r="J82" s="81">
        <f t="shared" ref="J82:J87" si="18">G82*(1-G$77)/(1+I$55)/(1+J$55)</f>
        <v>116.61154583402136</v>
      </c>
      <c r="K82" s="81">
        <f t="shared" ref="K82:K87" si="19">G82*(1-H$77)/(1+I$55)/(1+J$55)/(1+K$55)</f>
        <v>109.30057281958682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6"/>
        <v>141.57918557083755</v>
      </c>
      <c r="H83" s="54">
        <f>'Init. énergie'!D68</f>
        <v>125.25776108181995</v>
      </c>
      <c r="I83" s="81">
        <f t="shared" si="17"/>
        <v>101.92787567775365</v>
      </c>
      <c r="J83" s="81">
        <f t="shared" si="18"/>
        <v>90.940213177526289</v>
      </c>
      <c r="K83" s="81">
        <f t="shared" si="19"/>
        <v>85.238707038381648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6"/>
        <v>139.51911623316892</v>
      </c>
      <c r="H84" s="54">
        <f>'Init. énergie'!D69</f>
        <v>123.43517909796911</v>
      </c>
      <c r="I84" s="81">
        <f t="shared" si="17"/>
        <v>100.44475871751106</v>
      </c>
      <c r="J84" s="81">
        <f t="shared" si="18"/>
        <v>89.616973861148566</v>
      </c>
      <c r="K84" s="81">
        <f t="shared" si="19"/>
        <v>83.998428348796807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6"/>
        <v>144.17238519039412</v>
      </c>
      <c r="H85" s="54">
        <f>'Init. énergie'!D70</f>
        <v>127.55201342600625</v>
      </c>
      <c r="I85" s="81">
        <f t="shared" si="17"/>
        <v>103.79481203117342</v>
      </c>
      <c r="J85" s="81">
        <f t="shared" si="18"/>
        <v>92.605896768398196</v>
      </c>
      <c r="K85" s="81">
        <f t="shared" si="19"/>
        <v>86.799960422996094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6"/>
        <v>81.62447538579643</v>
      </c>
      <c r="H86" s="54">
        <f>'Init. énergie'!D71</f>
        <v>61</v>
      </c>
      <c r="I86" s="81">
        <f t="shared" si="17"/>
        <v>58.764353996248964</v>
      </c>
      <c r="J86" s="81">
        <f t="shared" si="18"/>
        <v>52.429650320131891</v>
      </c>
      <c r="K86" s="81">
        <f t="shared" si="19"/>
        <v>49.142567931289292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6"/>
        <v>63.73888051007966</v>
      </c>
      <c r="H87" s="54">
        <f>'Init. énergie'!D72</f>
        <v>47.633650234662667</v>
      </c>
      <c r="I87" s="81">
        <f t="shared" si="17"/>
        <v>45.887880074151226</v>
      </c>
      <c r="J87" s="81">
        <f t="shared" si="18"/>
        <v>40.9412397586038</v>
      </c>
      <c r="K87" s="81">
        <f t="shared" si="19"/>
        <v>38.374424466757119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0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0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0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0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0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0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1">G81</f>
        <v>180.44218446699179</v>
      </c>
      <c r="H101" s="54">
        <f t="shared" si="21"/>
        <v>144.57255544511395</v>
      </c>
      <c r="I101" s="81">
        <f>$H101*(1+$G91)^(I$100-$H$100)</f>
        <v>134.35017088941282</v>
      </c>
      <c r="J101" s="81">
        <f>$H101*(1+$G91)^(J$100-$H$100)</f>
        <v>124.85058704566502</v>
      </c>
      <c r="K101" s="81">
        <f>$H101*(1+$G91)^(K$100-$H$100)</f>
        <v>116.02269637958108</v>
      </c>
      <c r="L101" s="67"/>
      <c r="M101" s="79">
        <f>(K101-G101)/H101</f>
        <v>-0.44558587132304761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1"/>
        <v>181.54529344579473</v>
      </c>
      <c r="H102" s="54">
        <f t="shared" si="21"/>
        <v>150.1184403986914</v>
      </c>
      <c r="I102" s="81">
        <f t="shared" ref="I102:K107" si="22">$H102*(1+$G92)^(I$100-$H$100)</f>
        <v>140.95842499899163</v>
      </c>
      <c r="J102" s="81">
        <f t="shared" si="22"/>
        <v>132.35734081320464</v>
      </c>
      <c r="K102" s="81">
        <f t="shared" si="22"/>
        <v>124.28108264737018</v>
      </c>
      <c r="L102" s="67"/>
      <c r="M102" s="79">
        <f t="shared" ref="M102:M107" si="23">(K102-G102)/H102</f>
        <v>-0.38146020333237968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1"/>
        <v>141.57918557083755</v>
      </c>
      <c r="H103" s="54">
        <f t="shared" si="21"/>
        <v>125.25776108181995</v>
      </c>
      <c r="I103" s="81">
        <f t="shared" si="22"/>
        <v>120.2666884611311</v>
      </c>
      <c r="J103" s="81">
        <f t="shared" si="22"/>
        <v>115.47449218702421</v>
      </c>
      <c r="K103" s="81">
        <f t="shared" si="22"/>
        <v>110.87324775023333</v>
      </c>
      <c r="L103" s="67"/>
      <c r="M103" s="79">
        <f t="shared" si="23"/>
        <v>-0.24514199803193604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1"/>
        <v>139.51911623316892</v>
      </c>
      <c r="H104" s="54">
        <f t="shared" si="21"/>
        <v>123.43517909796911</v>
      </c>
      <c r="I104" s="81">
        <f t="shared" si="22"/>
        <v>118.51672983378921</v>
      </c>
      <c r="J104" s="81">
        <f t="shared" si="22"/>
        <v>113.79426313585255</v>
      </c>
      <c r="K104" s="81">
        <f t="shared" si="22"/>
        <v>109.25996980166288</v>
      </c>
      <c r="L104" s="67"/>
      <c r="M104" s="79">
        <f t="shared" si="23"/>
        <v>-0.24514199803193623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1"/>
        <v>144.17238519039412</v>
      </c>
      <c r="H105" s="54">
        <f t="shared" si="21"/>
        <v>127.55201342600625</v>
      </c>
      <c r="I105" s="81">
        <f t="shared" si="22"/>
        <v>122.46952307629908</v>
      </c>
      <c r="J105" s="81">
        <f>$H105*(1+$G95)^(J$100-$H$100)</f>
        <v>117.58955174186289</v>
      </c>
      <c r="K105" s="81">
        <f>$H105*(1+$G95)^(K$100-$H$100)</f>
        <v>112.90402976614661</v>
      </c>
      <c r="L105" s="67"/>
      <c r="M105" s="79">
        <f t="shared" si="23"/>
        <v>-0.24514199803193615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1"/>
        <v>81.62447538579643</v>
      </c>
      <c r="H106" s="54">
        <f t="shared" si="21"/>
        <v>61</v>
      </c>
      <c r="I106" s="81">
        <f t="shared" si="22"/>
        <v>55.408235880301092</v>
      </c>
      <c r="J106" s="81">
        <f t="shared" si="22"/>
        <v>50.329059071591566</v>
      </c>
      <c r="K106" s="81">
        <f t="shared" si="22"/>
        <v>45.715481584792663</v>
      </c>
      <c r="L106" s="67"/>
      <c r="M106" s="79">
        <f t="shared" si="23"/>
        <v>-0.58867202952465192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1"/>
        <v>63.73888051007966</v>
      </c>
      <c r="H107" s="54">
        <f t="shared" si="21"/>
        <v>47.633650234662667</v>
      </c>
      <c r="I107" s="81">
        <f t="shared" si="22"/>
        <v>43.267156197408987</v>
      </c>
      <c r="J107" s="81">
        <f t="shared" si="22"/>
        <v>39.300931089440468</v>
      </c>
      <c r="K107" s="81">
        <f t="shared" si="22"/>
        <v>35.698282952773376</v>
      </c>
      <c r="L107" s="67"/>
      <c r="M107" s="79">
        <f t="shared" si="23"/>
        <v>-0.58867202952465192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4">G$36*G45*$H$73*G81/1000</f>
        <v>1404.9010697755448</v>
      </c>
      <c r="H111" s="54">
        <f t="shared" si="24"/>
        <v>1125.6244674990603</v>
      </c>
      <c r="I111" s="125">
        <f t="shared" si="24"/>
        <v>100.52456157034786</v>
      </c>
      <c r="J111" s="125">
        <f t="shared" si="24"/>
        <v>0</v>
      </c>
      <c r="K111" s="125">
        <f t="shared" si="24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4"/>
        <v>2956.7897688230432</v>
      </c>
      <c r="H112" s="54">
        <f t="shared" si="24"/>
        <v>2444.9472649923123</v>
      </c>
      <c r="I112" s="125">
        <f t="shared" si="24"/>
        <v>1783.0824199347726</v>
      </c>
      <c r="J112" s="125">
        <f t="shared" si="24"/>
        <v>955.95052998573408</v>
      </c>
      <c r="K112" s="125">
        <f t="shared" si="24"/>
        <v>266.30840354759567</v>
      </c>
      <c r="L112" s="46"/>
      <c r="M112" s="79">
        <f t="shared" ref="M112:M118" si="25">(K112-G112)/H112</f>
        <v>-1.1004251109211172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4"/>
        <v>348.69257121665379</v>
      </c>
      <c r="H113" s="54">
        <f t="shared" si="24"/>
        <v>308.49485819798053</v>
      </c>
      <c r="I113" s="125">
        <f t="shared" si="24"/>
        <v>788.73937372437729</v>
      </c>
      <c r="J113" s="125">
        <f t="shared" si="24"/>
        <v>909.15091747359327</v>
      </c>
      <c r="K113" s="125">
        <f t="shared" si="24"/>
        <v>911.77553498653924</v>
      </c>
      <c r="L113" s="46"/>
      <c r="M113" s="79">
        <f t="shared" si="25"/>
        <v>1.8252588294632768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4"/>
        <v>94.218076506337127</v>
      </c>
      <c r="H114" s="54">
        <f t="shared" si="24"/>
        <v>83.356499537953894</v>
      </c>
      <c r="I114" s="125">
        <f t="shared" si="24"/>
        <v>44.044886461307563</v>
      </c>
      <c r="J114" s="125">
        <f t="shared" si="24"/>
        <v>71.673774371318444</v>
      </c>
      <c r="K114" s="125">
        <f t="shared" si="24"/>
        <v>0</v>
      </c>
      <c r="L114" s="46"/>
      <c r="M114" s="79">
        <f t="shared" si="25"/>
        <v>-1.1303027001924155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4"/>
        <v>80.17919929959956</v>
      </c>
      <c r="H115" s="54">
        <f t="shared" si="24"/>
        <v>70.936041545287253</v>
      </c>
      <c r="I115" s="125">
        <f t="shared" si="24"/>
        <v>77.641324982506859</v>
      </c>
      <c r="J115" s="125">
        <f t="shared" si="24"/>
        <v>91.345911005088993</v>
      </c>
      <c r="K115" s="125">
        <f t="shared" si="24"/>
        <v>103.16398252661234</v>
      </c>
      <c r="L115" s="46"/>
      <c r="M115" s="79">
        <f t="shared" si="25"/>
        <v>0.32402122709848069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4"/>
        <v>765.21592871790176</v>
      </c>
      <c r="H116" s="54">
        <f t="shared" si="24"/>
        <v>571.86489017134363</v>
      </c>
      <c r="I116" s="125">
        <f t="shared" si="24"/>
        <v>447.30367810514457</v>
      </c>
      <c r="J116" s="125">
        <f t="shared" si="24"/>
        <v>209.66066837040236</v>
      </c>
      <c r="K116" s="125">
        <f t="shared" si="24"/>
        <v>175.22161282114772</v>
      </c>
      <c r="L116" s="46"/>
      <c r="M116" s="79">
        <f t="shared" si="25"/>
        <v>-1.0317022884898188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4"/>
        <v>167.10904706638735</v>
      </c>
      <c r="H117" s="54">
        <f t="shared" si="24"/>
        <v>124.88474594010606</v>
      </c>
      <c r="I117" s="125">
        <f t="shared" si="24"/>
        <v>355.09008257615267</v>
      </c>
      <c r="J117" s="125">
        <f t="shared" si="24"/>
        <v>654.87888164730145</v>
      </c>
      <c r="K117" s="125">
        <f t="shared" si="24"/>
        <v>836.16480150670668</v>
      </c>
      <c r="L117" s="46"/>
      <c r="M117" s="79">
        <f t="shared" si="25"/>
        <v>5.3573857191589616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5817.1056614054678</v>
      </c>
      <c r="H118" s="146">
        <f>SUM(H111:H117)</f>
        <v>4730.1087678840431</v>
      </c>
      <c r="I118" s="144">
        <f t="shared" ref="I118:J118" si="26">SUM(I111:I117)</f>
        <v>3596.4263273546098</v>
      </c>
      <c r="J118" s="144">
        <f t="shared" si="26"/>
        <v>2892.6606828534386</v>
      </c>
      <c r="K118" s="144">
        <f>SUM(K111:K117)</f>
        <v>2292.6343353886014</v>
      </c>
      <c r="L118" s="21"/>
      <c r="M118" s="79">
        <f t="shared" si="25"/>
        <v>-0.74511422442268616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7">G$36*G45*(1-$H$73)*G101/1000</f>
        <v>73.942161567133994</v>
      </c>
      <c r="H122" s="147">
        <f t="shared" si="27"/>
        <v>59.243393026266382</v>
      </c>
      <c r="I122" s="143">
        <f t="shared" ref="I122:I128" si="28">I$36*I59*(1-$H$73)*I101/1000</f>
        <v>5.4717364422464447</v>
      </c>
      <c r="J122" s="143">
        <f t="shared" ref="J122:K122" si="29">J$36*J59*(1-$H$73)*J101/1000</f>
        <v>0</v>
      </c>
      <c r="K122" s="143">
        <f t="shared" si="29"/>
        <v>0</v>
      </c>
      <c r="L122" s="46"/>
      <c r="M122" s="79">
        <f>(K122-G122)/H122</f>
        <v>-1.2481081482681236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7"/>
        <v>155.62051414858138</v>
      </c>
      <c r="H123" s="147">
        <f t="shared" si="27"/>
        <v>128.6814349995955</v>
      </c>
      <c r="I123" s="143">
        <f t="shared" si="28"/>
        <v>101.21160179031043</v>
      </c>
      <c r="J123" s="143">
        <f t="shared" ref="J123:K123" si="30">J$36*J60*(1-$H$73)*J102/1000</f>
        <v>57.10686219968818</v>
      </c>
      <c r="K123" s="143">
        <f t="shared" si="30"/>
        <v>15.937267422635971</v>
      </c>
      <c r="L123" s="46"/>
      <c r="M123" s="79">
        <f t="shared" ref="M123:M129" si="31">(K123-G123)/H123</f>
        <v>-1.0854964954842514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7"/>
        <v>18.352240590350217</v>
      </c>
      <c r="H124" s="147">
        <f t="shared" si="27"/>
        <v>16.236571484104257</v>
      </c>
      <c r="I124" s="143">
        <f t="shared" si="28"/>
        <v>46.532448511256938</v>
      </c>
      <c r="J124" s="143">
        <f t="shared" ref="J124:K124" si="32">J$36*J61*(1-$H$73)*J103/1000</f>
        <v>60.7592596732175</v>
      </c>
      <c r="K124" s="143">
        <f t="shared" si="32"/>
        <v>55.484506470343682</v>
      </c>
      <c r="L124" s="46"/>
      <c r="M124" s="79">
        <f t="shared" si="31"/>
        <v>2.28695238501221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7"/>
        <v>4.9588461319124848</v>
      </c>
      <c r="H125" s="147">
        <f t="shared" si="27"/>
        <v>4.3871841862081027</v>
      </c>
      <c r="I125" s="143">
        <f t="shared" si="28"/>
        <v>2.7352326612919122</v>
      </c>
      <c r="J125" s="143">
        <f t="shared" ref="J125:K125" si="33">J$36*J62*(1-$H$73)*J104/1000</f>
        <v>4.7900138305838826</v>
      </c>
      <c r="K125" s="143">
        <f t="shared" si="33"/>
        <v>0</v>
      </c>
      <c r="L125" s="46"/>
      <c r="M125" s="79">
        <f t="shared" si="31"/>
        <v>-1.1303027001924157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7"/>
        <v>4.2199578578736645</v>
      </c>
      <c r="H126" s="147">
        <f t="shared" si="27"/>
        <v>3.7334758708045954</v>
      </c>
      <c r="I126" s="143">
        <f t="shared" si="28"/>
        <v>4.8216059801787017</v>
      </c>
      <c r="J126" s="143">
        <f t="shared" ref="J126:K126" si="34">J$36*J63*(1-$H$73)*J105/1000</f>
        <v>6.1047179518531625</v>
      </c>
      <c r="K126" s="143">
        <f t="shared" si="34"/>
        <v>7.0625968134798027</v>
      </c>
      <c r="L126" s="46"/>
      <c r="M126" s="79">
        <f t="shared" si="31"/>
        <v>0.76139207911728801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7"/>
        <v>40.274522564100131</v>
      </c>
      <c r="H127" s="147">
        <f t="shared" si="27"/>
        <v>30.098152114281266</v>
      </c>
      <c r="I127" s="143">
        <f t="shared" si="28"/>
        <v>22.197763763348757</v>
      </c>
      <c r="J127" s="143">
        <f t="shared" ref="J127:K127" si="35">J$36*J64*(1-$H$73)*J106/1000</f>
        <v>10.592664445016387</v>
      </c>
      <c r="K127" s="143">
        <f t="shared" si="35"/>
        <v>8.5790564403112572</v>
      </c>
      <c r="L127" s="46"/>
      <c r="M127" s="79">
        <f t="shared" si="31"/>
        <v>-1.0530701686748969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7"/>
        <v>8.7952130034940783</v>
      </c>
      <c r="H128" s="147">
        <f t="shared" si="27"/>
        <v>6.5728813652687457</v>
      </c>
      <c r="I128" s="143">
        <f t="shared" si="28"/>
        <v>18.502678294933791</v>
      </c>
      <c r="J128" s="143">
        <f t="shared" ref="J128:K128" si="36">J$36*J65*(1-$H$73)*J107/1000</f>
        <v>33.086378572266078</v>
      </c>
      <c r="K128" s="143">
        <f t="shared" si="36"/>
        <v>43.172682844500109</v>
      </c>
      <c r="L128" s="46"/>
      <c r="M128" s="79">
        <f t="shared" si="31"/>
        <v>5.2301978281028108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306.16345586344602</v>
      </c>
      <c r="H129" s="148">
        <f>SUM(H122:H128)</f>
        <v>248.95309304652883</v>
      </c>
      <c r="I129" s="145">
        <f t="shared" ref="I129:K129" si="37">SUM(I122:I128)</f>
        <v>201.47306744356695</v>
      </c>
      <c r="J129" s="145">
        <f t="shared" si="37"/>
        <v>172.43989667262522</v>
      </c>
      <c r="K129" s="145">
        <f t="shared" si="37"/>
        <v>130.23610999127084</v>
      </c>
      <c r="L129" s="21"/>
      <c r="M129" s="79">
        <f t="shared" si="31"/>
        <v>-0.70666864877752178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1184.8678605253267</v>
      </c>
      <c r="I133" s="143">
        <f t="shared" ref="I133:K133" si="38">I111+I122</f>
        <v>105.99629801259429</v>
      </c>
      <c r="J133" s="143">
        <f t="shared" si="38"/>
        <v>0</v>
      </c>
      <c r="K133" s="143">
        <f t="shared" si="38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9">H112+H123</f>
        <v>2573.628699991908</v>
      </c>
      <c r="I134" s="143">
        <f t="shared" si="39"/>
        <v>1884.294021725083</v>
      </c>
      <c r="J134" s="143">
        <f t="shared" si="39"/>
        <v>1013.0573921854223</v>
      </c>
      <c r="K134" s="143">
        <f t="shared" si="39"/>
        <v>282.24567097023163</v>
      </c>
      <c r="L134" s="46"/>
      <c r="M134" s="79">
        <f t="shared" ref="M134:M140" si="40">(K134-G134)/H134</f>
        <v>0.10966837250887009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9"/>
        <v>324.73142968208481</v>
      </c>
      <c r="I135" s="143">
        <f t="shared" si="39"/>
        <v>835.2718222356342</v>
      </c>
      <c r="J135" s="143">
        <f t="shared" si="39"/>
        <v>969.91017714681072</v>
      </c>
      <c r="K135" s="143">
        <f t="shared" si="39"/>
        <v>967.26004145688296</v>
      </c>
      <c r="L135" s="46"/>
      <c r="M135" s="79">
        <f t="shared" si="40"/>
        <v>2.978646207433139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9"/>
        <v>87.743683724161997</v>
      </c>
      <c r="I136" s="143">
        <f t="shared" si="39"/>
        <v>46.780119122599473</v>
      </c>
      <c r="J136" s="143">
        <f t="shared" si="39"/>
        <v>76.463788201902332</v>
      </c>
      <c r="K136" s="143">
        <f t="shared" si="39"/>
        <v>0</v>
      </c>
      <c r="L136" s="46"/>
      <c r="M136" s="79">
        <f t="shared" si="40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9"/>
        <v>74.66951741609185</v>
      </c>
      <c r="I137" s="143">
        <f t="shared" si="39"/>
        <v>82.462930962685562</v>
      </c>
      <c r="J137" s="143">
        <f t="shared" si="39"/>
        <v>97.450628956942154</v>
      </c>
      <c r="K137" s="143">
        <f t="shared" si="39"/>
        <v>110.22657934009214</v>
      </c>
      <c r="L137" s="46"/>
      <c r="M137" s="79">
        <f t="shared" si="40"/>
        <v>1.4761924698918367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9"/>
        <v>601.96304228562485</v>
      </c>
      <c r="I138" s="143">
        <f t="shared" si="39"/>
        <v>469.50144186849332</v>
      </c>
      <c r="J138" s="143">
        <f t="shared" si="39"/>
        <v>220.25333281541876</v>
      </c>
      <c r="K138" s="143">
        <f t="shared" si="39"/>
        <v>183.80066926145898</v>
      </c>
      <c r="L138" s="46"/>
      <c r="M138" s="79">
        <f t="shared" si="40"/>
        <v>0.3053354713664424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9"/>
        <v>131.45762730537481</v>
      </c>
      <c r="I139" s="143">
        <f t="shared" si="39"/>
        <v>373.59276087108645</v>
      </c>
      <c r="J139" s="143">
        <f t="shared" si="39"/>
        <v>687.96526021956754</v>
      </c>
      <c r="K139" s="143">
        <f t="shared" si="39"/>
        <v>879.33748435120674</v>
      </c>
      <c r="L139" s="46"/>
      <c r="M139" s="79">
        <f t="shared" si="40"/>
        <v>6.6891324784716684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4979.0618609305739</v>
      </c>
      <c r="I140" s="145">
        <f t="shared" ref="I140:K140" si="41">SUM(I133:I139)</f>
        <v>3797.8993947981762</v>
      </c>
      <c r="J140" s="145">
        <f t="shared" si="41"/>
        <v>3065.1005795260635</v>
      </c>
      <c r="K140" s="145">
        <f t="shared" si="41"/>
        <v>2422.8704453798728</v>
      </c>
      <c r="L140" s="21"/>
      <c r="M140" s="79">
        <f t="shared" si="40"/>
        <v>0.48661183834479305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énergie'!C66</f>
        <v>8.566654622007622E-4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énergie'!C67</f>
        <v>0.12133733261175747</v>
      </c>
      <c r="I147" s="47">
        <v>0.11</v>
      </c>
      <c r="J147" s="47">
        <v>0.1</v>
      </c>
      <c r="K147" s="47">
        <v>0.09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énergie'!C68</f>
        <v>0.13508370055286556</v>
      </c>
      <c r="I148" s="47">
        <v>0.18</v>
      </c>
      <c r="J148" s="47">
        <f>H148+((K148-H148)/3*2)</f>
        <v>0.16502790018428851</v>
      </c>
      <c r="K148" s="47">
        <v>0.18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énergie'!C69</f>
        <v>2.0851083900283521E-2</v>
      </c>
      <c r="I149" s="47">
        <f t="shared" ref="I149" si="42">H149</f>
        <v>2.0851083900283521E-2</v>
      </c>
      <c r="J149" s="47">
        <v>0.01</v>
      </c>
      <c r="K149" s="47"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énergie'!C70</f>
        <v>2.1412462228474215E-2</v>
      </c>
      <c r="I150" s="47">
        <v>0.02</v>
      </c>
      <c r="J150" s="47">
        <v>0.02</v>
      </c>
      <c r="K150" s="47">
        <v>0.02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énergie'!C71</f>
        <v>0.23233774569965782</v>
      </c>
      <c r="I151" s="47">
        <f>1-I146-I147-I148-I149-I150-I152</f>
        <v>0.11914891609971634</v>
      </c>
      <c r="J151" s="47">
        <f t="shared" ref="J151:K151" si="43">1-J146-J147-J148-J149-J150-J152</f>
        <v>0.10497209981571154</v>
      </c>
      <c r="K151" s="47">
        <f t="shared" si="43"/>
        <v>0.10999999999999999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énergie'!C72</f>
        <v>0.46812100954476071</v>
      </c>
      <c r="I152" s="47">
        <v>0.55000000000000004</v>
      </c>
      <c r="J152" s="47">
        <v>0.6</v>
      </c>
      <c r="K152" s="47">
        <v>0.6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4">SUM(I146:I152)</f>
        <v>0.99999999999999989</v>
      </c>
      <c r="J153" s="15">
        <f t="shared" si="44"/>
        <v>1</v>
      </c>
      <c r="K153" s="15">
        <f t="shared" si="44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108.63643859182953</v>
      </c>
      <c r="J157" s="45">
        <f>K157</f>
        <v>108.63643859182953</v>
      </c>
      <c r="K157" s="45">
        <f t="shared" ref="K157:K163" si="45">K81</f>
        <v>108.63643859182953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6">J158</f>
        <v>109.30057281958682</v>
      </c>
      <c r="J158" s="45">
        <f t="shared" si="46"/>
        <v>109.30057281958682</v>
      </c>
      <c r="K158" s="45">
        <f t="shared" si="45"/>
        <v>109.30057281958682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6"/>
        <v>85.238707038381648</v>
      </c>
      <c r="J159" s="45">
        <f t="shared" si="46"/>
        <v>85.238707038381648</v>
      </c>
      <c r="K159" s="45">
        <f t="shared" si="45"/>
        <v>85.238707038381648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6"/>
        <v>83.998428348796807</v>
      </c>
      <c r="J160" s="45">
        <f t="shared" si="46"/>
        <v>83.998428348796807</v>
      </c>
      <c r="K160" s="45">
        <f t="shared" si="45"/>
        <v>83.998428348796807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6"/>
        <v>86.799960422996094</v>
      </c>
      <c r="J161" s="45">
        <f t="shared" si="46"/>
        <v>86.799960422996094</v>
      </c>
      <c r="K161" s="45">
        <f t="shared" si="45"/>
        <v>86.799960422996094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6"/>
        <v>49.142567931289292</v>
      </c>
      <c r="J162" s="45">
        <f t="shared" si="46"/>
        <v>49.142567931289292</v>
      </c>
      <c r="K162" s="45">
        <f t="shared" si="45"/>
        <v>49.142567931289292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6"/>
        <v>38.374424466757119</v>
      </c>
      <c r="J163" s="45">
        <f t="shared" si="46"/>
        <v>38.374424466757119</v>
      </c>
      <c r="K163" s="45">
        <f t="shared" si="45"/>
        <v>38.374424466757119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7">I$35*I146*I157/1000</f>
        <v>0</v>
      </c>
      <c r="J167" s="10">
        <f t="shared" si="47"/>
        <v>0</v>
      </c>
      <c r="K167" s="10">
        <f t="shared" si="47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8">H$35*H147*H158/1000</f>
        <v>0</v>
      </c>
      <c r="I168" s="10">
        <f t="shared" si="48"/>
        <v>29.935704688706608</v>
      </c>
      <c r="J168" s="10">
        <f t="shared" si="48"/>
        <v>18.403921428696137</v>
      </c>
      <c r="K168" s="10">
        <f t="shared" si="48"/>
        <v>11.196659678714312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8"/>
        <v>0</v>
      </c>
      <c r="I169" s="10">
        <f t="shared" si="48"/>
        <v>38.20179073857873</v>
      </c>
      <c r="J169" s="10">
        <f t="shared" si="48"/>
        <v>23.685478322498764</v>
      </c>
      <c r="K169" s="10">
        <f t="shared" si="48"/>
        <v>17.463564362791001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8"/>
        <v>0</v>
      </c>
      <c r="I170" s="10">
        <f t="shared" si="48"/>
        <v>4.3608802274729879</v>
      </c>
      <c r="J170" s="10">
        <f t="shared" si="48"/>
        <v>1.4143571580515919</v>
      </c>
      <c r="K170" s="10">
        <f t="shared" si="48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8"/>
        <v>0</v>
      </c>
      <c r="I171" s="10">
        <f t="shared" si="48"/>
        <v>4.3223893612129229</v>
      </c>
      <c r="J171" s="10">
        <f t="shared" si="48"/>
        <v>2.923058151352135</v>
      </c>
      <c r="K171" s="10">
        <f t="shared" si="48"/>
        <v>1.9759368173899714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8"/>
        <v>0</v>
      </c>
      <c r="I172" s="10">
        <f t="shared" si="48"/>
        <v>14.578817699336131</v>
      </c>
      <c r="J172" s="10">
        <f t="shared" si="48"/>
        <v>8.6859967770724396</v>
      </c>
      <c r="K172" s="10">
        <f t="shared" si="48"/>
        <v>6.1528179093429811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8"/>
        <v>0</v>
      </c>
      <c r="I173" s="10">
        <f t="shared" si="48"/>
        <v>52.550751052882795</v>
      </c>
      <c r="J173" s="10">
        <f t="shared" si="48"/>
        <v>38.768683889151959</v>
      </c>
      <c r="K173" s="10">
        <f t="shared" si="48"/>
        <v>26.206960618588251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9">SUM(I167:I173)</f>
        <v>143.95033376819018</v>
      </c>
      <c r="J174" s="11">
        <f t="shared" si="49"/>
        <v>93.881495726823033</v>
      </c>
      <c r="K174" s="11">
        <f t="shared" si="49"/>
        <v>62.995939386826521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0">H$36*($H$73*H45+(1-$H$73)*H59)+H$35*H146</f>
        <v>8195.6624262282912</v>
      </c>
      <c r="I181" s="10">
        <f t="shared" si="50"/>
        <v>814.54849011697502</v>
      </c>
      <c r="J181" s="10">
        <f t="shared" si="50"/>
        <v>0</v>
      </c>
      <c r="K181" s="10">
        <f t="shared" si="50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0"/>
        <v>17143.987728334687</v>
      </c>
      <c r="I182" s="10">
        <f t="shared" si="50"/>
        <v>14634.374124151542</v>
      </c>
      <c r="J182" s="10">
        <f t="shared" si="50"/>
        <v>8797.5735525121036</v>
      </c>
      <c r="K182" s="10">
        <f t="shared" si="50"/>
        <v>2667.1524903457039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0"/>
        <v>2592.5054613579287</v>
      </c>
      <c r="I183" s="10">
        <f t="shared" si="50"/>
        <v>8573.2954053719986</v>
      </c>
      <c r="J183" s="10">
        <f t="shared" si="50"/>
        <v>10801.280320014988</v>
      </c>
      <c r="K183" s="10">
        <f t="shared" si="50"/>
        <v>11402.041378820873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0"/>
        <v>710.84827166265791</v>
      </c>
      <c r="I184" s="10">
        <f t="shared" si="50"/>
        <v>513.4936898954561</v>
      </c>
      <c r="J184" s="10">
        <f t="shared" si="50"/>
        <v>858.71053927567505</v>
      </c>
      <c r="K184" s="10">
        <f t="shared" si="50"/>
        <v>0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0"/>
        <v>585.40445901630642</v>
      </c>
      <c r="I185" s="10">
        <f t="shared" si="50"/>
        <v>837.19400894142848</v>
      </c>
      <c r="J185" s="10">
        <f t="shared" si="50"/>
        <v>1071.9853886349313</v>
      </c>
      <c r="K185" s="10">
        <f t="shared" si="50"/>
        <v>1273.8439291451937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0"/>
        <v>9868.2465948463087</v>
      </c>
      <c r="I186" s="10">
        <f t="shared" si="50"/>
        <v>8309.1057150866054</v>
      </c>
      <c r="J186" s="10">
        <f t="shared" si="50"/>
        <v>4386.1141697247895</v>
      </c>
      <c r="K186" s="10">
        <f t="shared" si="50"/>
        <v>3878.4424360050266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0"/>
        <v>2759.7638782197305</v>
      </c>
      <c r="I187" s="10">
        <f t="shared" si="50"/>
        <v>9535.2698303690377</v>
      </c>
      <c r="J187" s="10">
        <f t="shared" si="50"/>
        <v>17847.726795683873</v>
      </c>
      <c r="K187" s="10">
        <f t="shared" si="50"/>
        <v>23681.942377805168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41856.418819665909</v>
      </c>
      <c r="I188" s="10">
        <f t="shared" ref="I188:K188" si="51">SUM(I181:I187)</f>
        <v>43217.281263933037</v>
      </c>
      <c r="J188" s="10">
        <f t="shared" si="51"/>
        <v>43763.390765846358</v>
      </c>
      <c r="K188" s="10">
        <f t="shared" si="51"/>
        <v>42903.422612121969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S132"/>
  <sheetViews>
    <sheetView topLeftCell="A70" zoomScale="115" zoomScaleNormal="115" workbookViewId="0">
      <selection activeCell="L83" sqref="L83"/>
    </sheetView>
  </sheetViews>
  <sheetFormatPr baseColWidth="10" defaultRowHeight="15"/>
  <cols>
    <col min="2" max="2" width="15.140625" customWidth="1"/>
    <col min="3" max="3" width="16" bestFit="1" customWidth="1"/>
  </cols>
  <sheetData>
    <row r="1" spans="1:13" ht="18.75">
      <c r="A1" s="497" t="s">
        <v>188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</row>
    <row r="3" spans="1:13">
      <c r="C3" s="478" t="s">
        <v>60</v>
      </c>
      <c r="D3" s="479"/>
      <c r="E3" s="479"/>
      <c r="F3" s="479"/>
      <c r="G3" s="479"/>
      <c r="H3" s="480"/>
    </row>
    <row r="4" spans="1:13">
      <c r="D4" s="9"/>
      <c r="E4" s="9">
        <v>2020</v>
      </c>
      <c r="F4" s="9">
        <v>2030</v>
      </c>
      <c r="G4" s="9">
        <v>2040</v>
      </c>
      <c r="H4" s="9">
        <v>2050</v>
      </c>
    </row>
    <row r="5" spans="1:13">
      <c r="C5" s="8" t="s">
        <v>175</v>
      </c>
      <c r="D5" s="222"/>
      <c r="E5" s="225">
        <f>SUM(E6:E11)</f>
        <v>151.85523907705075</v>
      </c>
      <c r="F5" s="225">
        <f>SUM(F6:F11)</f>
        <v>130.30586626704002</v>
      </c>
      <c r="G5" s="225">
        <f t="shared" ref="G5:H5" si="0">SUM(G6:G11)</f>
        <v>123.68166990754719</v>
      </c>
      <c r="H5" s="225">
        <f t="shared" si="0"/>
        <v>120.62619991206576</v>
      </c>
    </row>
    <row r="6" spans="1:13">
      <c r="C6" s="124" t="s">
        <v>176</v>
      </c>
      <c r="D6" s="86"/>
      <c r="E6" s="222">
        <f>D36+D63+C87+D113+C132</f>
        <v>128.0799834956872</v>
      </c>
      <c r="F6" s="222">
        <f>D38+D65+E87+E113+E132</f>
        <v>116.01478099460195</v>
      </c>
      <c r="G6" s="222">
        <f>D40+D67+G87+F113+G132</f>
        <v>114.74190528015946</v>
      </c>
      <c r="H6" s="222">
        <f>D42+D69+I87+G113+I132</f>
        <v>115.50724789704485</v>
      </c>
    </row>
    <row r="7" spans="1:13">
      <c r="C7" s="124" t="s">
        <v>76</v>
      </c>
      <c r="D7" s="86"/>
      <c r="E7" s="222">
        <f>E36+E63</f>
        <v>17.051351069612235</v>
      </c>
      <c r="F7" s="222">
        <f>E38+E65</f>
        <v>9.769948142171323</v>
      </c>
      <c r="G7" s="222">
        <f>E40+E67</f>
        <v>4.7890413418723874</v>
      </c>
      <c r="H7" s="222">
        <f>E42+E69</f>
        <v>1.396019690987415</v>
      </c>
    </row>
    <row r="8" spans="1:13">
      <c r="C8" s="124" t="s">
        <v>177</v>
      </c>
      <c r="D8" s="86"/>
      <c r="E8" s="222">
        <f>G36+G63</f>
        <v>4.9587960253733012</v>
      </c>
      <c r="F8" s="222">
        <f>G38+G65</f>
        <v>0.24452002293735911</v>
      </c>
      <c r="G8" s="222">
        <f>G40+G67</f>
        <v>0</v>
      </c>
      <c r="H8" s="222">
        <f>G42+G69</f>
        <v>0</v>
      </c>
    </row>
    <row r="9" spans="1:13">
      <c r="C9" s="124" t="s">
        <v>133</v>
      </c>
      <c r="D9" s="10"/>
      <c r="E9" s="223">
        <f>H36+H63</f>
        <v>0.2146153499104517</v>
      </c>
      <c r="F9" s="222">
        <f>H38+H65</f>
        <v>0.66301904787483434</v>
      </c>
      <c r="G9" s="222">
        <f>H40+H67</f>
        <v>0.53348745170182088</v>
      </c>
      <c r="H9" s="222">
        <f>H42+H69</f>
        <v>0.43608334641640845</v>
      </c>
    </row>
    <row r="10" spans="1:13">
      <c r="C10" s="124" t="s">
        <v>178</v>
      </c>
      <c r="D10" s="10"/>
      <c r="E10" s="223">
        <f>I36</f>
        <v>1.5504931364675845</v>
      </c>
      <c r="F10" s="222">
        <f>I38</f>
        <v>3.5112270385742157</v>
      </c>
      <c r="G10" s="222">
        <f>I40</f>
        <v>3.4361166994956225</v>
      </c>
      <c r="H10" s="222">
        <f>I42</f>
        <v>3.0573919854415244</v>
      </c>
    </row>
    <row r="11" spans="1:13">
      <c r="C11" s="124" t="s">
        <v>201</v>
      </c>
      <c r="D11" s="222"/>
      <c r="E11" s="222">
        <f>J36</f>
        <v>0</v>
      </c>
      <c r="F11" s="222">
        <f>J38</f>
        <v>0.10237102088032506</v>
      </c>
      <c r="G11" s="222">
        <f>J40</f>
        <v>0.18111913431789947</v>
      </c>
      <c r="H11" s="222">
        <f>J42</f>
        <v>0.22945699217555426</v>
      </c>
    </row>
    <row r="12" spans="1:13">
      <c r="E12" s="233"/>
    </row>
    <row r="13" spans="1:13">
      <c r="C13" s="478" t="s">
        <v>98</v>
      </c>
      <c r="D13" s="479"/>
      <c r="E13" s="479"/>
      <c r="F13" s="479"/>
      <c r="G13" s="479"/>
      <c r="H13" s="480"/>
    </row>
    <row r="14" spans="1:13">
      <c r="C14" s="8" t="s">
        <v>179</v>
      </c>
      <c r="D14" s="224"/>
      <c r="E14" s="224">
        <f>E5/$E5-1</f>
        <v>0</v>
      </c>
      <c r="F14" s="224">
        <f t="shared" ref="F14:H14" si="1">F5/$E5-1</f>
        <v>-0.14190733846908421</v>
      </c>
      <c r="G14" s="224">
        <f t="shared" si="1"/>
        <v>-0.18552912195020421</v>
      </c>
      <c r="H14" s="248">
        <f t="shared" si="1"/>
        <v>-0.20565006090530402</v>
      </c>
    </row>
    <row r="16" spans="1:13" ht="57">
      <c r="C16" s="90"/>
      <c r="D16" s="246" t="s">
        <v>205</v>
      </c>
      <c r="E16" s="247" t="s">
        <v>83</v>
      </c>
      <c r="F16" s="247" t="s">
        <v>35</v>
      </c>
      <c r="G16" s="393" t="s">
        <v>342</v>
      </c>
      <c r="H16" s="393" t="s">
        <v>343</v>
      </c>
      <c r="I16" s="393" t="s">
        <v>344</v>
      </c>
    </row>
    <row r="17" spans="2:19">
      <c r="C17" s="84" t="s">
        <v>23</v>
      </c>
      <c r="D17" s="55">
        <f>'Tableau de bord'!M13</f>
        <v>0.94164860725856581</v>
      </c>
      <c r="E17" s="92">
        <f>'Tableau de bord'!M25</f>
        <v>0.92482203671704166</v>
      </c>
      <c r="F17" s="92">
        <f>'Tableau de bord'!M28</f>
        <v>0.87187345624743762</v>
      </c>
      <c r="G17" s="92">
        <f>'Tableau de bord'!F37*('Tableau de bord'!E6/'Tableau de bord'!M6)+'Tableau de bord'!F41*('Tableau de bord'!M6-'Tableau de bord'!E6)/'Tableau de bord'!M6</f>
        <v>0.34297489765989558</v>
      </c>
      <c r="H17" s="92">
        <f>'Tableau de bord'!P33</f>
        <v>0.5</v>
      </c>
      <c r="I17" s="92">
        <f>'Tableau de bord'!AE33</f>
        <v>0.6</v>
      </c>
    </row>
    <row r="18" spans="2:19" ht="15.75" thickBot="1"/>
    <row r="19" spans="2:19">
      <c r="B19" s="505" t="s">
        <v>121</v>
      </c>
      <c r="C19" s="506"/>
      <c r="D19" s="506"/>
      <c r="E19" s="506"/>
      <c r="F19" s="506"/>
      <c r="G19" s="506"/>
      <c r="H19" s="506"/>
      <c r="I19" s="506"/>
      <c r="J19" s="506"/>
      <c r="K19" s="506"/>
      <c r="L19" s="507"/>
    </row>
    <row r="21" spans="2:19">
      <c r="C21" s="188">
        <v>2010</v>
      </c>
      <c r="D21" s="188">
        <v>2020</v>
      </c>
      <c r="E21" s="188">
        <f t="shared" ref="E21:J21" si="2">D21+5</f>
        <v>2025</v>
      </c>
      <c r="F21" s="188">
        <f t="shared" si="2"/>
        <v>2030</v>
      </c>
      <c r="G21" s="188">
        <f t="shared" si="2"/>
        <v>2035</v>
      </c>
      <c r="H21" s="188">
        <f t="shared" si="2"/>
        <v>2040</v>
      </c>
      <c r="I21" s="188">
        <f t="shared" si="2"/>
        <v>2045</v>
      </c>
      <c r="J21" s="188">
        <f t="shared" si="2"/>
        <v>2050</v>
      </c>
    </row>
    <row r="22" spans="2:19">
      <c r="B22" s="188" t="s">
        <v>126</v>
      </c>
      <c r="C22" s="189">
        <f>D22/'Init. énergie'!J$95^10</f>
        <v>27.135529659325233</v>
      </c>
      <c r="D22" s="189">
        <f>1000*D25/D23</f>
        <v>24.157052121600081</v>
      </c>
      <c r="E22" s="189">
        <f>(D22+F22)/2</f>
        <v>21.58911254808492</v>
      </c>
      <c r="F22" s="189">
        <f>$C22*(1-$F$17*G17)</f>
        <v>19.021172974569762</v>
      </c>
      <c r="G22" s="189">
        <f>(F22+H22)/2</f>
        <v>17.16366430915231</v>
      </c>
      <c r="H22" s="189">
        <f>$C22*(1-$F$17*H17)</f>
        <v>15.306155643734861</v>
      </c>
      <c r="I22" s="189">
        <f>(H22+J22)/2</f>
        <v>14.123218242175824</v>
      </c>
      <c r="J22" s="189">
        <f>$C22*(1-$F$17*I17)</f>
        <v>12.940280840616786</v>
      </c>
      <c r="L22" s="235" t="s">
        <v>206</v>
      </c>
    </row>
    <row r="23" spans="2:19" ht="15.75">
      <c r="B23" s="190" t="s">
        <v>127</v>
      </c>
      <c r="C23" s="276"/>
      <c r="D23" s="276">
        <f>'Init. parc'!C28/1000</f>
        <v>983.4370555157949</v>
      </c>
      <c r="E23" s="191">
        <f>(D23+F23)/2</f>
        <v>990.62586747057821</v>
      </c>
      <c r="F23" s="191">
        <f>'Init. parc'!D28/1000</f>
        <v>997.81467942536165</v>
      </c>
      <c r="G23" s="191">
        <f>(F23+H23)/2</f>
        <v>997.77949713083387</v>
      </c>
      <c r="H23" s="191">
        <f>'Init. parc'!E28/1000</f>
        <v>997.7443148363061</v>
      </c>
      <c r="I23" s="191">
        <f>(H23+J23)/2</f>
        <v>981.21627065781604</v>
      </c>
      <c r="J23" s="191">
        <f>'Init. parc'!F28/1000</f>
        <v>964.68822647932586</v>
      </c>
      <c r="K23" s="192"/>
    </row>
    <row r="25" spans="2:19">
      <c r="B25" s="193" t="s">
        <v>128</v>
      </c>
      <c r="C25" s="274"/>
      <c r="D25" s="274">
        <f>'Init. énergie'!C113</f>
        <v>23.756940208407972</v>
      </c>
      <c r="E25" s="194">
        <f t="shared" ref="E25:J25" si="3">E23*E22/1000</f>
        <v>21.386733345866567</v>
      </c>
      <c r="F25" s="194">
        <f t="shared" si="3"/>
        <v>18.979605613914678</v>
      </c>
      <c r="G25" s="194">
        <f t="shared" si="3"/>
        <v>17.125552343308435</v>
      </c>
      <c r="H25" s="194">
        <f t="shared" si="3"/>
        <v>15.2716297755361</v>
      </c>
      <c r="I25" s="194">
        <f t="shared" si="3"/>
        <v>13.857931533274199</v>
      </c>
      <c r="J25" s="194">
        <f t="shared" si="3"/>
        <v>12.483336574279008</v>
      </c>
    </row>
    <row r="27" spans="2:19">
      <c r="B27" s="188"/>
      <c r="C27" s="195" t="s">
        <v>19</v>
      </c>
      <c r="D27" s="188" t="s">
        <v>129</v>
      </c>
      <c r="E27" s="188" t="s">
        <v>76</v>
      </c>
      <c r="F27" s="188" t="s">
        <v>131</v>
      </c>
      <c r="G27" s="188" t="s">
        <v>132</v>
      </c>
      <c r="H27" s="188" t="s">
        <v>133</v>
      </c>
      <c r="I27" s="188" t="s">
        <v>134</v>
      </c>
      <c r="J27" s="188" t="s">
        <v>189</v>
      </c>
      <c r="O27" s="8" t="s">
        <v>278</v>
      </c>
      <c r="P27" s="9">
        <v>2020</v>
      </c>
      <c r="Q27" s="9">
        <v>2030</v>
      </c>
      <c r="R27" s="9">
        <v>2040</v>
      </c>
      <c r="S27" s="9">
        <v>2050</v>
      </c>
    </row>
    <row r="28" spans="2:19">
      <c r="B28" s="524" t="s">
        <v>135</v>
      </c>
      <c r="C28" s="196">
        <v>2020</v>
      </c>
      <c r="D28" s="275">
        <v>0.30436996905591907</v>
      </c>
      <c r="E28" s="275">
        <v>0.4755949508570973</v>
      </c>
      <c r="F28" s="275"/>
      <c r="G28" s="275">
        <v>0.14872764446813611</v>
      </c>
      <c r="H28" s="275">
        <v>6.0425857322091549E-3</v>
      </c>
      <c r="I28" s="275">
        <v>6.5264849886638152E-2</v>
      </c>
      <c r="J28" s="275">
        <v>0</v>
      </c>
      <c r="L28" s="299">
        <f t="shared" ref="L28:L34" si="4">SUM(D28:J28)</f>
        <v>0.99999999999999978</v>
      </c>
      <c r="O28" s="124" t="s">
        <v>15</v>
      </c>
      <c r="P28" s="107">
        <f>Résultats!Y155</f>
        <v>141901.09343289433</v>
      </c>
      <c r="Q28" s="107">
        <f>Résultats!Z155</f>
        <v>12854.882597958662</v>
      </c>
      <c r="R28" s="107">
        <f>Résultats!AA155</f>
        <v>0</v>
      </c>
      <c r="S28" s="107">
        <f>Résultats!AB155</f>
        <v>0</v>
      </c>
    </row>
    <row r="29" spans="2:19">
      <c r="B29" s="524"/>
      <c r="C29" s="188">
        <f t="shared" ref="C29:C34" si="5">C28+5</f>
        <v>2025</v>
      </c>
      <c r="D29" s="197">
        <f>(D28+D30)/2</f>
        <v>0.3472316044722914</v>
      </c>
      <c r="E29" s="197">
        <f t="shared" ref="E29:J29" si="6">(E28+E30)/2</f>
        <v>0.42611233461939524</v>
      </c>
      <c r="F29" s="197">
        <f t="shared" si="6"/>
        <v>0</v>
      </c>
      <c r="G29" s="197">
        <f t="shared" si="6"/>
        <v>8.0805474076351122E-2</v>
      </c>
      <c r="H29" s="197">
        <f t="shared" si="6"/>
        <v>1.8021292866104578E-2</v>
      </c>
      <c r="I29" s="197">
        <f t="shared" si="6"/>
        <v>0.12513242494331908</v>
      </c>
      <c r="J29" s="407">
        <f t="shared" si="6"/>
        <v>2.6968690225384062E-3</v>
      </c>
      <c r="L29" s="299">
        <f t="shared" si="4"/>
        <v>0.99999999999999978</v>
      </c>
      <c r="O29" s="124" t="s">
        <v>16</v>
      </c>
      <c r="P29" s="107">
        <f>Résultats!Y156</f>
        <v>454344.37842089933</v>
      </c>
      <c r="Q29" s="107">
        <f>Résultats!Z156</f>
        <v>375798.85805990337</v>
      </c>
      <c r="R29" s="107">
        <f>Résultats!AA156</f>
        <v>221612.02081877773</v>
      </c>
      <c r="S29" s="107">
        <f>Résultats!AB156</f>
        <v>65081.484843831073</v>
      </c>
    </row>
    <row r="30" spans="2:19">
      <c r="B30" s="524"/>
      <c r="C30" s="188">
        <f t="shared" si="5"/>
        <v>2030</v>
      </c>
      <c r="D30" s="197">
        <f>Q46</f>
        <v>0.39009323988866368</v>
      </c>
      <c r="E30" s="197">
        <f>Q40</f>
        <v>0.37662971838169323</v>
      </c>
      <c r="F30" s="197"/>
      <c r="G30" s="197">
        <f>Q39</f>
        <v>1.2883303684566137E-2</v>
      </c>
      <c r="H30" s="197">
        <v>0.03</v>
      </c>
      <c r="I30" s="197">
        <v>0.185</v>
      </c>
      <c r="J30" s="407">
        <f>100%-SUM(D30:I30)</f>
        <v>5.3937380450768124E-3</v>
      </c>
      <c r="L30" s="299">
        <f t="shared" si="4"/>
        <v>1</v>
      </c>
      <c r="O30" s="124" t="s">
        <v>21</v>
      </c>
      <c r="P30" s="107">
        <f>Résultats!Y157</f>
        <v>71441.245547844053</v>
      </c>
      <c r="Q30" s="107">
        <f>Résultats!Z157</f>
        <v>187778.06218926172</v>
      </c>
      <c r="R30" s="107">
        <f>Résultats!AA157</f>
        <v>227415.30910128169</v>
      </c>
      <c r="S30" s="107">
        <f>Résultats!AB157</f>
        <v>236382.27092098337</v>
      </c>
    </row>
    <row r="31" spans="2:19">
      <c r="B31" s="524"/>
      <c r="C31" s="188">
        <f t="shared" si="5"/>
        <v>2035</v>
      </c>
      <c r="D31" s="197">
        <f>(D30+D32)/2</f>
        <v>0.45045377531362218</v>
      </c>
      <c r="E31" s="197">
        <f t="shared" ref="E31" si="7">(E30+E32)/2</f>
        <v>0.29947778222903448</v>
      </c>
      <c r="F31" s="197">
        <f t="shared" ref="F31" si="8">(F30+F32)/2</f>
        <v>0</v>
      </c>
      <c r="G31" s="197">
        <f t="shared" ref="G31" si="9">(G30+G32)/2</f>
        <v>6.4416518422830684E-3</v>
      </c>
      <c r="H31" s="197">
        <f t="shared" ref="H31" si="10">(H30+H32)/2</f>
        <v>0.03</v>
      </c>
      <c r="I31" s="197">
        <f t="shared" ref="I31" si="11">(I30+I32)/2</f>
        <v>0.20500000000000002</v>
      </c>
      <c r="J31" s="407">
        <f t="shared" ref="J31" si="12">(J30+J32)/2</f>
        <v>8.6267906150601648E-3</v>
      </c>
      <c r="L31" s="299">
        <f t="shared" si="4"/>
        <v>0.99999999999999978</v>
      </c>
      <c r="O31" s="124" t="s">
        <v>22</v>
      </c>
      <c r="P31" s="107">
        <f>Résultats!Y158</f>
        <v>14072.698497935504</v>
      </c>
      <c r="Q31" s="107">
        <f>Résultats!Z158</f>
        <v>10239.909292832006</v>
      </c>
      <c r="R31" s="107">
        <f>Résultats!AA158</f>
        <v>6168.4832918836091</v>
      </c>
      <c r="S31" s="107">
        <f>Résultats!AB158</f>
        <v>723.61470960254644</v>
      </c>
    </row>
    <row r="32" spans="2:19">
      <c r="B32" s="524"/>
      <c r="C32" s="188">
        <f t="shared" si="5"/>
        <v>2040</v>
      </c>
      <c r="D32" s="197">
        <f>R46</f>
        <v>0.51081431073858075</v>
      </c>
      <c r="E32" s="197">
        <f>R40</f>
        <v>0.22232584607637576</v>
      </c>
      <c r="F32" s="197"/>
      <c r="G32" s="197">
        <v>0</v>
      </c>
      <c r="H32" s="197">
        <v>0.03</v>
      </c>
      <c r="I32" s="197">
        <v>0.22500000000000001</v>
      </c>
      <c r="J32" s="407">
        <f t="shared" ref="J32:J34" si="13">100%-SUM(D32:I32)</f>
        <v>1.1859843185043517E-2</v>
      </c>
      <c r="L32" s="299">
        <f t="shared" si="4"/>
        <v>1</v>
      </c>
      <c r="O32" s="124" t="s">
        <v>42</v>
      </c>
      <c r="P32" s="107">
        <f>Résultats!Y159</f>
        <v>12713.837338469146</v>
      </c>
      <c r="Q32" s="107">
        <f>Résultats!Z159</f>
        <v>21889.569103846479</v>
      </c>
      <c r="R32" s="107">
        <f>Résultats!AA159</f>
        <v>32419.239495909082</v>
      </c>
      <c r="S32" s="107">
        <f>Résultats!AB159</f>
        <v>45971.32954744211</v>
      </c>
    </row>
    <row r="33" spans="2:19">
      <c r="B33" s="524"/>
      <c r="C33" s="188">
        <f t="shared" si="5"/>
        <v>2045</v>
      </c>
      <c r="D33" s="197">
        <f>(D32+D34)/2</f>
        <v>0.5750419342464832</v>
      </c>
      <c r="E33" s="197">
        <f t="shared" ref="E33" si="14">(E32+E34)/2</f>
        <v>0.14487868657970276</v>
      </c>
      <c r="F33" s="197">
        <f t="shared" ref="F33" si="15">(F32+F34)/2</f>
        <v>0</v>
      </c>
      <c r="G33" s="197">
        <f t="shared" ref="G33" si="16">(G32+G34)/2</f>
        <v>0</v>
      </c>
      <c r="H33" s="197">
        <f t="shared" ref="H33" si="17">(H32+H34)/2</f>
        <v>0.03</v>
      </c>
      <c r="I33" s="197">
        <f t="shared" ref="I33" si="18">(I32+I34)/2</f>
        <v>0.23495892623535661</v>
      </c>
      <c r="J33" s="407">
        <f t="shared" ref="J33" si="19">(J32+J34)/2</f>
        <v>1.5120452938457485E-2</v>
      </c>
      <c r="L33" s="299">
        <f t="shared" si="4"/>
        <v>1</v>
      </c>
      <c r="O33" s="124" t="s">
        <v>46</v>
      </c>
      <c r="P33" s="107">
        <f>Résultats!Y160</f>
        <v>230136.8893728843</v>
      </c>
      <c r="Q33" s="107">
        <f>Résultats!Z160</f>
        <v>154514.92716328381</v>
      </c>
      <c r="R33" s="107">
        <f>Résultats!AA160</f>
        <v>108953.71079058354</v>
      </c>
      <c r="S33" s="107">
        <f>Résultats!AB160</f>
        <v>101367.12962952405</v>
      </c>
    </row>
    <row r="34" spans="2:19">
      <c r="B34" s="524"/>
      <c r="C34" s="188">
        <f t="shared" si="5"/>
        <v>2050</v>
      </c>
      <c r="D34" s="197">
        <f>S46</f>
        <v>0.63926955775438554</v>
      </c>
      <c r="E34" s="197">
        <f>S40</f>
        <v>6.7431527083029796E-2</v>
      </c>
      <c r="F34" s="197"/>
      <c r="G34" s="197">
        <v>0</v>
      </c>
      <c r="H34" s="197">
        <v>0.03</v>
      </c>
      <c r="I34" s="197">
        <f>S41</f>
        <v>0.24491785247071321</v>
      </c>
      <c r="J34" s="407">
        <f t="shared" si="13"/>
        <v>1.8381062691871453E-2</v>
      </c>
      <c r="L34" s="299">
        <f t="shared" si="4"/>
        <v>1</v>
      </c>
      <c r="O34" s="124" t="s">
        <v>47</v>
      </c>
      <c r="P34" s="107">
        <f>Résultats!Y161</f>
        <v>58665.760521050746</v>
      </c>
      <c r="Q34" s="107">
        <f>Résultats!Z161</f>
        <v>234717.75133310686</v>
      </c>
      <c r="R34" s="107">
        <f>Résultats!AA161</f>
        <v>400220.52002304565</v>
      </c>
      <c r="S34" s="107">
        <f>Résultats!AB161</f>
        <v>515623.3766493274</v>
      </c>
    </row>
    <row r="35" spans="2:19">
      <c r="J35" t="s">
        <v>401</v>
      </c>
      <c r="P35" s="107">
        <f>Résultats!Y162</f>
        <v>0</v>
      </c>
      <c r="Q35" s="107">
        <f>Résultats!Z162</f>
        <v>0</v>
      </c>
      <c r="R35" s="107">
        <f>Résultats!AA162</f>
        <v>0</v>
      </c>
      <c r="S35" s="107">
        <f>Résultats!AB162</f>
        <v>0</v>
      </c>
    </row>
    <row r="36" spans="2:19" ht="14.45" customHeight="1">
      <c r="B36" s="524" t="s">
        <v>136</v>
      </c>
      <c r="C36" s="196">
        <v>2020</v>
      </c>
      <c r="D36" s="198">
        <f t="shared" ref="D36:J36" si="20">$D25*D28</f>
        <v>7.230899156096454</v>
      </c>
      <c r="E36" s="198">
        <f t="shared" si="20"/>
        <v>11.298680810932789</v>
      </c>
      <c r="F36" s="198">
        <f t="shared" si="20"/>
        <v>0</v>
      </c>
      <c r="G36" s="198">
        <f t="shared" si="20"/>
        <v>3.533313756966868</v>
      </c>
      <c r="H36" s="198">
        <f t="shared" si="20"/>
        <v>0.14355334794427199</v>
      </c>
      <c r="I36" s="198">
        <f t="shared" si="20"/>
        <v>1.5504931364675845</v>
      </c>
      <c r="J36" s="198">
        <f t="shared" si="20"/>
        <v>0</v>
      </c>
      <c r="O36" s="12" t="s">
        <v>17</v>
      </c>
      <c r="P36" s="107">
        <f>Résultats!Y163</f>
        <v>983275.90313197742</v>
      </c>
      <c r="Q36" s="107">
        <f>Résultats!Z163</f>
        <v>997793.95974019286</v>
      </c>
      <c r="R36" s="107">
        <f>Résultats!AA163</f>
        <v>996789.28352148132</v>
      </c>
      <c r="S36" s="107">
        <f>Résultats!AB163</f>
        <v>965149.20630071056</v>
      </c>
    </row>
    <row r="37" spans="2:19">
      <c r="B37" s="524"/>
      <c r="C37" s="188">
        <f t="shared" ref="C37:C42" si="21">C36+5</f>
        <v>2025</v>
      </c>
      <c r="D37" s="198">
        <f t="shared" ref="D37:J37" si="22">$E25*D29</f>
        <v>7.4261497341063052</v>
      </c>
      <c r="E37" s="198">
        <f t="shared" si="22"/>
        <v>9.1131508758896729</v>
      </c>
      <c r="F37" s="198">
        <f t="shared" si="22"/>
        <v>0</v>
      </c>
      <c r="G37" s="198">
        <f t="shared" si="22"/>
        <v>1.7281651269572549</v>
      </c>
      <c r="H37" s="198">
        <f t="shared" si="22"/>
        <v>0.38541658507514603</v>
      </c>
      <c r="I37" s="198">
        <f t="shared" si="22"/>
        <v>2.6761738051844275</v>
      </c>
      <c r="J37" s="198">
        <f t="shared" si="22"/>
        <v>5.7677218653756704E-2</v>
      </c>
    </row>
    <row r="38" spans="2:19">
      <c r="B38" s="524"/>
      <c r="C38" s="188">
        <f t="shared" si="21"/>
        <v>2030</v>
      </c>
      <c r="D38" s="198">
        <f t="shared" ref="D38:J38" si="23">$F25*D30</f>
        <v>7.4038158457410468</v>
      </c>
      <c r="E38" s="198">
        <f t="shared" si="23"/>
        <v>7.1482835173642894</v>
      </c>
      <c r="F38" s="198">
        <f t="shared" si="23"/>
        <v>0</v>
      </c>
      <c r="G38" s="198">
        <f t="shared" si="23"/>
        <v>0.24452002293735911</v>
      </c>
      <c r="H38" s="198">
        <f t="shared" si="23"/>
        <v>0.56938816841744033</v>
      </c>
      <c r="I38" s="198">
        <f t="shared" si="23"/>
        <v>3.5112270385742157</v>
      </c>
      <c r="J38" s="198">
        <f t="shared" si="23"/>
        <v>0.10237102088032506</v>
      </c>
      <c r="O38" s="8" t="s">
        <v>278</v>
      </c>
      <c r="P38" s="9">
        <v>2020</v>
      </c>
      <c r="Q38" s="9">
        <v>2030</v>
      </c>
      <c r="R38" s="9">
        <v>2040</v>
      </c>
      <c r="S38" s="9">
        <v>2050</v>
      </c>
    </row>
    <row r="39" spans="2:19">
      <c r="B39" s="524"/>
      <c r="C39" s="188">
        <f t="shared" si="21"/>
        <v>2035</v>
      </c>
      <c r="D39" s="198">
        <f t="shared" ref="D39:J39" si="24">$G25*D31</f>
        <v>7.714269707374334</v>
      </c>
      <c r="E39" s="198">
        <f t="shared" si="24"/>
        <v>5.1287224352212544</v>
      </c>
      <c r="F39" s="198">
        <f t="shared" si="24"/>
        <v>0</v>
      </c>
      <c r="G39" s="198">
        <f t="shared" si="24"/>
        <v>0.1103168458023879</v>
      </c>
      <c r="H39" s="198">
        <f t="shared" si="24"/>
        <v>0.51376657029925299</v>
      </c>
      <c r="I39" s="198">
        <f t="shared" si="24"/>
        <v>3.5107382303782293</v>
      </c>
      <c r="J39" s="198">
        <f t="shared" si="24"/>
        <v>0.14773855423297483</v>
      </c>
      <c r="O39" s="124" t="s">
        <v>15</v>
      </c>
      <c r="P39" s="156">
        <f t="shared" ref="P39:S45" si="25">P28/P$36</f>
        <v>0.14431462520428312</v>
      </c>
      <c r="Q39" s="156">
        <f t="shared" si="25"/>
        <v>1.2883303684566137E-2</v>
      </c>
      <c r="R39" s="156">
        <f t="shared" si="25"/>
        <v>0</v>
      </c>
      <c r="S39" s="156">
        <f t="shared" si="25"/>
        <v>0</v>
      </c>
    </row>
    <row r="40" spans="2:19">
      <c r="B40" s="524"/>
      <c r="C40" s="188">
        <f t="shared" si="21"/>
        <v>2040</v>
      </c>
      <c r="D40" s="198">
        <f>$H25*D32</f>
        <v>7.8009670376452593</v>
      </c>
      <c r="E40" s="198">
        <f t="shared" ref="E40:J40" si="26">$H25*E32</f>
        <v>3.3952780108112357</v>
      </c>
      <c r="F40" s="198">
        <f t="shared" si="26"/>
        <v>0</v>
      </c>
      <c r="G40" s="198">
        <f t="shared" si="26"/>
        <v>0</v>
      </c>
      <c r="H40" s="198">
        <f t="shared" si="26"/>
        <v>0.45814889326608299</v>
      </c>
      <c r="I40" s="198">
        <f t="shared" si="26"/>
        <v>3.4361166994956225</v>
      </c>
      <c r="J40" s="198">
        <f t="shared" si="26"/>
        <v>0.18111913431789947</v>
      </c>
      <c r="O40" s="124" t="s">
        <v>16</v>
      </c>
      <c r="P40" s="156">
        <f t="shared" si="25"/>
        <v>0.46207211727013742</v>
      </c>
      <c r="Q40" s="156">
        <f t="shared" si="25"/>
        <v>0.37662971838169323</v>
      </c>
      <c r="R40" s="156">
        <f t="shared" si="25"/>
        <v>0.22232584607637576</v>
      </c>
      <c r="S40" s="156">
        <f t="shared" si="25"/>
        <v>6.7431527083029796E-2</v>
      </c>
    </row>
    <row r="41" spans="2:19">
      <c r="B41" s="524"/>
      <c r="C41" s="188">
        <f t="shared" si="21"/>
        <v>2045</v>
      </c>
      <c r="D41" s="198">
        <f t="shared" ref="D41:J41" si="27">$I25*D33</f>
        <v>7.968891753549328</v>
      </c>
      <c r="E41" s="198">
        <f t="shared" si="27"/>
        <v>2.0077189192522122</v>
      </c>
      <c r="F41" s="198">
        <f t="shared" si="27"/>
        <v>0</v>
      </c>
      <c r="G41" s="198">
        <f t="shared" si="27"/>
        <v>0</v>
      </c>
      <c r="H41" s="198">
        <f t="shared" si="27"/>
        <v>0.41573794599822594</v>
      </c>
      <c r="I41" s="198">
        <f t="shared" si="27"/>
        <v>3.2560447129011947</v>
      </c>
      <c r="J41" s="198">
        <f t="shared" si="27"/>
        <v>0.20953820157323849</v>
      </c>
      <c r="O41" s="124" t="s">
        <v>21</v>
      </c>
      <c r="P41" s="156">
        <f t="shared" si="25"/>
        <v>7.2656357508900593E-2</v>
      </c>
      <c r="Q41" s="156">
        <f t="shared" si="25"/>
        <v>0.18819322401806848</v>
      </c>
      <c r="R41" s="156">
        <f t="shared" si="25"/>
        <v>0.22814782708925538</v>
      </c>
      <c r="S41" s="156">
        <f t="shared" si="25"/>
        <v>0.24491785247071321</v>
      </c>
    </row>
    <row r="42" spans="2:19">
      <c r="B42" s="524"/>
      <c r="C42" s="188">
        <f t="shared" si="21"/>
        <v>2050</v>
      </c>
      <c r="D42" s="198">
        <f t="shared" ref="D42:J42" si="28">$J25*D34</f>
        <v>7.9802170511384878</v>
      </c>
      <c r="E42" s="198">
        <f t="shared" si="28"/>
        <v>0.84177044829507131</v>
      </c>
      <c r="F42" s="198">
        <f t="shared" si="28"/>
        <v>0</v>
      </c>
      <c r="G42" s="198">
        <f t="shared" si="28"/>
        <v>0</v>
      </c>
      <c r="H42" s="198">
        <f t="shared" si="28"/>
        <v>0.37450009722837024</v>
      </c>
      <c r="I42" s="198">
        <f t="shared" si="28"/>
        <v>3.0573919854415244</v>
      </c>
      <c r="J42" s="198">
        <f t="shared" si="28"/>
        <v>0.22945699217555426</v>
      </c>
      <c r="O42" s="124" t="s">
        <v>22</v>
      </c>
      <c r="P42" s="156">
        <f t="shared" si="25"/>
        <v>1.4312054686899649E-2</v>
      </c>
      <c r="Q42" s="156">
        <f t="shared" si="25"/>
        <v>1.0262548888849046E-2</v>
      </c>
      <c r="R42" s="156">
        <f t="shared" si="25"/>
        <v>6.1883523367059507E-3</v>
      </c>
      <c r="S42" s="156">
        <f t="shared" si="25"/>
        <v>7.4974387885171252E-4</v>
      </c>
    </row>
    <row r="43" spans="2:19">
      <c r="O43" s="124" t="s">
        <v>42</v>
      </c>
      <c r="P43" s="156">
        <f t="shared" si="25"/>
        <v>1.2930081270142411E-2</v>
      </c>
      <c r="Q43" s="156">
        <f t="shared" si="25"/>
        <v>2.1937965138159505E-2</v>
      </c>
      <c r="R43" s="156">
        <f t="shared" si="25"/>
        <v>3.2523663759082166E-2</v>
      </c>
      <c r="S43" s="156">
        <f t="shared" si="25"/>
        <v>4.7631318813019748E-2</v>
      </c>
    </row>
    <row r="44" spans="2:19" ht="15.75" thickBot="1">
      <c r="O44" s="124" t="s">
        <v>46</v>
      </c>
      <c r="P44" s="379">
        <f t="shared" si="25"/>
        <v>0.23405118404696104</v>
      </c>
      <c r="Q44" s="379">
        <f t="shared" si="25"/>
        <v>0.15485654694032888</v>
      </c>
      <c r="R44" s="379">
        <f t="shared" si="25"/>
        <v>0.10930465705416618</v>
      </c>
      <c r="S44" s="379">
        <f t="shared" si="25"/>
        <v>0.10502741852531887</v>
      </c>
    </row>
    <row r="45" spans="2:19">
      <c r="B45" s="505" t="s">
        <v>122</v>
      </c>
      <c r="C45" s="506"/>
      <c r="D45" s="506"/>
      <c r="E45" s="506"/>
      <c r="F45" s="506"/>
      <c r="G45" s="506"/>
      <c r="H45" s="506"/>
      <c r="I45" s="506"/>
      <c r="J45" s="506"/>
      <c r="K45" s="506"/>
      <c r="L45" s="507"/>
      <c r="O45" s="124" t="s">
        <v>47</v>
      </c>
      <c r="P45" s="379">
        <f t="shared" si="25"/>
        <v>5.966358001267575E-2</v>
      </c>
      <c r="Q45" s="379">
        <f t="shared" si="25"/>
        <v>0.23523669294833477</v>
      </c>
      <c r="R45" s="379">
        <f t="shared" si="25"/>
        <v>0.40150965368441455</v>
      </c>
      <c r="S45" s="379">
        <f t="shared" si="25"/>
        <v>0.53424213922906671</v>
      </c>
    </row>
    <row r="46" spans="2:19">
      <c r="O46" s="231" t="s">
        <v>400</v>
      </c>
      <c r="P46" s="156">
        <f>(P33+P34)/P$47</f>
        <v>0.29371476405963681</v>
      </c>
      <c r="Q46" s="156">
        <f t="shared" ref="Q46:S46" si="29">(Q33+Q34)/Q$47</f>
        <v>0.39009323988866368</v>
      </c>
      <c r="R46" s="156">
        <f t="shared" si="29"/>
        <v>0.51081431073858075</v>
      </c>
      <c r="S46" s="156">
        <f t="shared" si="29"/>
        <v>0.63926955775438554</v>
      </c>
    </row>
    <row r="47" spans="2:19">
      <c r="C47" s="188">
        <v>2010</v>
      </c>
      <c r="D47" s="188">
        <v>2020</v>
      </c>
      <c r="E47" s="188">
        <f t="shared" ref="E47:J47" si="30">D47+5</f>
        <v>2025</v>
      </c>
      <c r="F47" s="188">
        <f t="shared" si="30"/>
        <v>2030</v>
      </c>
      <c r="G47" s="188">
        <f t="shared" si="30"/>
        <v>2035</v>
      </c>
      <c r="H47" s="188">
        <f t="shared" si="30"/>
        <v>2040</v>
      </c>
      <c r="I47" s="188">
        <f t="shared" si="30"/>
        <v>2045</v>
      </c>
      <c r="J47" s="188">
        <f t="shared" si="30"/>
        <v>2050</v>
      </c>
      <c r="O47" s="12" t="s">
        <v>17</v>
      </c>
      <c r="P47" s="254">
        <f>P36</f>
        <v>983275.90313197742</v>
      </c>
      <c r="Q47" s="254">
        <f t="shared" ref="Q47:S47" si="31">Q36</f>
        <v>997793.95974019286</v>
      </c>
      <c r="R47" s="254">
        <f t="shared" si="31"/>
        <v>996789.28352148132</v>
      </c>
      <c r="S47" s="254">
        <f t="shared" si="31"/>
        <v>965149.20630071056</v>
      </c>
    </row>
    <row r="48" spans="2:19">
      <c r="B48" s="188" t="s">
        <v>139</v>
      </c>
      <c r="C48" s="189">
        <f>D48/'Init. énergie'!J$95^10</f>
        <v>13.386598005398593</v>
      </c>
      <c r="D48" s="189">
        <f>D51*1000/D49</f>
        <v>11.917244653309741</v>
      </c>
      <c r="E48" s="189">
        <f>(D48+F48)/2</f>
        <v>10.650419380157619</v>
      </c>
      <c r="F48" s="189">
        <f>$C48*(1-$F$17*G17)</f>
        <v>9.3835941070054982</v>
      </c>
      <c r="G48" s="189">
        <f>(F48+H48)/2</f>
        <v>8.4672411886115651</v>
      </c>
      <c r="H48" s="189">
        <f>$C48*(1-$F$17*H17)</f>
        <v>7.550888270217631</v>
      </c>
      <c r="I48" s="189">
        <f>(H48+J48)/2</f>
        <v>6.9673172966995338</v>
      </c>
      <c r="J48" s="189">
        <f>$C48*(1-$F$17*I17)</f>
        <v>6.3837463231814375</v>
      </c>
    </row>
    <row r="49" spans="2:15" ht="15.75">
      <c r="B49" s="190" t="s">
        <v>127</v>
      </c>
      <c r="C49" s="191"/>
      <c r="D49" s="191">
        <f t="shared" ref="D49:J49" si="32">D23</f>
        <v>983.4370555157949</v>
      </c>
      <c r="E49" s="191">
        <f t="shared" si="32"/>
        <v>990.62586747057821</v>
      </c>
      <c r="F49" s="191">
        <f t="shared" si="32"/>
        <v>997.81467942536165</v>
      </c>
      <c r="G49" s="191">
        <f t="shared" si="32"/>
        <v>997.77949713083387</v>
      </c>
      <c r="H49" s="191">
        <f t="shared" si="32"/>
        <v>997.7443148363061</v>
      </c>
      <c r="I49" s="191">
        <f t="shared" si="32"/>
        <v>981.21627065781604</v>
      </c>
      <c r="J49" s="191">
        <f t="shared" si="32"/>
        <v>964.68822647932586</v>
      </c>
    </row>
    <row r="51" spans="2:15">
      <c r="B51" s="193" t="s">
        <v>128</v>
      </c>
      <c r="C51" s="274"/>
      <c r="D51" s="274">
        <f>'Init. énergie'!C124</f>
        <v>11.719859991712282</v>
      </c>
      <c r="E51" s="194">
        <f t="shared" ref="E51:J51" si="33">E49*E48/1000</f>
        <v>10.550580937394098</v>
      </c>
      <c r="F51" s="194">
        <f t="shared" si="33"/>
        <v>9.3630879457394034</v>
      </c>
      <c r="G51" s="194">
        <f t="shared" si="33"/>
        <v>8.4484396552583316</v>
      </c>
      <c r="H51" s="194">
        <f t="shared" si="33"/>
        <v>7.5338558435737903</v>
      </c>
      <c r="I51" s="194">
        <f t="shared" si="33"/>
        <v>6.836445094357213</v>
      </c>
      <c r="J51" s="194">
        <f t="shared" si="33"/>
        <v>6.1583249188038183</v>
      </c>
    </row>
    <row r="54" spans="2:15">
      <c r="B54" s="188"/>
      <c r="C54" s="195" t="s">
        <v>19</v>
      </c>
      <c r="D54" s="188" t="s">
        <v>129</v>
      </c>
      <c r="E54" s="188" t="s">
        <v>76</v>
      </c>
      <c r="F54" s="188" t="s">
        <v>131</v>
      </c>
      <c r="G54" s="188" t="s">
        <v>132</v>
      </c>
      <c r="H54" s="188" t="s">
        <v>133</v>
      </c>
      <c r="I54" s="188"/>
    </row>
    <row r="55" spans="2:15">
      <c r="B55" s="524" t="s">
        <v>138</v>
      </c>
      <c r="C55" s="196">
        <v>2020</v>
      </c>
      <c r="D55" s="396">
        <v>0.38145894795856289</v>
      </c>
      <c r="E55" s="396">
        <v>0.4908480359618167</v>
      </c>
      <c r="F55" s="396"/>
      <c r="G55" s="396">
        <v>0.121629632897873</v>
      </c>
      <c r="H55" s="396">
        <v>6.0633831817471636E-3</v>
      </c>
      <c r="I55" s="227"/>
      <c r="J55" s="299">
        <f>SUM(D55:H55)</f>
        <v>0.99999999999999978</v>
      </c>
    </row>
    <row r="56" spans="2:15">
      <c r="B56" s="524"/>
      <c r="C56" s="188">
        <f t="shared" ref="C56:C61" si="34">C55+5</f>
        <v>2025</v>
      </c>
      <c r="D56" s="396">
        <v>0.54600000000000004</v>
      </c>
      <c r="E56" s="396">
        <v>0.38550000000000001</v>
      </c>
      <c r="F56" s="396"/>
      <c r="G56" s="396">
        <v>6.0499999999999998E-2</v>
      </c>
      <c r="H56" s="396">
        <v>8.0000000000000002E-3</v>
      </c>
      <c r="I56" s="227"/>
      <c r="J56" s="299">
        <f t="shared" ref="J56:J61" si="35">SUM(D56:H56)</f>
        <v>1</v>
      </c>
      <c r="L56" s="526" t="s">
        <v>402</v>
      </c>
      <c r="M56" s="526"/>
      <c r="N56" s="526"/>
      <c r="O56" s="526"/>
    </row>
    <row r="57" spans="2:15">
      <c r="B57" s="524"/>
      <c r="C57" s="188">
        <f t="shared" si="34"/>
        <v>2030</v>
      </c>
      <c r="D57" s="396">
        <v>0.71</v>
      </c>
      <c r="E57" s="396">
        <v>0.28000000000000003</v>
      </c>
      <c r="F57" s="396"/>
      <c r="G57" s="396">
        <v>0</v>
      </c>
      <c r="H57" s="396">
        <v>0.01</v>
      </c>
      <c r="I57" s="227"/>
      <c r="J57" s="299">
        <f t="shared" si="35"/>
        <v>1</v>
      </c>
      <c r="L57" s="526"/>
      <c r="M57" s="526"/>
      <c r="N57" s="526"/>
      <c r="O57" s="526"/>
    </row>
    <row r="58" spans="2:15">
      <c r="B58" s="524"/>
      <c r="C58" s="188">
        <f t="shared" si="34"/>
        <v>2035</v>
      </c>
      <c r="D58" s="396">
        <v>0.75749999999999995</v>
      </c>
      <c r="E58" s="396">
        <v>0.23250000000000001</v>
      </c>
      <c r="F58" s="396"/>
      <c r="G58" s="396">
        <v>0</v>
      </c>
      <c r="H58" s="396">
        <v>0.01</v>
      </c>
      <c r="I58" s="227"/>
      <c r="J58" s="299">
        <f t="shared" si="35"/>
        <v>1</v>
      </c>
      <c r="L58" s="526"/>
      <c r="M58" s="526"/>
      <c r="N58" s="526"/>
      <c r="O58" s="526"/>
    </row>
    <row r="59" spans="2:15">
      <c r="B59" s="524"/>
      <c r="C59" s="188">
        <f t="shared" si="34"/>
        <v>2040</v>
      </c>
      <c r="D59" s="396">
        <v>0.80500000000000005</v>
      </c>
      <c r="E59" s="396">
        <v>0.185</v>
      </c>
      <c r="F59" s="396"/>
      <c r="G59" s="396">
        <v>0</v>
      </c>
      <c r="H59" s="396">
        <v>0.01</v>
      </c>
      <c r="I59" s="227"/>
      <c r="J59" s="299">
        <f t="shared" si="35"/>
        <v>1</v>
      </c>
    </row>
    <row r="60" spans="2:15">
      <c r="B60" s="524"/>
      <c r="C60" s="188">
        <f t="shared" si="34"/>
        <v>2045</v>
      </c>
      <c r="D60" s="396">
        <v>0.85250000000000004</v>
      </c>
      <c r="E60" s="396">
        <v>0.13750000000000001</v>
      </c>
      <c r="F60" s="396"/>
      <c r="G60" s="396">
        <v>0</v>
      </c>
      <c r="H60" s="396">
        <v>0.01</v>
      </c>
      <c r="I60" s="227"/>
      <c r="J60" s="299">
        <f t="shared" si="35"/>
        <v>1</v>
      </c>
    </row>
    <row r="61" spans="2:15">
      <c r="B61" s="524"/>
      <c r="C61" s="188">
        <f t="shared" si="34"/>
        <v>2050</v>
      </c>
      <c r="D61" s="396">
        <v>0.9</v>
      </c>
      <c r="E61" s="396">
        <v>0.09</v>
      </c>
      <c r="F61" s="396"/>
      <c r="G61" s="396">
        <v>0</v>
      </c>
      <c r="H61" s="396">
        <v>0.01</v>
      </c>
      <c r="I61" s="227"/>
      <c r="J61" s="299">
        <f t="shared" si="35"/>
        <v>1</v>
      </c>
    </row>
    <row r="62" spans="2:15">
      <c r="D62" s="198"/>
      <c r="E62" s="198"/>
      <c r="F62" s="198"/>
      <c r="G62" s="198"/>
      <c r="H62" s="198"/>
    </row>
    <row r="63" spans="2:15" ht="14.45" customHeight="1">
      <c r="B63" s="524" t="s">
        <v>137</v>
      </c>
      <c r="C63" s="196">
        <v>2020</v>
      </c>
      <c r="D63" s="198">
        <f>$D51*D55</f>
        <v>4.4706454626602188</v>
      </c>
      <c r="E63" s="198">
        <f>$D51*E55</f>
        <v>5.7526702586794469</v>
      </c>
      <c r="F63" s="198">
        <f>$D51*F55</f>
        <v>0</v>
      </c>
      <c r="G63" s="198">
        <f>$D51*G55</f>
        <v>1.4254822684064337</v>
      </c>
      <c r="H63" s="198">
        <f>$D51*H55</f>
        <v>7.1062001966179705E-2</v>
      </c>
      <c r="I63" s="198"/>
    </row>
    <row r="64" spans="2:15">
      <c r="B64" s="524"/>
      <c r="C64" s="188">
        <f t="shared" ref="C64:C69" si="36">C63+5</f>
        <v>2025</v>
      </c>
      <c r="D64" s="198">
        <f>$E51*D56</f>
        <v>5.760617191817178</v>
      </c>
      <c r="E64" s="198">
        <f>$E51*E56</f>
        <v>4.0672489513654249</v>
      </c>
      <c r="F64" s="198">
        <f>$E51*F56</f>
        <v>0</v>
      </c>
      <c r="G64" s="198">
        <f>$E51*G56</f>
        <v>0.63831014671234299</v>
      </c>
      <c r="H64" s="198">
        <f>$E51*H56</f>
        <v>8.4404647499152788E-2</v>
      </c>
      <c r="I64" s="198"/>
    </row>
    <row r="65" spans="1:14">
      <c r="B65" s="524"/>
      <c r="C65" s="188">
        <f t="shared" si="36"/>
        <v>2030</v>
      </c>
      <c r="D65" s="198">
        <f>$F51*D57</f>
        <v>6.6477924414749765</v>
      </c>
      <c r="E65" s="198">
        <f>$F51*E57</f>
        <v>2.6216646248070332</v>
      </c>
      <c r="F65" s="198">
        <f>$F51*F57</f>
        <v>0</v>
      </c>
      <c r="G65" s="198">
        <f>$F51*G57</f>
        <v>0</v>
      </c>
      <c r="H65" s="198">
        <f>$F51*H57</f>
        <v>9.363087945739404E-2</v>
      </c>
      <c r="I65" s="198"/>
    </row>
    <row r="66" spans="1:14">
      <c r="B66" s="524"/>
      <c r="C66" s="188">
        <f t="shared" si="36"/>
        <v>2035</v>
      </c>
      <c r="D66" s="198">
        <f>$G51*D58</f>
        <v>6.3996930388581861</v>
      </c>
      <c r="E66" s="198">
        <f>$G51*E58</f>
        <v>1.9642622198475621</v>
      </c>
      <c r="F66" s="198">
        <f>$G51*F58</f>
        <v>0</v>
      </c>
      <c r="G66" s="198">
        <f>$G51*G58</f>
        <v>0</v>
      </c>
      <c r="H66" s="198">
        <f>$G51*H58</f>
        <v>8.4484396552583316E-2</v>
      </c>
      <c r="I66" s="198"/>
    </row>
    <row r="67" spans="1:14">
      <c r="B67" s="524"/>
      <c r="C67" s="188">
        <f t="shared" si="36"/>
        <v>2040</v>
      </c>
      <c r="D67" s="198">
        <f>$H51*D59</f>
        <v>6.0647539540769015</v>
      </c>
      <c r="E67" s="198">
        <f>$H51*E59</f>
        <v>1.3937633310611512</v>
      </c>
      <c r="F67" s="198">
        <f>$H51*F59</f>
        <v>0</v>
      </c>
      <c r="G67" s="198">
        <f>$H51*G59</f>
        <v>0</v>
      </c>
      <c r="H67" s="198">
        <f>$H51*H59</f>
        <v>7.5338558435737904E-2</v>
      </c>
      <c r="I67" s="198"/>
    </row>
    <row r="68" spans="1:14">
      <c r="B68" s="524"/>
      <c r="C68" s="188">
        <f t="shared" si="36"/>
        <v>2045</v>
      </c>
      <c r="D68" s="198">
        <f>$I51*D60</f>
        <v>5.8280694429395243</v>
      </c>
      <c r="E68" s="198">
        <f>$I51*E60</f>
        <v>0.9400112004741169</v>
      </c>
      <c r="F68" s="198">
        <f>$I51*F60</f>
        <v>0</v>
      </c>
      <c r="G68" s="198">
        <f>$I51*G60</f>
        <v>0</v>
      </c>
      <c r="H68" s="198">
        <f>$I51*H60</f>
        <v>6.836445094357213E-2</v>
      </c>
      <c r="I68" s="198"/>
    </row>
    <row r="69" spans="1:14">
      <c r="B69" s="524"/>
      <c r="C69" s="188">
        <f t="shared" si="36"/>
        <v>2050</v>
      </c>
      <c r="D69" s="198">
        <f>$J51*D61</f>
        <v>5.5424924269234364</v>
      </c>
      <c r="E69" s="198">
        <f>$J51*E61</f>
        <v>0.55424924269234366</v>
      </c>
      <c r="F69" s="198">
        <f>$J51*F61</f>
        <v>0</v>
      </c>
      <c r="G69" s="198">
        <f>$J51*G61</f>
        <v>0</v>
      </c>
      <c r="H69" s="198">
        <f>$J51*H61</f>
        <v>6.1583249188038182E-2</v>
      </c>
      <c r="I69" s="198"/>
    </row>
    <row r="71" spans="1:14" ht="15.75" thickBot="1"/>
    <row r="72" spans="1:14">
      <c r="B72" s="505" t="s">
        <v>123</v>
      </c>
      <c r="C72" s="506"/>
      <c r="D72" s="506"/>
      <c r="E72" s="506"/>
      <c r="F72" s="506"/>
      <c r="G72" s="506"/>
      <c r="H72" s="506"/>
      <c r="I72" s="506"/>
      <c r="J72" s="506"/>
      <c r="K72" s="506"/>
      <c r="L72" s="507"/>
    </row>
    <row r="73" spans="1:14">
      <c r="B73" s="403"/>
      <c r="C73" s="405"/>
      <c r="D73" s="405"/>
      <c r="E73" s="404"/>
      <c r="F73" s="404"/>
      <c r="G73" s="404"/>
      <c r="H73" s="404"/>
      <c r="I73" s="404"/>
      <c r="J73" s="404"/>
      <c r="M73" s="406"/>
      <c r="N73" s="406"/>
    </row>
    <row r="74" spans="1:14">
      <c r="A74" t="s">
        <v>340</v>
      </c>
      <c r="C74" s="93">
        <v>2020</v>
      </c>
      <c r="D74" s="93">
        <f t="shared" ref="D74:I74" si="37">C74+5</f>
        <v>2025</v>
      </c>
      <c r="E74" s="93">
        <f t="shared" si="37"/>
        <v>2030</v>
      </c>
      <c r="F74" s="93">
        <f t="shared" si="37"/>
        <v>2035</v>
      </c>
      <c r="G74" s="93">
        <f t="shared" si="37"/>
        <v>2040</v>
      </c>
      <c r="H74" s="93">
        <f>G74+5</f>
        <v>2045</v>
      </c>
      <c r="I74" s="93">
        <f t="shared" si="37"/>
        <v>2050</v>
      </c>
      <c r="M74" s="406"/>
      <c r="N74" s="406"/>
    </row>
    <row r="75" spans="1:14">
      <c r="B75" s="188" t="s">
        <v>368</v>
      </c>
      <c r="C75" s="419">
        <f>1000*C87/C79</f>
        <v>71.486730295513496</v>
      </c>
      <c r="D75" s="419">
        <f>D78+D77</f>
        <v>71.342488443425665</v>
      </c>
      <c r="E75" s="419">
        <f t="shared" ref="E75:I75" si="38">E78+E77</f>
        <v>71.20032498840304</v>
      </c>
      <c r="F75" s="419">
        <f t="shared" si="38"/>
        <v>72.686646864593897</v>
      </c>
      <c r="G75" s="419">
        <f t="shared" si="38"/>
        <v>74.140367197163755</v>
      </c>
      <c r="H75" s="419">
        <f t="shared" si="38"/>
        <v>75.919041228089313</v>
      </c>
      <c r="I75" s="419">
        <f t="shared" si="38"/>
        <v>76.999779151169776</v>
      </c>
      <c r="J75" t="s">
        <v>373</v>
      </c>
      <c r="M75" s="406"/>
      <c r="N75" s="406"/>
    </row>
    <row r="76" spans="1:14">
      <c r="B76" s="350" t="s">
        <v>369</v>
      </c>
      <c r="C76" s="372">
        <v>14.966965816561107</v>
      </c>
      <c r="D76" s="220">
        <f>(C76+E76)/2</f>
        <v>14.933482908280553</v>
      </c>
      <c r="E76" s="372">
        <v>14.9</v>
      </c>
      <c r="F76" s="372">
        <f>$E$77+($I$77-$E$77)/20*5</f>
        <v>16.382496129922448</v>
      </c>
      <c r="G76" s="372">
        <f>$E$77+($I$77-$E$77)/20*10</f>
        <v>17.832359670614132</v>
      </c>
      <c r="H76" s="372">
        <f>$E$77+($I$77-$E$77)/20*15</f>
        <v>19.282223211305819</v>
      </c>
      <c r="I76" s="372">
        <v>20</v>
      </c>
      <c r="J76" t="s">
        <v>370</v>
      </c>
      <c r="M76" s="406"/>
      <c r="N76" s="406"/>
    </row>
    <row r="77" spans="1:14">
      <c r="B77" s="350" t="s">
        <v>371</v>
      </c>
      <c r="C77" s="199">
        <f>C76/C79*1000</f>
        <v>15.21903789634122</v>
      </c>
      <c r="D77" s="199">
        <f t="shared" ref="D77:I77" si="39">D76/D79*1000</f>
        <v>15.074796044253388</v>
      </c>
      <c r="E77" s="199">
        <f t="shared" si="39"/>
        <v>14.93263258923076</v>
      </c>
      <c r="F77" s="199">
        <f t="shared" si="39"/>
        <v>16.418954465421624</v>
      </c>
      <c r="G77" s="199">
        <f t="shared" si="39"/>
        <v>17.872674797991486</v>
      </c>
      <c r="H77" s="199">
        <f t="shared" si="39"/>
        <v>19.65134882891704</v>
      </c>
      <c r="I77" s="199">
        <f t="shared" si="39"/>
        <v>20.732086751997507</v>
      </c>
      <c r="M77" s="406"/>
      <c r="N77" s="406"/>
    </row>
    <row r="78" spans="1:14">
      <c r="B78" s="118" t="s">
        <v>374</v>
      </c>
      <c r="C78" s="199">
        <f>C75-C77</f>
        <v>56.267692399172276</v>
      </c>
      <c r="D78" s="199">
        <f>C78</f>
        <v>56.267692399172276</v>
      </c>
      <c r="E78" s="199">
        <f t="shared" ref="E78:H78" si="40">D78</f>
        <v>56.267692399172276</v>
      </c>
      <c r="F78" s="199">
        <f t="shared" si="40"/>
        <v>56.267692399172276</v>
      </c>
      <c r="G78" s="199">
        <f t="shared" si="40"/>
        <v>56.267692399172276</v>
      </c>
      <c r="H78" s="199">
        <f t="shared" si="40"/>
        <v>56.267692399172276</v>
      </c>
      <c r="I78" s="199">
        <f>H78</f>
        <v>56.267692399172276</v>
      </c>
      <c r="J78" t="s">
        <v>410</v>
      </c>
      <c r="M78" s="406"/>
      <c r="N78" s="406"/>
    </row>
    <row r="79" spans="1:14" ht="15.75">
      <c r="B79" s="190" t="s">
        <v>127</v>
      </c>
      <c r="C79" s="191">
        <f t="shared" ref="C79:I79" si="41">D23</f>
        <v>983.4370555157949</v>
      </c>
      <c r="D79" s="191">
        <f t="shared" si="41"/>
        <v>990.62586747057821</v>
      </c>
      <c r="E79" s="191">
        <f t="shared" si="41"/>
        <v>997.81467942536165</v>
      </c>
      <c r="F79" s="191">
        <f t="shared" si="41"/>
        <v>997.77949713083387</v>
      </c>
      <c r="G79" s="191">
        <f t="shared" si="41"/>
        <v>997.7443148363061</v>
      </c>
      <c r="H79" s="191">
        <f t="shared" si="41"/>
        <v>981.21627065781604</v>
      </c>
      <c r="I79" s="191">
        <f t="shared" si="41"/>
        <v>964.68822647932586</v>
      </c>
      <c r="M79" s="406"/>
      <c r="N79" s="406"/>
    </row>
    <row r="80" spans="1:14" ht="15.75">
      <c r="B80" s="351"/>
      <c r="C80" s="352"/>
      <c r="D80" s="352"/>
      <c r="E80" s="352"/>
      <c r="F80" s="352"/>
      <c r="G80" s="352"/>
      <c r="H80" s="352"/>
      <c r="I80" s="352"/>
      <c r="M80" s="406"/>
      <c r="N80" s="406"/>
    </row>
    <row r="81" spans="1:14">
      <c r="A81" t="s">
        <v>341</v>
      </c>
      <c r="B81" s="188" t="s">
        <v>140</v>
      </c>
      <c r="C81" s="419">
        <f>C87*1000/C79</f>
        <v>71.486730295513496</v>
      </c>
      <c r="D81" s="419">
        <f>D84+D83</f>
        <v>61.693285422343365</v>
      </c>
      <c r="E81" s="419">
        <f t="shared" ref="E81:I81" si="42">E84+E83</f>
        <v>51.901918946238439</v>
      </c>
      <c r="F81" s="419">
        <f t="shared" si="42"/>
        <v>48.970520743718524</v>
      </c>
      <c r="G81" s="419">
        <f t="shared" si="42"/>
        <v>46.006520997577624</v>
      </c>
      <c r="H81" s="419">
        <f t="shared" si="42"/>
        <v>44.97181040854457</v>
      </c>
      <c r="I81" s="419">
        <f t="shared" si="42"/>
        <v>43.239163711666421</v>
      </c>
      <c r="J81" t="s">
        <v>373</v>
      </c>
      <c r="M81" s="406"/>
      <c r="N81" s="406"/>
    </row>
    <row r="82" spans="1:14">
      <c r="B82" s="350" t="s">
        <v>369</v>
      </c>
      <c r="C82" s="372">
        <v>14.966965816561107</v>
      </c>
      <c r="D82" s="220">
        <f>(C82+E82)/2</f>
        <v>14.933482908280553</v>
      </c>
      <c r="E82" s="372">
        <v>14.9</v>
      </c>
      <c r="F82" s="372">
        <f>$E$77+($I$77-$E$77)/20*5</f>
        <v>16.382496129922448</v>
      </c>
      <c r="G82" s="372">
        <f>$E$77+($I$77-$E$77)/20*10</f>
        <v>17.832359670614132</v>
      </c>
      <c r="H82" s="372">
        <f>$E$77+($I$77-$E$77)/20*15</f>
        <v>19.282223211305819</v>
      </c>
      <c r="I82" s="372">
        <v>20</v>
      </c>
      <c r="J82" t="s">
        <v>370</v>
      </c>
      <c r="M82" s="406"/>
      <c r="N82" s="406"/>
    </row>
    <row r="83" spans="1:14">
      <c r="B83" s="350" t="s">
        <v>371</v>
      </c>
      <c r="C83" s="199">
        <f>C82/C85*1000</f>
        <v>15.21903789634122</v>
      </c>
      <c r="D83" s="199">
        <f t="shared" ref="D83:I83" si="43">D82/D85*1000</f>
        <v>15.074796044253388</v>
      </c>
      <c r="E83" s="199">
        <f t="shared" si="43"/>
        <v>14.93263258923076</v>
      </c>
      <c r="F83" s="199">
        <f t="shared" si="43"/>
        <v>16.418954465421624</v>
      </c>
      <c r="G83" s="199">
        <f t="shared" si="43"/>
        <v>17.872674797991486</v>
      </c>
      <c r="H83" s="199">
        <f t="shared" si="43"/>
        <v>19.65134882891704</v>
      </c>
      <c r="I83" s="199">
        <f t="shared" si="43"/>
        <v>20.732086751997507</v>
      </c>
      <c r="M83" s="406"/>
      <c r="N83" s="406"/>
    </row>
    <row r="84" spans="1:14">
      <c r="B84" s="118" t="s">
        <v>374</v>
      </c>
      <c r="C84" s="199">
        <f>C81-C83</f>
        <v>56.267692399172276</v>
      </c>
      <c r="D84" s="199">
        <f>(C84+E84)/2</f>
        <v>46.618489378089976</v>
      </c>
      <c r="E84" s="199">
        <f>C84*(1-$G$17)</f>
        <v>36.969286357007675</v>
      </c>
      <c r="F84" s="199">
        <f>(E84+G84)/2</f>
        <v>32.551566278296903</v>
      </c>
      <c r="G84" s="199">
        <f>C84*(1-$H$17)</f>
        <v>28.133846199586138</v>
      </c>
      <c r="H84" s="199">
        <f>(G84+I84)/2</f>
        <v>25.320461579627526</v>
      </c>
      <c r="I84" s="199">
        <f>C84*(1-$I$17)</f>
        <v>22.507076959668911</v>
      </c>
      <c r="J84" t="s">
        <v>422</v>
      </c>
      <c r="M84" s="406"/>
      <c r="N84" s="406"/>
    </row>
    <row r="85" spans="1:14" ht="15.75">
      <c r="B85" s="190" t="s">
        <v>127</v>
      </c>
      <c r="C85" s="191">
        <f t="shared" ref="C85:I85" si="44">D23</f>
        <v>983.4370555157949</v>
      </c>
      <c r="D85" s="191">
        <f t="shared" si="44"/>
        <v>990.62586747057821</v>
      </c>
      <c r="E85" s="191">
        <f t="shared" si="44"/>
        <v>997.81467942536165</v>
      </c>
      <c r="F85" s="191">
        <f t="shared" si="44"/>
        <v>997.77949713083387</v>
      </c>
      <c r="G85" s="191">
        <f t="shared" si="44"/>
        <v>997.7443148363061</v>
      </c>
      <c r="H85" s="191">
        <f t="shared" si="44"/>
        <v>981.21627065781604</v>
      </c>
      <c r="I85" s="191">
        <f t="shared" si="44"/>
        <v>964.68822647932586</v>
      </c>
      <c r="M85" s="406"/>
      <c r="N85" s="406"/>
    </row>
    <row r="86" spans="1:14" ht="15.75">
      <c r="B86" s="351"/>
      <c r="C86" s="352"/>
      <c r="D86" s="352"/>
      <c r="E86" s="352"/>
      <c r="F86" s="352"/>
      <c r="G86" s="352"/>
      <c r="H86" s="352"/>
      <c r="I86" s="352"/>
      <c r="M86" s="406"/>
      <c r="N86" s="406"/>
    </row>
    <row r="87" spans="1:14">
      <c r="B87" s="193" t="s">
        <v>128</v>
      </c>
      <c r="C87" s="274">
        <f>'Init. énergie'!C129</f>
        <v>70.302699550271555</v>
      </c>
      <c r="D87" s="194">
        <f>(D75*D79*(1-$F$17)+D81*D85*$F$17)/1000</f>
        <v>62.339694003212394</v>
      </c>
      <c r="E87" s="194">
        <f>(E75*E79*(1-$F$17)+E81*E85*$F$17)/1000</f>
        <v>54.255731174178614</v>
      </c>
      <c r="F87" s="194">
        <f t="shared" ref="F87:I87" si="45">(F75*F79*(1-$F$17)+F81*F85*$F$17)/1000</f>
        <v>51.893699468017317</v>
      </c>
      <c r="G87" s="194">
        <f t="shared" si="45"/>
        <v>49.499306195411521</v>
      </c>
      <c r="H87" s="194">
        <f t="shared" si="45"/>
        <v>48.017753292809019</v>
      </c>
      <c r="I87" s="194">
        <f t="shared" si="45"/>
        <v>45.885197425489821</v>
      </c>
      <c r="M87" s="406"/>
      <c r="N87" s="406"/>
    </row>
    <row r="88" spans="1:14">
      <c r="B88" s="403"/>
      <c r="C88" s="405"/>
      <c r="D88" s="405"/>
      <c r="E88" s="404"/>
      <c r="F88" s="404"/>
      <c r="G88" s="404"/>
      <c r="H88" s="404"/>
      <c r="I88" s="404"/>
      <c r="J88" s="404"/>
      <c r="M88" s="406"/>
      <c r="N88" s="406"/>
    </row>
    <row r="89" spans="1:14" ht="15.75" thickBot="1"/>
    <row r="90" spans="1:14">
      <c r="B90" s="505" t="s">
        <v>124</v>
      </c>
      <c r="C90" s="506"/>
      <c r="D90" s="506"/>
      <c r="E90" s="506"/>
      <c r="F90" s="506"/>
      <c r="G90" s="506"/>
      <c r="H90" s="506"/>
      <c r="I90" s="506"/>
      <c r="J90" s="506"/>
      <c r="K90" s="506"/>
      <c r="L90" s="507"/>
    </row>
    <row r="92" spans="1:14">
      <c r="B92" t="s">
        <v>190</v>
      </c>
    </row>
    <row r="93" spans="1:14" ht="15.75" thickBot="1"/>
    <row r="94" spans="1:14">
      <c r="B94" s="200" t="s">
        <v>142</v>
      </c>
      <c r="C94" s="201"/>
      <c r="D94" s="202">
        <v>2006</v>
      </c>
      <c r="E94" s="202">
        <v>2015</v>
      </c>
      <c r="F94" s="202">
        <v>2020</v>
      </c>
      <c r="G94" s="202">
        <v>2030</v>
      </c>
      <c r="H94" s="202">
        <v>2040</v>
      </c>
      <c r="I94" s="203">
        <v>2050</v>
      </c>
    </row>
    <row r="95" spans="1:14">
      <c r="B95" s="204" t="s">
        <v>143</v>
      </c>
      <c r="C95" s="205"/>
      <c r="D95" s="206"/>
      <c r="E95" s="206"/>
      <c r="F95" s="206">
        <v>3.1948068674499273</v>
      </c>
      <c r="G95" s="206">
        <v>2.3007850515687069</v>
      </c>
      <c r="H95" s="206">
        <v>1.845092054749095</v>
      </c>
      <c r="I95" s="207">
        <v>1.75575483083293</v>
      </c>
    </row>
    <row r="96" spans="1:14">
      <c r="B96" s="208" t="s">
        <v>144</v>
      </c>
      <c r="C96" s="209"/>
      <c r="D96" s="210"/>
      <c r="E96" s="210"/>
      <c r="F96" s="210">
        <v>0.90642131916452451</v>
      </c>
      <c r="G96" s="210">
        <v>0.68892377147259842</v>
      </c>
      <c r="H96" s="210">
        <v>0.6018981712928706</v>
      </c>
      <c r="I96" s="211">
        <v>0.61368785502201761</v>
      </c>
    </row>
    <row r="97" spans="2:9">
      <c r="B97" s="204" t="s">
        <v>145</v>
      </c>
      <c r="C97" s="205"/>
      <c r="D97" s="206"/>
      <c r="E97" s="206"/>
      <c r="F97" s="206">
        <v>1.3712899722102905</v>
      </c>
      <c r="G97" s="206">
        <v>1.0102265553187142</v>
      </c>
      <c r="H97" s="206">
        <v>0.87654371393122299</v>
      </c>
      <c r="I97" s="207">
        <v>0.88147435001443686</v>
      </c>
    </row>
    <row r="98" spans="2:9">
      <c r="B98" s="208" t="s">
        <v>146</v>
      </c>
      <c r="C98" s="209"/>
      <c r="D98" s="210"/>
      <c r="E98" s="210"/>
      <c r="F98" s="210">
        <v>0.1714143473755961</v>
      </c>
      <c r="G98" s="210">
        <v>0.1211015618632594</v>
      </c>
      <c r="H98" s="210">
        <v>0.11258567108136026</v>
      </c>
      <c r="I98" s="211">
        <v>0.11877212824718282</v>
      </c>
    </row>
    <row r="99" spans="2:9">
      <c r="B99" s="204" t="s">
        <v>147</v>
      </c>
      <c r="C99" s="205"/>
      <c r="D99" s="206"/>
      <c r="E99" s="206"/>
      <c r="F99" s="206">
        <v>0.97008721791894292</v>
      </c>
      <c r="G99" s="206">
        <v>0.70955446993267113</v>
      </c>
      <c r="H99" s="206">
        <v>0.59033033594160611</v>
      </c>
      <c r="I99" s="207">
        <v>0.56598241245844472</v>
      </c>
    </row>
    <row r="100" spans="2:9">
      <c r="B100" s="208" t="s">
        <v>148</v>
      </c>
      <c r="C100" s="209"/>
      <c r="D100" s="210"/>
      <c r="E100" s="210"/>
      <c r="F100" s="210">
        <v>1.1908877510776446</v>
      </c>
      <c r="G100" s="210">
        <v>0.88455509405089328</v>
      </c>
      <c r="H100" s="210">
        <v>0.74869800184582558</v>
      </c>
      <c r="I100" s="211">
        <v>0.73291205483325439</v>
      </c>
    </row>
    <row r="101" spans="2:9">
      <c r="B101" s="204" t="s">
        <v>149</v>
      </c>
      <c r="C101" s="205"/>
      <c r="D101" s="206"/>
      <c r="E101" s="206"/>
      <c r="F101" s="206">
        <v>0.36110142911649884</v>
      </c>
      <c r="G101" s="206">
        <v>0.26976344925704315</v>
      </c>
      <c r="H101" s="206">
        <v>0.22103054653601245</v>
      </c>
      <c r="I101" s="207">
        <v>0.20239115841799912</v>
      </c>
    </row>
    <row r="102" spans="2:9">
      <c r="B102" s="208" t="s">
        <v>150</v>
      </c>
      <c r="C102" s="209"/>
      <c r="D102" s="210"/>
      <c r="E102" s="210"/>
      <c r="F102" s="210">
        <v>2.2967304223455329</v>
      </c>
      <c r="G102" s="210">
        <v>1.7547315797434109</v>
      </c>
      <c r="H102" s="210">
        <v>1.3620995976477868</v>
      </c>
      <c r="I102" s="211">
        <v>1.1843662036668436</v>
      </c>
    </row>
    <row r="103" spans="2:9">
      <c r="B103" s="204" t="s">
        <v>151</v>
      </c>
      <c r="C103" s="205"/>
      <c r="D103" s="206"/>
      <c r="E103" s="206"/>
      <c r="F103" s="206">
        <v>0.21097527959120022</v>
      </c>
      <c r="G103" s="206">
        <v>0.14236913259456621</v>
      </c>
      <c r="H103" s="206">
        <v>0.10322177806923001</v>
      </c>
      <c r="I103" s="207">
        <v>8.9832650717423149E-2</v>
      </c>
    </row>
    <row r="104" spans="2:9">
      <c r="B104" s="208" t="s">
        <v>152</v>
      </c>
      <c r="C104" s="209"/>
      <c r="D104" s="210"/>
      <c r="E104" s="210"/>
      <c r="F104" s="210">
        <v>0.20162401689799292</v>
      </c>
      <c r="G104" s="210">
        <v>0.13626131302245031</v>
      </c>
      <c r="H104" s="210">
        <v>9.8717885709241823E-2</v>
      </c>
      <c r="I104" s="211">
        <v>8.6016367610053393E-2</v>
      </c>
    </row>
    <row r="105" spans="2:9">
      <c r="B105" s="204" t="s">
        <v>153</v>
      </c>
      <c r="C105" s="205"/>
      <c r="D105" s="206"/>
      <c r="E105" s="206"/>
      <c r="F105" s="206">
        <v>0.1477063433194972</v>
      </c>
      <c r="G105" s="206">
        <v>9.977238997180464E-2</v>
      </c>
      <c r="H105" s="206">
        <v>7.2351918987535999E-2</v>
      </c>
      <c r="I105" s="207">
        <v>6.2499535048332021E-2</v>
      </c>
    </row>
    <row r="106" spans="2:9">
      <c r="B106" s="208" t="s">
        <v>154</v>
      </c>
      <c r="C106" s="209"/>
      <c r="D106" s="210"/>
      <c r="E106" s="210"/>
      <c r="F106" s="210">
        <v>3.2094865616157889E-2</v>
      </c>
      <c r="G106" s="210">
        <v>2.1880278938455337E-2</v>
      </c>
      <c r="H106" s="210">
        <v>1.5821206563474455E-2</v>
      </c>
      <c r="I106" s="211">
        <v>1.3785188971711416E-2</v>
      </c>
    </row>
    <row r="107" spans="2:9" ht="15.75" thickBot="1">
      <c r="B107" s="212" t="s">
        <v>155</v>
      </c>
      <c r="C107" s="213"/>
      <c r="D107" s="214"/>
      <c r="E107" s="214"/>
      <c r="F107" s="214">
        <v>0.44960618397765512</v>
      </c>
      <c r="G107" s="214">
        <v>0.30383904802065897</v>
      </c>
      <c r="H107" s="214">
        <v>0.22037419694620469</v>
      </c>
      <c r="I107" s="228">
        <v>0.19223391048428412</v>
      </c>
    </row>
    <row r="108" spans="2:9" ht="15.75" thickBot="1">
      <c r="B108" s="525" t="s">
        <v>156</v>
      </c>
      <c r="C108" s="525"/>
      <c r="D108" s="215"/>
      <c r="E108" s="215"/>
      <c r="F108" s="215">
        <v>11.504746016061461</v>
      </c>
      <c r="G108" s="215">
        <v>8.4437636957552336</v>
      </c>
      <c r="H108" s="215">
        <v>6.8687650793014674</v>
      </c>
      <c r="I108" s="215">
        <v>6.4997086463249136</v>
      </c>
    </row>
    <row r="112" spans="2:9">
      <c r="B112" t="s">
        <v>157</v>
      </c>
      <c r="D112">
        <v>2020</v>
      </c>
      <c r="E112">
        <v>2030</v>
      </c>
      <c r="F112">
        <v>2040</v>
      </c>
      <c r="G112">
        <v>2050</v>
      </c>
    </row>
    <row r="113" spans="2:18">
      <c r="B113" t="s">
        <v>158</v>
      </c>
      <c r="D113" s="216">
        <f>SUM(F95:F102)</f>
        <v>10.462739326658959</v>
      </c>
      <c r="E113" s="216">
        <f>SUM(G95:G102)</f>
        <v>7.7396415332072976</v>
      </c>
      <c r="F113" s="216">
        <f>SUM(H95:H102)</f>
        <v>6.3582780930257803</v>
      </c>
      <c r="G113" s="216">
        <f>SUM(I95:I102)</f>
        <v>6.0553409934931093</v>
      </c>
    </row>
    <row r="114" spans="2:18">
      <c r="B114" t="s">
        <v>159</v>
      </c>
      <c r="D114" s="216">
        <f>SUM(F103:F107)</f>
        <v>1.0420066894025033</v>
      </c>
      <c r="E114" s="216">
        <f>SUM(G103:G107)</f>
        <v>0.70412216254793547</v>
      </c>
      <c r="F114" s="216">
        <f>SUM(H103:H107)</f>
        <v>0.510486986275687</v>
      </c>
      <c r="G114" s="216">
        <f>SUM(I103:I107)</f>
        <v>0.44436765283180413</v>
      </c>
    </row>
    <row r="118" spans="2:18" ht="15.75" thickBot="1"/>
    <row r="119" spans="2:18">
      <c r="B119" s="505" t="s">
        <v>125</v>
      </c>
      <c r="C119" s="506"/>
      <c r="D119" s="506"/>
      <c r="E119" s="506"/>
      <c r="F119" s="506"/>
      <c r="G119" s="506"/>
      <c r="H119" s="506"/>
      <c r="I119" s="506"/>
      <c r="J119" s="506"/>
      <c r="K119" s="506"/>
      <c r="L119" s="507"/>
    </row>
    <row r="122" spans="2:18">
      <c r="B122" s="217" t="s">
        <v>191</v>
      </c>
    </row>
    <row r="123" spans="2:18">
      <c r="B123" t="s">
        <v>160</v>
      </c>
      <c r="C123" s="196">
        <v>2020</v>
      </c>
      <c r="D123" s="196">
        <v>2025</v>
      </c>
      <c r="E123" s="196">
        <v>2030</v>
      </c>
      <c r="F123" s="196">
        <v>2035</v>
      </c>
      <c r="G123" s="196">
        <v>2040</v>
      </c>
      <c r="H123" s="196">
        <v>2045</v>
      </c>
      <c r="I123" s="196">
        <v>2050</v>
      </c>
    </row>
    <row r="124" spans="2:18">
      <c r="B124" s="196" t="s">
        <v>161</v>
      </c>
      <c r="C124" s="218">
        <v>6.5</v>
      </c>
      <c r="D124" s="218">
        <v>5.5</v>
      </c>
      <c r="E124" s="218">
        <v>4</v>
      </c>
      <c r="F124" s="218">
        <v>3.5</v>
      </c>
      <c r="G124" s="218">
        <v>3</v>
      </c>
      <c r="H124" s="218">
        <v>2.5</v>
      </c>
      <c r="I124" s="218">
        <v>2</v>
      </c>
      <c r="J124" t="s">
        <v>192</v>
      </c>
    </row>
    <row r="125" spans="2:18" ht="55.5" customHeight="1">
      <c r="B125" s="398" t="s">
        <v>163</v>
      </c>
      <c r="C125" s="399">
        <v>11.9</v>
      </c>
      <c r="D125" s="399">
        <v>13.715461348837442</v>
      </c>
      <c r="E125" s="399">
        <v>18</v>
      </c>
      <c r="F125" s="399">
        <f>(E125+G125)/2</f>
        <v>21</v>
      </c>
      <c r="G125" s="399">
        <f>(E125+I125)/2</f>
        <v>24</v>
      </c>
      <c r="H125" s="399">
        <f>(G125+I125)/2</f>
        <v>27</v>
      </c>
      <c r="I125" s="399">
        <v>30</v>
      </c>
      <c r="J125" s="522" t="s">
        <v>408</v>
      </c>
      <c r="K125" s="523"/>
      <c r="L125" s="523"/>
      <c r="M125" s="523"/>
      <c r="N125" s="523"/>
      <c r="O125" s="523"/>
      <c r="P125" s="523"/>
      <c r="Q125" s="523"/>
      <c r="R125" s="523"/>
    </row>
    <row r="126" spans="2:18">
      <c r="B126" s="395" t="s">
        <v>164</v>
      </c>
      <c r="C126" s="400">
        <v>1.27</v>
      </c>
      <c r="D126" s="400">
        <v>1.2953999999999999</v>
      </c>
      <c r="E126" s="400">
        <v>1.3208</v>
      </c>
      <c r="F126" s="400">
        <v>1.3462000000000001</v>
      </c>
      <c r="G126" s="400">
        <v>1.3716000000000002</v>
      </c>
      <c r="H126" s="400">
        <v>1.3843000000000001</v>
      </c>
      <c r="I126" s="400">
        <v>1.3970000000000002</v>
      </c>
      <c r="J126" s="401" t="s">
        <v>165</v>
      </c>
      <c r="N126" s="402" t="s">
        <v>409</v>
      </c>
    </row>
    <row r="127" spans="2:18">
      <c r="B127" s="196" t="s">
        <v>166</v>
      </c>
      <c r="C127" s="218">
        <v>1.3640000000000001</v>
      </c>
      <c r="D127" s="218">
        <v>1.3640000000000001</v>
      </c>
      <c r="E127" s="218">
        <v>1.3640000000000001</v>
      </c>
      <c r="F127" s="218">
        <v>1.3640000000000001</v>
      </c>
      <c r="G127" s="218">
        <v>1.3640000000000001</v>
      </c>
      <c r="H127" s="218">
        <v>1.3640000000000001</v>
      </c>
      <c r="I127" s="218">
        <v>1.3640000000000001</v>
      </c>
      <c r="J127" t="s">
        <v>193</v>
      </c>
    </row>
    <row r="128" spans="2:18">
      <c r="B128" s="196" t="s">
        <v>168</v>
      </c>
      <c r="C128" s="218">
        <v>6.2960000000000003</v>
      </c>
      <c r="D128" s="218">
        <v>6.6</v>
      </c>
      <c r="E128" s="218">
        <v>7</v>
      </c>
      <c r="F128" s="218">
        <v>7</v>
      </c>
      <c r="G128" s="218">
        <v>7</v>
      </c>
      <c r="H128" s="218">
        <v>7</v>
      </c>
      <c r="I128" s="218">
        <v>7</v>
      </c>
      <c r="J128" t="s">
        <v>194</v>
      </c>
    </row>
    <row r="129" spans="2:10">
      <c r="B129" s="196" t="s">
        <v>170</v>
      </c>
      <c r="C129" s="218">
        <v>6.3630000000000004</v>
      </c>
      <c r="D129" s="218">
        <v>6.3630000000000004</v>
      </c>
      <c r="E129" s="218">
        <v>6.3630000000000004</v>
      </c>
      <c r="F129" s="218">
        <v>6.3630000000000004</v>
      </c>
      <c r="G129" s="218">
        <v>6.3630000000000004</v>
      </c>
      <c r="H129" s="218">
        <v>6.3630000000000004</v>
      </c>
      <c r="I129" s="218">
        <v>6.3630000000000004</v>
      </c>
      <c r="J129" t="s">
        <v>195</v>
      </c>
    </row>
    <row r="130" spans="2:10">
      <c r="B130" s="196" t="s">
        <v>171</v>
      </c>
      <c r="C130" s="218">
        <v>1.92</v>
      </c>
      <c r="D130" s="218">
        <v>1.92</v>
      </c>
      <c r="E130" s="218">
        <v>1.92</v>
      </c>
      <c r="F130" s="218">
        <v>1.92</v>
      </c>
      <c r="G130" s="218">
        <v>1.92</v>
      </c>
      <c r="H130" s="218">
        <v>1.92</v>
      </c>
      <c r="I130" s="218">
        <v>1.92</v>
      </c>
      <c r="J130" s="229" t="s">
        <v>196</v>
      </c>
    </row>
    <row r="131" spans="2:10">
      <c r="B131" t="s">
        <v>173</v>
      </c>
      <c r="C131" s="220"/>
    </row>
    <row r="132" spans="2:10">
      <c r="B132" s="217" t="s">
        <v>17</v>
      </c>
      <c r="C132" s="221">
        <f>SUM(C124:C131)</f>
        <v>35.613</v>
      </c>
      <c r="D132" s="221">
        <f t="shared" ref="D132:I132" si="46">SUM(D124:D131)</f>
        <v>36.757861348837444</v>
      </c>
      <c r="E132" s="221">
        <f t="shared" si="46"/>
        <v>39.967800000000004</v>
      </c>
      <c r="F132" s="221">
        <f t="shared" si="46"/>
        <v>42.493200000000002</v>
      </c>
      <c r="G132" s="221">
        <f t="shared" si="46"/>
        <v>45.018600000000006</v>
      </c>
      <c r="H132" s="221">
        <f t="shared" si="46"/>
        <v>47.531300000000002</v>
      </c>
      <c r="I132" s="221">
        <f t="shared" si="46"/>
        <v>50.043999999999997</v>
      </c>
    </row>
  </sheetData>
  <mergeCells count="15">
    <mergeCell ref="J125:R125"/>
    <mergeCell ref="B36:B42"/>
    <mergeCell ref="A1:M1"/>
    <mergeCell ref="C3:H3"/>
    <mergeCell ref="C13:H13"/>
    <mergeCell ref="B19:L19"/>
    <mergeCell ref="B28:B34"/>
    <mergeCell ref="B119:L119"/>
    <mergeCell ref="B45:L45"/>
    <mergeCell ref="B55:B61"/>
    <mergeCell ref="B63:B69"/>
    <mergeCell ref="B72:L72"/>
    <mergeCell ref="B90:L90"/>
    <mergeCell ref="B108:C108"/>
    <mergeCell ref="L56:O58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N154"/>
  <sheetViews>
    <sheetView zoomScale="85" zoomScaleNormal="85" workbookViewId="0">
      <selection activeCell="E55" sqref="E55"/>
    </sheetView>
  </sheetViews>
  <sheetFormatPr baseColWidth="10" defaultRowHeight="15"/>
  <cols>
    <col min="1" max="1" width="26" customWidth="1"/>
    <col min="2" max="2" width="32.140625" customWidth="1"/>
    <col min="3" max="3" width="16.28515625" bestFit="1" customWidth="1"/>
    <col min="4" max="5" width="15" bestFit="1" customWidth="1"/>
    <col min="6" max="9" width="11.7109375" bestFit="1" customWidth="1"/>
    <col min="12" max="12" width="14.85546875" customWidth="1"/>
  </cols>
  <sheetData>
    <row r="1" spans="1:13" ht="18.75">
      <c r="A1" s="497" t="s">
        <v>120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</row>
    <row r="3" spans="1:13">
      <c r="C3" s="478" t="s">
        <v>60</v>
      </c>
      <c r="D3" s="479"/>
      <c r="E3" s="479"/>
      <c r="F3" s="479"/>
      <c r="G3" s="479"/>
      <c r="H3" s="480"/>
    </row>
    <row r="4" spans="1:13">
      <c r="D4" s="9"/>
      <c r="E4" s="9">
        <v>2020</v>
      </c>
      <c r="F4" s="9">
        <v>2030</v>
      </c>
      <c r="G4" s="9">
        <v>2040</v>
      </c>
      <c r="H4" s="9">
        <v>2050</v>
      </c>
    </row>
    <row r="5" spans="1:13">
      <c r="C5" s="8" t="s">
        <v>175</v>
      </c>
      <c r="D5" s="222"/>
      <c r="E5" s="225">
        <f>SUM(E6:E10)</f>
        <v>158.82824117655741</v>
      </c>
      <c r="F5" s="225">
        <f t="shared" ref="F5:H5" si="0">SUM(F6:F10)</f>
        <v>163.79885340304168</v>
      </c>
      <c r="G5" s="225">
        <f t="shared" si="0"/>
        <v>185.01660117107875</v>
      </c>
      <c r="H5" s="225">
        <f t="shared" si="0"/>
        <v>213.98016858048382</v>
      </c>
      <c r="I5" s="254"/>
    </row>
    <row r="6" spans="1:13">
      <c r="C6" s="124" t="s">
        <v>176</v>
      </c>
      <c r="D6" s="86"/>
      <c r="E6" s="222">
        <f>D40+D70+C91+D118+C137</f>
        <v>135.1859045081749</v>
      </c>
      <c r="F6" s="222">
        <f>D42+D72+E91+E118+E137</f>
        <v>143.57148465130985</v>
      </c>
      <c r="G6" s="222">
        <f>D44+D74+G91+G137+F118</f>
        <v>166.29647997488041</v>
      </c>
      <c r="H6" s="222">
        <f>D46+D76+I91+G118+I137</f>
        <v>196.60662358904526</v>
      </c>
    </row>
    <row r="7" spans="1:13">
      <c r="C7" s="124" t="s">
        <v>76</v>
      </c>
      <c r="D7" s="86"/>
      <c r="E7" s="222">
        <f>E40+E70</f>
        <v>16.918432156631194</v>
      </c>
      <c r="F7" s="222">
        <f>E42+E72</f>
        <v>14.402066372549832</v>
      </c>
      <c r="G7" s="222">
        <f>E44+E74</f>
        <v>13.527232268561685</v>
      </c>
      <c r="H7" s="222">
        <f>E46+E76</f>
        <v>12.627611524259041</v>
      </c>
    </row>
    <row r="8" spans="1:13">
      <c r="C8" s="124" t="s">
        <v>177</v>
      </c>
      <c r="D8" s="86"/>
      <c r="E8" s="222">
        <f>G40+G70</f>
        <v>4.9587960253733012</v>
      </c>
      <c r="F8" s="222">
        <f>G42+G72</f>
        <v>3.8830438834044845</v>
      </c>
      <c r="G8" s="222">
        <f>G44+G74</f>
        <v>3.2984830966687158</v>
      </c>
      <c r="H8" s="222">
        <f>G46+G76</f>
        <v>2.9346220514475667</v>
      </c>
    </row>
    <row r="9" spans="1:13">
      <c r="C9" s="124" t="s">
        <v>133</v>
      </c>
      <c r="D9" s="10"/>
      <c r="E9" s="223">
        <f>H40+H70</f>
        <v>0.2146153499104517</v>
      </c>
      <c r="F9" s="222">
        <f>H42+H72</f>
        <v>0.23724516632789316</v>
      </c>
      <c r="G9" s="222">
        <f>H44+H74</f>
        <v>0.24732151527102963</v>
      </c>
      <c r="H9" s="222">
        <f>H46+H76</f>
        <v>0.25394561321281112</v>
      </c>
    </row>
    <row r="10" spans="1:13">
      <c r="C10" s="124" t="s">
        <v>178</v>
      </c>
      <c r="D10" s="10"/>
      <c r="E10" s="223">
        <f>I40</f>
        <v>1.5504931364675845</v>
      </c>
      <c r="F10" s="222">
        <f>I42</f>
        <v>1.705013329449637</v>
      </c>
      <c r="G10" s="222">
        <f>I44</f>
        <v>1.6470843156968891</v>
      </c>
      <c r="H10" s="222">
        <f>I46</f>
        <v>1.5573658025191424</v>
      </c>
    </row>
    <row r="11" spans="1:13">
      <c r="C11" s="124" t="s">
        <v>201</v>
      </c>
      <c r="D11" s="277"/>
      <c r="E11" s="278"/>
      <c r="F11" s="279"/>
      <c r="G11" s="279"/>
      <c r="H11" s="279"/>
    </row>
    <row r="13" spans="1:13">
      <c r="C13" s="478" t="s">
        <v>98</v>
      </c>
      <c r="D13" s="479"/>
      <c r="E13" s="479"/>
      <c r="F13" s="479"/>
      <c r="G13" s="479"/>
      <c r="H13" s="480"/>
    </row>
    <row r="14" spans="1:13">
      <c r="C14" s="8" t="s">
        <v>179</v>
      </c>
      <c r="D14" s="224"/>
      <c r="E14" s="224">
        <f>E5/$E5-1</f>
        <v>0</v>
      </c>
      <c r="F14" s="224">
        <f t="shared" ref="F14:H14" si="1">F5/$E5-1</f>
        <v>3.1295518918192933E-2</v>
      </c>
      <c r="G14" s="224">
        <f t="shared" si="1"/>
        <v>0.16488478245760896</v>
      </c>
      <c r="H14" s="224">
        <f t="shared" si="1"/>
        <v>0.34724257471703757</v>
      </c>
    </row>
    <row r="16" spans="1:13" ht="45.75">
      <c r="C16" s="90"/>
      <c r="D16" s="261" t="s">
        <v>205</v>
      </c>
      <c r="E16" s="260" t="s">
        <v>83</v>
      </c>
      <c r="F16" s="260" t="s">
        <v>35</v>
      </c>
      <c r="G16" s="347" t="s">
        <v>342</v>
      </c>
      <c r="H16" s="347" t="s">
        <v>343</v>
      </c>
      <c r="I16" s="347" t="s">
        <v>344</v>
      </c>
    </row>
    <row r="17" spans="1:17">
      <c r="C17" s="84" t="s">
        <v>23</v>
      </c>
      <c r="D17" s="55">
        <f>'Tableau de bord'!M12</f>
        <v>0.79522122626701186</v>
      </c>
      <c r="E17" s="92">
        <f>'Tableau de bord'!M24</f>
        <v>0.48126877450670869</v>
      </c>
      <c r="F17" s="92">
        <f>'Tableau de bord'!M27</f>
        <v>0.38418053955446152</v>
      </c>
      <c r="G17" s="92">
        <f>'Tableau de bord'!F52*('Tableau de bord'!E6/'Tableau de bord'!M6)+'Tableau de bord'!F56*('Tableau de bord'!M6-'Tableau de bord'!E6)/'Tableau de bord'!M6</f>
        <v>0.31337991812791643</v>
      </c>
      <c r="H17" s="92">
        <f>'Tableau de bord'!U52*('Tableau de bord'!E6/'Tableau de bord'!M6)+'Tableau de bord'!U56*('Tableau de bord'!M6-'Tableau de bord'!E6)/'Tableau de bord'!M6</f>
        <v>0.42499999999999999</v>
      </c>
      <c r="I17" s="92">
        <f>'Tableau de bord'!AJ52*'Tableau de bord'!E6/'Tableau de bord'!M6+'Tableau de bord'!AJ56*('Tableau de bord'!M6-'Tableau de bord'!E6)/'Tableau de bord'!M6</f>
        <v>0.52500000000000002</v>
      </c>
    </row>
    <row r="18" spans="1:17" ht="15.75" thickBot="1">
      <c r="G18" t="s">
        <v>345</v>
      </c>
    </row>
    <row r="19" spans="1:17">
      <c r="B19" s="505" t="s">
        <v>121</v>
      </c>
      <c r="C19" s="506"/>
      <c r="D19" s="506"/>
      <c r="E19" s="506"/>
      <c r="F19" s="506"/>
      <c r="G19" s="506"/>
      <c r="H19" s="506"/>
      <c r="I19" s="506"/>
      <c r="J19" s="506"/>
      <c r="K19" s="506"/>
      <c r="L19" s="507"/>
    </row>
    <row r="21" spans="1:17">
      <c r="C21" s="188">
        <v>2020</v>
      </c>
      <c r="D21" s="188">
        <f t="shared" ref="D21:I21" si="2">C21+5</f>
        <v>2025</v>
      </c>
      <c r="E21" s="188">
        <f t="shared" si="2"/>
        <v>2030</v>
      </c>
      <c r="F21" s="188">
        <f t="shared" si="2"/>
        <v>2035</v>
      </c>
      <c r="G21" s="188">
        <f t="shared" si="2"/>
        <v>2040</v>
      </c>
      <c r="H21" s="188">
        <f>G21+5</f>
        <v>2045</v>
      </c>
      <c r="I21" s="188">
        <f t="shared" si="2"/>
        <v>2050</v>
      </c>
    </row>
    <row r="22" spans="1:17">
      <c r="A22" t="s">
        <v>340</v>
      </c>
      <c r="C22" s="350"/>
      <c r="D22" s="350"/>
      <c r="E22" s="350"/>
      <c r="F22" s="350"/>
      <c r="G22" s="350"/>
      <c r="H22" s="350"/>
      <c r="I22" s="350"/>
    </row>
    <row r="23" spans="1:17">
      <c r="B23" s="188" t="s">
        <v>126</v>
      </c>
      <c r="C23" s="255">
        <f>1000*C29/C24</f>
        <v>24.157052121600081</v>
      </c>
      <c r="D23" s="255">
        <f>C23</f>
        <v>24.157052121600081</v>
      </c>
      <c r="E23" s="255">
        <f t="shared" ref="E23:H23" si="3">D23</f>
        <v>24.157052121600081</v>
      </c>
      <c r="F23" s="255">
        <f t="shared" si="3"/>
        <v>24.157052121600081</v>
      </c>
      <c r="G23" s="255">
        <f t="shared" si="3"/>
        <v>24.157052121600081</v>
      </c>
      <c r="H23" s="255">
        <f t="shared" si="3"/>
        <v>24.157052121600081</v>
      </c>
      <c r="I23" s="255">
        <f>H23</f>
        <v>24.157052121600081</v>
      </c>
    </row>
    <row r="24" spans="1:17" ht="15.75">
      <c r="B24" s="190" t="s">
        <v>127</v>
      </c>
      <c r="C24" s="276">
        <f>'Init. parc'!C28/1000</f>
        <v>983.4370555157949</v>
      </c>
      <c r="D24" s="191">
        <f>(C24+E24)/2</f>
        <v>993.22426593672935</v>
      </c>
      <c r="E24" s="191">
        <f>'Init. parc'!D$12/1000</f>
        <v>1003.0114763576638</v>
      </c>
      <c r="F24" s="191">
        <f>(E24+G24)/2</f>
        <v>1010.801503387927</v>
      </c>
      <c r="G24" s="191">
        <f>'Init. parc'!E$12/1000</f>
        <v>1018.5915304181902</v>
      </c>
      <c r="H24" s="191">
        <f>(G24+I24)/2</f>
        <v>1014.0241715364807</v>
      </c>
      <c r="I24" s="191">
        <f>'Init. parc'!F$12/1000</f>
        <v>1009.4568126547711</v>
      </c>
      <c r="J24" s="192"/>
    </row>
    <row r="25" spans="1:17">
      <c r="A25" t="s">
        <v>341</v>
      </c>
      <c r="C25" s="350"/>
      <c r="D25" s="350"/>
      <c r="E25" s="350"/>
      <c r="F25" s="350"/>
      <c r="G25" s="350"/>
      <c r="H25" s="350"/>
      <c r="I25" s="350"/>
      <c r="J25" s="192"/>
    </row>
    <row r="26" spans="1:17">
      <c r="B26" s="188" t="s">
        <v>126</v>
      </c>
      <c r="C26" s="255">
        <f>1000*C29/C27</f>
        <v>24.157052121600081</v>
      </c>
      <c r="D26" s="255">
        <f>(C26+E26)/2</f>
        <v>20.37188461356066</v>
      </c>
      <c r="E26" s="255">
        <f>C26*(1-$G$17)</f>
        <v>16.586717105521238</v>
      </c>
      <c r="F26" s="255">
        <f>(E26+G26)/2</f>
        <v>15.238511037720642</v>
      </c>
      <c r="G26" s="255">
        <f>C26*(1-$H$17)</f>
        <v>13.890304969920045</v>
      </c>
      <c r="H26" s="255">
        <f>(G26+I26)/2</f>
        <v>12.682452363840042</v>
      </c>
      <c r="I26" s="255">
        <f>C26*(1-$I$17)</f>
        <v>11.474599757760037</v>
      </c>
      <c r="J26" s="192"/>
    </row>
    <row r="27" spans="1:17" ht="15.75">
      <c r="B27" s="190" t="s">
        <v>127</v>
      </c>
      <c r="C27" s="276">
        <f>'Init. parc'!C28/1000</f>
        <v>983.4370555157949</v>
      </c>
      <c r="D27" s="191">
        <f>(C27+E27)/2</f>
        <v>993.22426593672935</v>
      </c>
      <c r="E27" s="191">
        <f>'Init. parc'!D$12/1000</f>
        <v>1003.0114763576638</v>
      </c>
      <c r="F27" s="191">
        <f>(E27+G27)/2</f>
        <v>1010.801503387927</v>
      </c>
      <c r="G27" s="191">
        <f>'Init. parc'!E$12/1000</f>
        <v>1018.5915304181902</v>
      </c>
      <c r="H27" s="191">
        <f>(G27+I27)/2</f>
        <v>1014.0241715364807</v>
      </c>
      <c r="I27" s="191">
        <f>'Init. parc'!F$12/1000</f>
        <v>1009.4568126547711</v>
      </c>
      <c r="J27" s="192"/>
    </row>
    <row r="29" spans="1:17">
      <c r="B29" s="193" t="s">
        <v>128</v>
      </c>
      <c r="C29" s="274">
        <f>'Init. énergie'!C113</f>
        <v>23.756940208407972</v>
      </c>
      <c r="D29" s="194">
        <f>(D23*D24*(1-$F$17)+D26*D27*$F$17)/1000</f>
        <v>22.549035854232024</v>
      </c>
      <c r="E29" s="194">
        <f t="shared" ref="E29:I29" si="4">(E23*E24*(1-$F$17)+E26*E27*$F$17)/1000</f>
        <v>21.312666618120463</v>
      </c>
      <c r="F29" s="194">
        <f t="shared" si="4"/>
        <v>20.954645161990445</v>
      </c>
      <c r="G29" s="194">
        <f t="shared" si="4"/>
        <v>20.588553946211114</v>
      </c>
      <c r="H29" s="194">
        <f t="shared" si="4"/>
        <v>20.025693831478282</v>
      </c>
      <c r="I29" s="194">
        <f t="shared" si="4"/>
        <v>19.467072531489279</v>
      </c>
    </row>
    <row r="31" spans="1:17" ht="15" customHeight="1">
      <c r="B31" s="188"/>
      <c r="C31" s="195" t="s">
        <v>18</v>
      </c>
      <c r="D31" s="188" t="s">
        <v>129</v>
      </c>
      <c r="E31" s="188" t="s">
        <v>130</v>
      </c>
      <c r="F31" s="188" t="s">
        <v>131</v>
      </c>
      <c r="G31" s="188" t="s">
        <v>132</v>
      </c>
      <c r="H31" s="188" t="s">
        <v>133</v>
      </c>
      <c r="I31" s="188" t="s">
        <v>134</v>
      </c>
      <c r="J31" s="188" t="s">
        <v>393</v>
      </c>
      <c r="L31" s="74"/>
      <c r="M31" t="s">
        <v>381</v>
      </c>
      <c r="N31" s="9">
        <v>2020</v>
      </c>
      <c r="O31" s="9">
        <v>2030</v>
      </c>
      <c r="P31" s="9">
        <v>2040</v>
      </c>
      <c r="Q31" s="9">
        <v>2050</v>
      </c>
    </row>
    <row r="32" spans="1:17">
      <c r="B32" s="524" t="s">
        <v>135</v>
      </c>
      <c r="C32" s="196">
        <v>2020</v>
      </c>
      <c r="D32" s="275">
        <v>0.3</v>
      </c>
      <c r="E32" s="275">
        <v>0.47</v>
      </c>
      <c r="F32" s="275"/>
      <c r="G32" s="275">
        <v>0.14872764446813611</v>
      </c>
      <c r="H32" s="275">
        <v>6.0425857322091549E-3</v>
      </c>
      <c r="I32" s="275">
        <v>6.5264849886638152E-2</v>
      </c>
      <c r="J32" s="275">
        <v>0.01</v>
      </c>
      <c r="K32" s="527" t="s">
        <v>394</v>
      </c>
      <c r="L32" s="528"/>
      <c r="M32" s="124" t="s">
        <v>15</v>
      </c>
      <c r="N32" s="156">
        <v>0.14415655922165294</v>
      </c>
      <c r="O32" s="156">
        <v>0.11945007344902489</v>
      </c>
      <c r="P32" s="156">
        <v>0.10460933258984489</v>
      </c>
      <c r="Q32" s="156">
        <v>8.8623038339001689E-2</v>
      </c>
    </row>
    <row r="33" spans="2:17">
      <c r="B33" s="524"/>
      <c r="C33" s="188">
        <f t="shared" ref="C33:C38" si="5">C32+5</f>
        <v>2025</v>
      </c>
      <c r="D33" s="197">
        <f>(D32+D34)/2</f>
        <v>0.32599999999999996</v>
      </c>
      <c r="E33" s="197">
        <f t="shared" ref="E33:J33" si="6">(E32+E34)/2</f>
        <v>0.44499999999999995</v>
      </c>
      <c r="F33" s="197">
        <f t="shared" si="6"/>
        <v>0</v>
      </c>
      <c r="G33" s="197">
        <f t="shared" si="6"/>
        <v>0.13936382223406807</v>
      </c>
      <c r="H33" s="197">
        <f t="shared" si="6"/>
        <v>7.0212928661045771E-3</v>
      </c>
      <c r="I33" s="197">
        <f t="shared" si="6"/>
        <v>7.2632424943319077E-2</v>
      </c>
      <c r="J33" s="197">
        <f t="shared" si="6"/>
        <v>0.01</v>
      </c>
      <c r="K33" s="527"/>
      <c r="L33" s="528"/>
      <c r="M33" s="124" t="s">
        <v>16</v>
      </c>
      <c r="N33" s="156">
        <v>0.46184216675104878</v>
      </c>
      <c r="O33" s="156">
        <v>0.42459793538493057</v>
      </c>
      <c r="P33" s="156">
        <v>0.4160503416604861</v>
      </c>
      <c r="Q33" s="156">
        <v>0.40722839775526215</v>
      </c>
    </row>
    <row r="34" spans="2:17">
      <c r="B34" s="524"/>
      <c r="C34" s="188">
        <f t="shared" si="5"/>
        <v>2030</v>
      </c>
      <c r="D34" s="197">
        <v>0.35199999999999998</v>
      </c>
      <c r="E34" s="197">
        <v>0.42</v>
      </c>
      <c r="F34" s="197"/>
      <c r="G34" s="197">
        <v>0.13</v>
      </c>
      <c r="H34" s="197">
        <v>8.0000000000000002E-3</v>
      </c>
      <c r="I34" s="197">
        <v>0.08</v>
      </c>
      <c r="J34" s="197">
        <v>0.01</v>
      </c>
      <c r="K34" s="527"/>
      <c r="L34" s="528"/>
      <c r="M34" s="124" t="s">
        <v>21</v>
      </c>
      <c r="N34" s="156">
        <v>7.2597836705236243E-2</v>
      </c>
      <c r="O34" s="156">
        <v>8.1339687727180338E-2</v>
      </c>
      <c r="P34" s="156">
        <v>8.0358663166776201E-2</v>
      </c>
      <c r="Q34" s="156">
        <v>7.6845786884672362E-2</v>
      </c>
    </row>
    <row r="35" spans="2:17">
      <c r="B35" s="524"/>
      <c r="C35" s="188">
        <f t="shared" si="5"/>
        <v>2035</v>
      </c>
      <c r="D35" s="197">
        <f>(D34+D36)/2</f>
        <v>0.36599999999999999</v>
      </c>
      <c r="E35" s="197">
        <f t="shared" ref="E35" si="7">(E34+E36)/2</f>
        <v>0.41549999999999998</v>
      </c>
      <c r="F35" s="197">
        <f t="shared" ref="F35" si="8">(F34+F36)/2</f>
        <v>0</v>
      </c>
      <c r="G35" s="197">
        <f t="shared" ref="G35" si="9">(G34+G36)/2</f>
        <v>0.12</v>
      </c>
      <c r="H35" s="197">
        <f t="shared" ref="H35" si="10">(H34+H36)/2</f>
        <v>8.5000000000000006E-3</v>
      </c>
      <c r="I35" s="197">
        <f t="shared" ref="I35" si="11">(I34+I36)/2</f>
        <v>0.08</v>
      </c>
      <c r="J35" s="197">
        <f t="shared" ref="J35" si="12">(J34+J36)/2</f>
        <v>0.01</v>
      </c>
      <c r="K35" s="527"/>
      <c r="L35" s="528"/>
      <c r="M35" s="124" t="s">
        <v>22</v>
      </c>
      <c r="N35" s="156">
        <v>1.4480194878288586E-2</v>
      </c>
      <c r="O35" s="156">
        <v>1.447099595781543E-2</v>
      </c>
      <c r="P35" s="156">
        <v>1.4586326589962183E-2</v>
      </c>
      <c r="Q35" s="156">
        <v>1.4705295579094937E-2</v>
      </c>
    </row>
    <row r="36" spans="2:17">
      <c r="B36" s="524"/>
      <c r="C36" s="188">
        <f t="shared" si="5"/>
        <v>2040</v>
      </c>
      <c r="D36" s="197">
        <v>0.38</v>
      </c>
      <c r="E36" s="197">
        <v>0.41099999999999998</v>
      </c>
      <c r="F36" s="197"/>
      <c r="G36" s="197">
        <v>0.11</v>
      </c>
      <c r="H36" s="197">
        <v>9.0000000000000011E-3</v>
      </c>
      <c r="I36" s="197">
        <v>0.08</v>
      </c>
      <c r="J36" s="197">
        <v>0.01</v>
      </c>
      <c r="K36" s="527"/>
      <c r="L36" s="528"/>
      <c r="M36" s="124" t="s">
        <v>42</v>
      </c>
      <c r="N36" s="156">
        <v>1.3129164858145102E-2</v>
      </c>
      <c r="O36" s="156">
        <v>1.475987156072082E-2</v>
      </c>
      <c r="P36" s="156">
        <v>1.5789216725291735E-2</v>
      </c>
      <c r="Q36" s="156">
        <v>1.6846841956392428E-2</v>
      </c>
    </row>
    <row r="37" spans="2:17">
      <c r="B37" s="524"/>
      <c r="C37" s="188">
        <f t="shared" si="5"/>
        <v>2045</v>
      </c>
      <c r="D37" s="197">
        <f>(D36+D38)/2</f>
        <v>0.39</v>
      </c>
      <c r="E37" s="197">
        <f t="shared" ref="E37" si="13">(E36+E38)/2</f>
        <v>0.40549999999999997</v>
      </c>
      <c r="F37" s="197">
        <f t="shared" ref="F37" si="14">(F36+F38)/2</f>
        <v>0</v>
      </c>
      <c r="G37" s="197">
        <f t="shared" ref="G37" si="15">(G36+G38)/2</f>
        <v>0.10500000000000001</v>
      </c>
      <c r="H37" s="197">
        <f t="shared" ref="H37" si="16">(H36+H38)/2</f>
        <v>9.5000000000000015E-3</v>
      </c>
      <c r="I37" s="197">
        <f t="shared" ref="I37" si="17">(I36+I38)/2</f>
        <v>0.08</v>
      </c>
      <c r="J37" s="197">
        <f t="shared" ref="J37" si="18">(J36+J38)/2</f>
        <v>0.01</v>
      </c>
      <c r="K37" s="527"/>
      <c r="L37" s="528"/>
      <c r="M37" s="124" t="s">
        <v>382</v>
      </c>
      <c r="N37" s="156">
        <v>0.29379407758562831</v>
      </c>
      <c r="O37" s="156">
        <v>0.34538143592032805</v>
      </c>
      <c r="P37" s="156">
        <v>0.36860611926763898</v>
      </c>
      <c r="Q37" s="156">
        <v>0.39575063948557637</v>
      </c>
    </row>
    <row r="38" spans="2:17">
      <c r="B38" s="524"/>
      <c r="C38" s="188">
        <f t="shared" si="5"/>
        <v>2050</v>
      </c>
      <c r="D38" s="197">
        <v>0.4</v>
      </c>
      <c r="E38" s="197">
        <v>0.4</v>
      </c>
      <c r="F38" s="197"/>
      <c r="G38" s="197">
        <v>0.1</v>
      </c>
      <c r="H38" s="197">
        <v>0.01</v>
      </c>
      <c r="I38" s="197">
        <v>0.08</v>
      </c>
      <c r="J38" s="197">
        <v>0.01</v>
      </c>
      <c r="K38" s="527"/>
      <c r="L38" s="528"/>
      <c r="M38" s="124"/>
    </row>
    <row r="39" spans="2:17">
      <c r="D39" s="198"/>
      <c r="E39" s="198"/>
      <c r="F39" s="198"/>
      <c r="G39" s="198"/>
      <c r="H39" s="198"/>
      <c r="I39" s="198"/>
      <c r="J39" s="198"/>
    </row>
    <row r="40" spans="2:17">
      <c r="B40" s="524" t="s">
        <v>136</v>
      </c>
      <c r="C40" s="196">
        <v>2020</v>
      </c>
      <c r="D40" s="198">
        <f>$C29*D32</f>
        <v>7.1270820625223914</v>
      </c>
      <c r="E40" s="198">
        <f t="shared" ref="E40:I40" si="19">$C29*E32</f>
        <v>11.165761897951747</v>
      </c>
      <c r="F40" s="198">
        <f t="shared" si="19"/>
        <v>0</v>
      </c>
      <c r="G40" s="198">
        <f t="shared" si="19"/>
        <v>3.533313756966868</v>
      </c>
      <c r="H40" s="198">
        <f t="shared" si="19"/>
        <v>0.14355334794427199</v>
      </c>
      <c r="I40" s="198">
        <f t="shared" si="19"/>
        <v>1.5504931364675845</v>
      </c>
      <c r="J40" s="198">
        <f t="shared" ref="J40" si="20">$C29*J32</f>
        <v>0.23756940208407973</v>
      </c>
    </row>
    <row r="41" spans="2:17">
      <c r="B41" s="524"/>
      <c r="C41" s="188">
        <f t="shared" ref="C41:C46" si="21">C40+5</f>
        <v>2025</v>
      </c>
      <c r="D41" s="198">
        <f>$D29*D33</f>
        <v>7.3509856884796392</v>
      </c>
      <c r="E41" s="198">
        <f t="shared" ref="E41:I41" si="22">$D29*E33</f>
        <v>10.03432095513325</v>
      </c>
      <c r="F41" s="198">
        <f t="shared" si="22"/>
        <v>0</v>
      </c>
      <c r="G41" s="198">
        <f t="shared" si="22"/>
        <v>3.142519824338819</v>
      </c>
      <c r="H41" s="198">
        <f t="shared" si="22"/>
        <v>0.15832338458085563</v>
      </c>
      <c r="I41" s="198">
        <f t="shared" si="22"/>
        <v>1.6377911542267183</v>
      </c>
      <c r="J41" s="198">
        <f t="shared" ref="J41" si="23">$D29*J33</f>
        <v>0.22549035854232025</v>
      </c>
    </row>
    <row r="42" spans="2:17">
      <c r="B42" s="524"/>
      <c r="C42" s="188">
        <f t="shared" si="21"/>
        <v>2030</v>
      </c>
      <c r="D42" s="198">
        <f>$E29*D34</f>
        <v>7.5020586495784025</v>
      </c>
      <c r="E42" s="198">
        <f t="shared" ref="E42:I42" si="24">$E29*E34</f>
        <v>8.9513199796105951</v>
      </c>
      <c r="F42" s="198">
        <f t="shared" si="24"/>
        <v>0</v>
      </c>
      <c r="G42" s="198">
        <f t="shared" si="24"/>
        <v>2.7706466603556605</v>
      </c>
      <c r="H42" s="198">
        <f t="shared" si="24"/>
        <v>0.17050133294496372</v>
      </c>
      <c r="I42" s="198">
        <f t="shared" si="24"/>
        <v>1.705013329449637</v>
      </c>
      <c r="J42" s="198">
        <f t="shared" ref="J42" si="25">$E29*J34</f>
        <v>0.21312666618120463</v>
      </c>
    </row>
    <row r="43" spans="2:17">
      <c r="B43" s="524"/>
      <c r="C43" s="188">
        <f t="shared" si="21"/>
        <v>2035</v>
      </c>
      <c r="D43" s="198">
        <f>$F29*D35</f>
        <v>7.669400129288503</v>
      </c>
      <c r="E43" s="198">
        <f t="shared" ref="E43:I43" si="26">$F29*E35</f>
        <v>8.7066550648070304</v>
      </c>
      <c r="F43" s="198">
        <f t="shared" si="26"/>
        <v>0</v>
      </c>
      <c r="G43" s="198">
        <f t="shared" si="26"/>
        <v>2.5145574194388534</v>
      </c>
      <c r="H43" s="198">
        <f t="shared" si="26"/>
        <v>0.17811448387691881</v>
      </c>
      <c r="I43" s="198">
        <f t="shared" si="26"/>
        <v>1.6763716129592356</v>
      </c>
      <c r="J43" s="198">
        <f t="shared" ref="J43" si="27">$F29*J35</f>
        <v>0.20954645161990446</v>
      </c>
    </row>
    <row r="44" spans="2:17">
      <c r="B44" s="524"/>
      <c r="C44" s="188">
        <f t="shared" si="21"/>
        <v>2040</v>
      </c>
      <c r="D44" s="198">
        <f>$G29*D36</f>
        <v>7.8236504995602232</v>
      </c>
      <c r="E44" s="198">
        <f t="shared" ref="E44:I44" si="28">$G29*E36</f>
        <v>8.4618956718927674</v>
      </c>
      <c r="F44" s="198">
        <f t="shared" si="28"/>
        <v>0</v>
      </c>
      <c r="G44" s="198">
        <f t="shared" si="28"/>
        <v>2.2647409340832225</v>
      </c>
      <c r="H44" s="198">
        <f t="shared" si="28"/>
        <v>0.18529698551590004</v>
      </c>
      <c r="I44" s="198">
        <f t="shared" si="28"/>
        <v>1.6470843156968891</v>
      </c>
      <c r="J44" s="198">
        <f t="shared" ref="J44" si="29">$G29*J36</f>
        <v>0.20588553946211113</v>
      </c>
    </row>
    <row r="45" spans="2:17">
      <c r="B45" s="524"/>
      <c r="C45" s="188">
        <f t="shared" si="21"/>
        <v>2045</v>
      </c>
      <c r="D45" s="198">
        <f>$H29*D37</f>
        <v>7.8100205942765299</v>
      </c>
      <c r="E45" s="198">
        <f t="shared" ref="E45:I45" si="30">$H29*E37</f>
        <v>8.1204188486644426</v>
      </c>
      <c r="F45" s="198">
        <f t="shared" si="30"/>
        <v>0</v>
      </c>
      <c r="G45" s="198">
        <f t="shared" si="30"/>
        <v>2.1026978523052198</v>
      </c>
      <c r="H45" s="198">
        <f t="shared" si="30"/>
        <v>0.19024409139904372</v>
      </c>
      <c r="I45" s="198">
        <f t="shared" si="30"/>
        <v>1.6020555065182627</v>
      </c>
      <c r="J45" s="198">
        <f t="shared" ref="J45" si="31">$H29*J37</f>
        <v>0.20025693831478283</v>
      </c>
    </row>
    <row r="46" spans="2:17">
      <c r="B46" s="524"/>
      <c r="C46" s="188">
        <f t="shared" si="21"/>
        <v>2050</v>
      </c>
      <c r="D46" s="198">
        <f>$I29*D38</f>
        <v>7.786829012595712</v>
      </c>
      <c r="E46" s="198">
        <f t="shared" ref="E46:I46" si="32">$I29*E38</f>
        <v>7.786829012595712</v>
      </c>
      <c r="F46" s="198">
        <f t="shared" si="32"/>
        <v>0</v>
      </c>
      <c r="G46" s="198">
        <f t="shared" si="32"/>
        <v>1.946707253148928</v>
      </c>
      <c r="H46" s="198">
        <f t="shared" si="32"/>
        <v>0.1946707253148928</v>
      </c>
      <c r="I46" s="198">
        <f t="shared" si="32"/>
        <v>1.5573658025191424</v>
      </c>
      <c r="J46" s="198">
        <f t="shared" ref="J46" si="33">$I29*J38</f>
        <v>0.1946707253148928</v>
      </c>
    </row>
    <row r="48" spans="2:17" ht="15.75" thickBot="1"/>
    <row r="49" spans="1:12">
      <c r="B49" s="505" t="s">
        <v>122</v>
      </c>
      <c r="C49" s="506"/>
      <c r="D49" s="506"/>
      <c r="E49" s="506"/>
      <c r="F49" s="506"/>
      <c r="G49" s="506"/>
      <c r="H49" s="506"/>
      <c r="I49" s="506"/>
      <c r="J49" s="506"/>
      <c r="K49" s="506"/>
      <c r="L49" s="507"/>
    </row>
    <row r="51" spans="1:12">
      <c r="A51" t="s">
        <v>340</v>
      </c>
      <c r="C51" s="188">
        <v>2020</v>
      </c>
      <c r="D51" s="188">
        <f t="shared" ref="D51:I51" si="34">C51+5</f>
        <v>2025</v>
      </c>
      <c r="E51" s="188">
        <f t="shared" si="34"/>
        <v>2030</v>
      </c>
      <c r="F51" s="188">
        <f t="shared" si="34"/>
        <v>2035</v>
      </c>
      <c r="G51" s="188">
        <f t="shared" si="34"/>
        <v>2040</v>
      </c>
      <c r="H51" s="188">
        <f t="shared" si="34"/>
        <v>2045</v>
      </c>
      <c r="I51" s="188">
        <f t="shared" si="34"/>
        <v>2050</v>
      </c>
    </row>
    <row r="52" spans="1:12">
      <c r="B52" s="188" t="s">
        <v>139</v>
      </c>
      <c r="C52" s="189">
        <f>C58*1000/C53</f>
        <v>11.917244653309741</v>
      </c>
      <c r="D52" s="189">
        <f>C52</f>
        <v>11.917244653309741</v>
      </c>
      <c r="E52" s="189">
        <f t="shared" ref="E52:I52" si="35">D52</f>
        <v>11.917244653309741</v>
      </c>
      <c r="F52" s="189">
        <f t="shared" si="35"/>
        <v>11.917244653309741</v>
      </c>
      <c r="G52" s="189">
        <f t="shared" si="35"/>
        <v>11.917244653309741</v>
      </c>
      <c r="H52" s="189">
        <f t="shared" si="35"/>
        <v>11.917244653309741</v>
      </c>
      <c r="I52" s="189">
        <f t="shared" si="35"/>
        <v>11.917244653309741</v>
      </c>
    </row>
    <row r="53" spans="1:12" ht="15.75">
      <c r="B53" s="190" t="s">
        <v>127</v>
      </c>
      <c r="C53" s="191">
        <f>C$24</f>
        <v>983.4370555157949</v>
      </c>
      <c r="D53" s="191">
        <f t="shared" ref="D53:I53" si="36">D$24</f>
        <v>993.22426593672935</v>
      </c>
      <c r="E53" s="191">
        <f t="shared" si="36"/>
        <v>1003.0114763576638</v>
      </c>
      <c r="F53" s="191">
        <f t="shared" si="36"/>
        <v>1010.801503387927</v>
      </c>
      <c r="G53" s="191">
        <f t="shared" si="36"/>
        <v>1018.5915304181902</v>
      </c>
      <c r="H53" s="191">
        <f t="shared" si="36"/>
        <v>1014.0241715364807</v>
      </c>
      <c r="I53" s="191">
        <f t="shared" si="36"/>
        <v>1009.4568126547711</v>
      </c>
    </row>
    <row r="54" spans="1:12" ht="15.75">
      <c r="B54" s="351"/>
      <c r="C54" s="352"/>
      <c r="D54" s="352"/>
      <c r="E54" s="352"/>
      <c r="F54" s="352"/>
      <c r="G54" s="352"/>
      <c r="H54" s="352"/>
      <c r="I54" s="352"/>
    </row>
    <row r="55" spans="1:12">
      <c r="A55" t="s">
        <v>341</v>
      </c>
      <c r="B55" s="188" t="s">
        <v>139</v>
      </c>
      <c r="C55" s="189">
        <f>C58*1000/C53</f>
        <v>11.917244653309741</v>
      </c>
      <c r="D55" s="255">
        <f>(C55+E55)/2</f>
        <v>10.049932076427464</v>
      </c>
      <c r="E55" s="255">
        <f>C55*(1-$G$17)</f>
        <v>8.1826194995451846</v>
      </c>
      <c r="F55" s="255">
        <f>(E55+G55)/2</f>
        <v>7.5175175875991425</v>
      </c>
      <c r="G55" s="255">
        <f>C55*(1-$H$17)</f>
        <v>6.8524156756531003</v>
      </c>
      <c r="H55" s="255">
        <f>(G55+I55)/2</f>
        <v>6.2565534429876131</v>
      </c>
      <c r="I55" s="255">
        <f>C55*(1-$I$17)</f>
        <v>5.6606912103221267</v>
      </c>
    </row>
    <row r="56" spans="1:12" ht="15.75">
      <c r="B56" s="190" t="s">
        <v>127</v>
      </c>
      <c r="C56" s="191">
        <f>C$24</f>
        <v>983.4370555157949</v>
      </c>
      <c r="D56" s="191">
        <f t="shared" ref="D56:I56" si="37">D$24</f>
        <v>993.22426593672935</v>
      </c>
      <c r="E56" s="191">
        <f t="shared" si="37"/>
        <v>1003.0114763576638</v>
      </c>
      <c r="F56" s="191">
        <f t="shared" si="37"/>
        <v>1010.801503387927</v>
      </c>
      <c r="G56" s="191">
        <f t="shared" si="37"/>
        <v>1018.5915304181902</v>
      </c>
      <c r="H56" s="191">
        <f t="shared" si="37"/>
        <v>1014.0241715364807</v>
      </c>
      <c r="I56" s="191">
        <f t="shared" si="37"/>
        <v>1009.4568126547711</v>
      </c>
    </row>
    <row r="58" spans="1:12">
      <c r="B58" s="193" t="s">
        <v>128</v>
      </c>
      <c r="C58" s="274">
        <f>'Init. énergie'!C124</f>
        <v>11.719859991712282</v>
      </c>
      <c r="D58" s="194">
        <f>(D52*D53*(1-$F$17)+D55*D56*$F$17)/1000</f>
        <v>11.123972230488238</v>
      </c>
      <c r="E58" s="194">
        <f t="shared" ref="E58:I58" si="38">(E52*E53*(1-$F$17)+E55*E56*$F$17)/1000</f>
        <v>10.514042070367722</v>
      </c>
      <c r="F58" s="194">
        <f t="shared" si="38"/>
        <v>10.337421625854933</v>
      </c>
      <c r="G58" s="194">
        <f t="shared" si="38"/>
        <v>10.156820178215183</v>
      </c>
      <c r="H58" s="194">
        <f t="shared" si="38"/>
        <v>9.8791479829863853</v>
      </c>
      <c r="I58" s="194">
        <f t="shared" si="38"/>
        <v>9.6035668952357707</v>
      </c>
    </row>
    <row r="61" spans="1:12">
      <c r="B61" s="188"/>
      <c r="C61" s="195" t="s">
        <v>18</v>
      </c>
      <c r="D61" s="188" t="s">
        <v>129</v>
      </c>
      <c r="E61" s="188" t="s">
        <v>76</v>
      </c>
      <c r="F61" s="188" t="s">
        <v>131</v>
      </c>
      <c r="G61" s="188" t="s">
        <v>132</v>
      </c>
      <c r="H61" s="188" t="s">
        <v>133</v>
      </c>
    </row>
    <row r="62" spans="1:12" ht="15" customHeight="1">
      <c r="B62" s="524" t="s">
        <v>138</v>
      </c>
      <c r="C62" s="196">
        <v>2020</v>
      </c>
      <c r="D62" s="197">
        <v>0.38145894795856289</v>
      </c>
      <c r="E62" s="197">
        <v>0.4908480359618167</v>
      </c>
      <c r="F62" s="197"/>
      <c r="G62" s="197">
        <v>0.121629632897873</v>
      </c>
      <c r="H62" s="197">
        <v>6.0633831817471636E-3</v>
      </c>
      <c r="I62" s="197"/>
      <c r="J62" s="197"/>
      <c r="K62" s="527" t="s">
        <v>383</v>
      </c>
      <c r="L62" s="528"/>
    </row>
    <row r="63" spans="1:12">
      <c r="B63" s="524"/>
      <c r="C63" s="188">
        <f t="shared" ref="C63:C68" si="39">C62+5</f>
        <v>2025</v>
      </c>
      <c r="D63" s="197">
        <v>0.39300000000000002</v>
      </c>
      <c r="E63" s="197">
        <v>0.49049999999999999</v>
      </c>
      <c r="F63" s="197"/>
      <c r="G63" s="197">
        <v>0.1105</v>
      </c>
      <c r="H63" s="197">
        <v>6.0000000000000001E-3</v>
      </c>
      <c r="I63" s="197"/>
      <c r="J63" s="197"/>
      <c r="K63" s="527"/>
      <c r="L63" s="528"/>
    </row>
    <row r="64" spans="1:12">
      <c r="B64" s="524"/>
      <c r="C64" s="188">
        <f t="shared" si="39"/>
        <v>2030</v>
      </c>
      <c r="D64" s="197">
        <v>0.40400000000000003</v>
      </c>
      <c r="E64" s="197">
        <v>0.49</v>
      </c>
      <c r="F64" s="197"/>
      <c r="G64" s="197">
        <v>0.1</v>
      </c>
      <c r="H64" s="197">
        <v>6.0000000000000001E-3</v>
      </c>
      <c r="I64" s="197"/>
      <c r="J64" s="197"/>
      <c r="K64" s="527"/>
      <c r="L64" s="528"/>
    </row>
    <row r="65" spans="2:12">
      <c r="B65" s="524"/>
      <c r="C65" s="188">
        <f t="shared" si="39"/>
        <v>2035</v>
      </c>
      <c r="D65" s="197">
        <v>0.40400000000000003</v>
      </c>
      <c r="E65" s="197">
        <v>0.49</v>
      </c>
      <c r="F65" s="197"/>
      <c r="G65" s="197">
        <v>0.1</v>
      </c>
      <c r="H65" s="197">
        <v>6.0000000000000001E-3</v>
      </c>
      <c r="I65" s="197"/>
      <c r="J65" s="197"/>
      <c r="K65" s="527"/>
      <c r="L65" s="528"/>
    </row>
    <row r="66" spans="2:12">
      <c r="B66" s="524"/>
      <c r="C66" s="188">
        <f t="shared" si="39"/>
        <v>2040</v>
      </c>
      <c r="D66" s="197">
        <v>0.40400000000000003</v>
      </c>
      <c r="E66" s="197">
        <v>0.49</v>
      </c>
      <c r="F66" s="197"/>
      <c r="G66" s="197">
        <v>0.1</v>
      </c>
      <c r="H66" s="197">
        <v>6.0000000000000001E-3</v>
      </c>
      <c r="I66" s="197"/>
      <c r="J66" s="197"/>
      <c r="K66" s="527"/>
      <c r="L66" s="528"/>
    </row>
    <row r="67" spans="2:12">
      <c r="B67" s="524"/>
      <c r="C67" s="188">
        <f t="shared" si="39"/>
        <v>2045</v>
      </c>
      <c r="D67" s="197">
        <v>0.40400000000000003</v>
      </c>
      <c r="E67" s="197">
        <v>0.49</v>
      </c>
      <c r="F67" s="197"/>
      <c r="G67" s="197">
        <v>0.1</v>
      </c>
      <c r="H67" s="197">
        <v>6.0000000000000001E-3</v>
      </c>
      <c r="I67" s="197"/>
      <c r="J67" s="197"/>
      <c r="K67" s="527"/>
      <c r="L67" s="528"/>
    </row>
    <row r="68" spans="2:12">
      <c r="B68" s="524"/>
      <c r="C68" s="188">
        <f t="shared" si="39"/>
        <v>2050</v>
      </c>
      <c r="D68" s="197">
        <v>0.40400000000000003</v>
      </c>
      <c r="E68" s="197">
        <v>0.49</v>
      </c>
      <c r="F68" s="197"/>
      <c r="G68" s="197">
        <v>0.1</v>
      </c>
      <c r="H68" s="197">
        <v>6.0000000000000001E-3</v>
      </c>
      <c r="I68" s="197"/>
      <c r="J68" s="197"/>
      <c r="K68" s="527"/>
      <c r="L68" s="528"/>
    </row>
    <row r="69" spans="2:12">
      <c r="J69" s="374"/>
      <c r="K69" s="375"/>
    </row>
    <row r="70" spans="2:12">
      <c r="B70" s="524" t="s">
        <v>137</v>
      </c>
      <c r="C70" s="196">
        <v>2020</v>
      </c>
      <c r="D70" s="198">
        <f>$C58*D62</f>
        <v>4.4706454626602188</v>
      </c>
      <c r="E70" s="198">
        <f t="shared" ref="E70:G70" si="40">$C58*E62</f>
        <v>5.7526702586794469</v>
      </c>
      <c r="F70" s="198">
        <f t="shared" si="40"/>
        <v>0</v>
      </c>
      <c r="G70" s="198">
        <f t="shared" si="40"/>
        <v>1.4254822684064337</v>
      </c>
      <c r="H70" s="198">
        <f>$C58*H62</f>
        <v>7.1062001966179705E-2</v>
      </c>
    </row>
    <row r="71" spans="2:12">
      <c r="B71" s="524"/>
      <c r="C71" s="188">
        <f t="shared" ref="C71:C76" si="41">C70+5</f>
        <v>2025</v>
      </c>
      <c r="D71" s="198">
        <f>$C58*D63</f>
        <v>4.6059049767429272</v>
      </c>
      <c r="E71" s="198">
        <f>$C58*E63</f>
        <v>5.748591325934874</v>
      </c>
      <c r="F71" s="198">
        <f>$C58*F63</f>
        <v>0</v>
      </c>
      <c r="G71" s="198">
        <f>$C58*G63</f>
        <v>1.2950445290842072</v>
      </c>
      <c r="H71" s="198">
        <f>$C58*H63</f>
        <v>7.0319159950273685E-2</v>
      </c>
    </row>
    <row r="72" spans="2:12">
      <c r="B72" s="524"/>
      <c r="C72" s="188">
        <f t="shared" si="41"/>
        <v>2030</v>
      </c>
      <c r="D72" s="198">
        <f>$D58*D64</f>
        <v>4.4940847811172482</v>
      </c>
      <c r="E72" s="198">
        <f>$D58*E64</f>
        <v>5.4507463929392364</v>
      </c>
      <c r="F72" s="198">
        <f>$D58*F64</f>
        <v>0</v>
      </c>
      <c r="G72" s="198">
        <f>$D58*G64</f>
        <v>1.1123972230488239</v>
      </c>
      <c r="H72" s="198">
        <f>$D58*H64</f>
        <v>6.6743833382929427E-2</v>
      </c>
    </row>
    <row r="73" spans="2:12">
      <c r="B73" s="524"/>
      <c r="C73" s="188">
        <f t="shared" si="41"/>
        <v>2035</v>
      </c>
      <c r="D73" s="198">
        <f>$E58*D65</f>
        <v>4.2476729964285598</v>
      </c>
      <c r="E73" s="198">
        <f>$E58*E65</f>
        <v>5.1518806144801834</v>
      </c>
      <c r="F73" s="198">
        <f>$E58*F65</f>
        <v>0</v>
      </c>
      <c r="G73" s="198">
        <f>$E58*G65</f>
        <v>1.0514042070367722</v>
      </c>
      <c r="H73" s="198">
        <f>$E58*H65</f>
        <v>6.3084252422206333E-2</v>
      </c>
    </row>
    <row r="74" spans="2:12">
      <c r="B74" s="524"/>
      <c r="C74" s="188">
        <f t="shared" si="41"/>
        <v>2040</v>
      </c>
      <c r="D74" s="198">
        <f>$F58*D66</f>
        <v>4.1763183368453936</v>
      </c>
      <c r="E74" s="198">
        <f>$F58*E66</f>
        <v>5.0653365966689172</v>
      </c>
      <c r="F74" s="198">
        <f>$F58*F66</f>
        <v>0</v>
      </c>
      <c r="G74" s="198">
        <f>$F58*G66</f>
        <v>1.0337421625854935</v>
      </c>
      <c r="H74" s="198">
        <f>$F58*H66</f>
        <v>6.20245297551296E-2</v>
      </c>
    </row>
    <row r="75" spans="2:12">
      <c r="B75" s="524"/>
      <c r="C75" s="188">
        <f t="shared" si="41"/>
        <v>2045</v>
      </c>
      <c r="D75" s="198">
        <f>$G58*D67</f>
        <v>4.1033553519989345</v>
      </c>
      <c r="E75" s="198">
        <f>$G58*E67</f>
        <v>4.9768418873254392</v>
      </c>
      <c r="F75" s="198">
        <f>$G58*F67</f>
        <v>0</v>
      </c>
      <c r="G75" s="198">
        <f>$G58*G67</f>
        <v>1.0156820178215182</v>
      </c>
      <c r="H75" s="198">
        <f>$G58*H67</f>
        <v>6.0940921069291096E-2</v>
      </c>
    </row>
    <row r="76" spans="2:12">
      <c r="B76" s="524"/>
      <c r="C76" s="188">
        <f t="shared" si="41"/>
        <v>2050</v>
      </c>
      <c r="D76" s="198">
        <f>$H58*D68</f>
        <v>3.9911757851265</v>
      </c>
      <c r="E76" s="198">
        <f>$H58*E68</f>
        <v>4.8407825116633285</v>
      </c>
      <c r="F76" s="198">
        <f>$H58*F68</f>
        <v>0</v>
      </c>
      <c r="G76" s="198">
        <f>$H58*G68</f>
        <v>0.9879147982986386</v>
      </c>
      <c r="H76" s="198">
        <f>$H58*H68</f>
        <v>5.9274887897918314E-2</v>
      </c>
    </row>
    <row r="78" spans="2:12" ht="15.75" thickBot="1"/>
    <row r="79" spans="2:12">
      <c r="B79" s="505" t="s">
        <v>123</v>
      </c>
      <c r="C79" s="506"/>
      <c r="D79" s="506"/>
      <c r="E79" s="506"/>
      <c r="F79" s="506"/>
      <c r="G79" s="506"/>
      <c r="H79" s="506"/>
      <c r="I79" s="506"/>
      <c r="J79" s="506"/>
      <c r="K79" s="506"/>
      <c r="L79" s="507"/>
    </row>
    <row r="81" spans="1:15">
      <c r="A81" t="s">
        <v>340</v>
      </c>
      <c r="C81" s="93">
        <v>2020</v>
      </c>
      <c r="D81" s="93">
        <f t="shared" ref="D81:I81" si="42">C81+5</f>
        <v>2025</v>
      </c>
      <c r="E81" s="93">
        <f t="shared" si="42"/>
        <v>2030</v>
      </c>
      <c r="F81" s="93">
        <f t="shared" si="42"/>
        <v>2035</v>
      </c>
      <c r="G81" s="93">
        <f t="shared" si="42"/>
        <v>2040</v>
      </c>
      <c r="H81" s="93">
        <f>G81+5</f>
        <v>2045</v>
      </c>
      <c r="I81" s="93">
        <f t="shared" si="42"/>
        <v>2050</v>
      </c>
    </row>
    <row r="82" spans="1:15">
      <c r="B82" s="188" t="s">
        <v>368</v>
      </c>
      <c r="C82" s="199">
        <f>1000*C91/C86</f>
        <v>71.486730295513496</v>
      </c>
      <c r="D82" s="199">
        <f>D85+D84</f>
        <v>71.19462678651314</v>
      </c>
      <c r="E82" s="199">
        <f t="shared" ref="E82:I82" si="43">E85+E84</f>
        <v>70.908223867335863</v>
      </c>
      <c r="F82" s="199">
        <f t="shared" si="43"/>
        <v>73.377641672846664</v>
      </c>
      <c r="G82" s="199">
        <f t="shared" si="43"/>
        <v>75.809288044216345</v>
      </c>
      <c r="H82" s="199">
        <f t="shared" si="43"/>
        <v>78.471349681780282</v>
      </c>
      <c r="I82" s="199">
        <f t="shared" si="43"/>
        <v>81.15750069238436</v>
      </c>
      <c r="J82" t="s">
        <v>373</v>
      </c>
    </row>
    <row r="83" spans="1:15">
      <c r="B83" s="350" t="s">
        <v>369</v>
      </c>
      <c r="C83" s="372">
        <v>14.966965816561107</v>
      </c>
      <c r="D83" s="220">
        <f>(C83+E83)/2</f>
        <v>14.825793449552352</v>
      </c>
      <c r="E83" s="372">
        <v>14.684621082543597</v>
      </c>
      <c r="F83" s="372">
        <f>$E$83+($I$83-$E$83)/20*5</f>
        <v>17.294762448721237</v>
      </c>
      <c r="G83" s="372">
        <f>$E$83+($I$83-$E$83)/20*10</f>
        <v>19.90490381489888</v>
      </c>
      <c r="H83" s="372">
        <f>$E$83+($I$83-$E$83)/20*15</f>
        <v>22.515045181076523</v>
      </c>
      <c r="I83" s="372">
        <v>25.125186547254163</v>
      </c>
      <c r="J83" t="s">
        <v>370</v>
      </c>
    </row>
    <row r="84" spans="1:15">
      <c r="B84" s="350" t="s">
        <v>371</v>
      </c>
      <c r="C84" s="199">
        <f>C83/C86*1000</f>
        <v>15.21903789634122</v>
      </c>
      <c r="D84" s="199">
        <f t="shared" ref="D84:I84" si="44">D83/D86*1000</f>
        <v>14.926934387340864</v>
      </c>
      <c r="E84" s="199">
        <f t="shared" si="44"/>
        <v>14.640531468163589</v>
      </c>
      <c r="F84" s="199">
        <f t="shared" si="44"/>
        <v>17.109949273674385</v>
      </c>
      <c r="G84" s="199">
        <f t="shared" si="44"/>
        <v>19.541595645044069</v>
      </c>
      <c r="H84" s="199">
        <f t="shared" si="44"/>
        <v>22.203657282608003</v>
      </c>
      <c r="I84" s="199">
        <f t="shared" si="44"/>
        <v>24.889808293212088</v>
      </c>
    </row>
    <row r="85" spans="1:15">
      <c r="B85" s="118" t="s">
        <v>374</v>
      </c>
      <c r="C85" s="199">
        <f>C82-C84</f>
        <v>56.267692399172276</v>
      </c>
      <c r="D85" s="199">
        <f>C85</f>
        <v>56.267692399172276</v>
      </c>
      <c r="E85" s="199">
        <f t="shared" ref="E85:H85" si="45">D85</f>
        <v>56.267692399172276</v>
      </c>
      <c r="F85" s="199">
        <f t="shared" si="45"/>
        <v>56.267692399172276</v>
      </c>
      <c r="G85" s="199">
        <f t="shared" si="45"/>
        <v>56.267692399172276</v>
      </c>
      <c r="H85" s="199">
        <f t="shared" si="45"/>
        <v>56.267692399172276</v>
      </c>
      <c r="I85" s="199">
        <f>H85</f>
        <v>56.267692399172276</v>
      </c>
      <c r="J85" t="s">
        <v>372</v>
      </c>
    </row>
    <row r="86" spans="1:15" ht="15.75">
      <c r="B86" s="190" t="s">
        <v>127</v>
      </c>
      <c r="C86" s="191">
        <f>C$24</f>
        <v>983.4370555157949</v>
      </c>
      <c r="D86" s="191">
        <f t="shared" ref="D86:I86" si="46">D$24</f>
        <v>993.22426593672935</v>
      </c>
      <c r="E86" s="191">
        <f t="shared" si="46"/>
        <v>1003.0114763576638</v>
      </c>
      <c r="F86" s="191">
        <f t="shared" si="46"/>
        <v>1010.801503387927</v>
      </c>
      <c r="G86" s="191">
        <f t="shared" si="46"/>
        <v>1018.5915304181902</v>
      </c>
      <c r="H86" s="191">
        <f t="shared" si="46"/>
        <v>1014.0241715364807</v>
      </c>
      <c r="I86" s="191">
        <f t="shared" si="46"/>
        <v>1009.4568126547711</v>
      </c>
    </row>
    <row r="87" spans="1:15" ht="15.75">
      <c r="B87" s="351"/>
      <c r="C87" s="352"/>
      <c r="D87" s="352"/>
      <c r="E87" s="352"/>
      <c r="F87" s="352"/>
      <c r="G87" s="352"/>
      <c r="H87" s="352"/>
      <c r="I87" s="352"/>
    </row>
    <row r="88" spans="1:15">
      <c r="A88" t="s">
        <v>341</v>
      </c>
      <c r="B88" s="188" t="s">
        <v>140</v>
      </c>
      <c r="C88" s="199">
        <f>C91*1000/C86</f>
        <v>71.486730295513496</v>
      </c>
      <c r="D88" s="199">
        <f>(C88+E88)/2</f>
        <v>60.285477451893264</v>
      </c>
      <c r="E88" s="199">
        <f>C88*(1-$G$17)</f>
        <v>49.084224608273033</v>
      </c>
      <c r="F88" s="199">
        <f>(E88+G88)/2</f>
        <v>45.094547264096647</v>
      </c>
      <c r="G88" s="199">
        <f>C88*(1-$H$17)</f>
        <v>41.104869919920255</v>
      </c>
      <c r="H88" s="199">
        <f>(G88+I88)/2</f>
        <v>37.530533405144581</v>
      </c>
      <c r="I88" s="199">
        <f>C88*(1-$I$17)</f>
        <v>33.956196890368908</v>
      </c>
      <c r="J88" t="s">
        <v>375</v>
      </c>
      <c r="K88" t="s">
        <v>375</v>
      </c>
      <c r="L88" t="s">
        <v>375</v>
      </c>
      <c r="M88" t="s">
        <v>375</v>
      </c>
      <c r="N88" t="s">
        <v>375</v>
      </c>
      <c r="O88" t="s">
        <v>375</v>
      </c>
    </row>
    <row r="89" spans="1:15" ht="15.75">
      <c r="B89" s="190" t="s">
        <v>127</v>
      </c>
      <c r="C89" s="191">
        <f>C$24</f>
        <v>983.4370555157949</v>
      </c>
      <c r="D89" s="191">
        <f t="shared" ref="D89:I89" si="47">D$24</f>
        <v>993.22426593672935</v>
      </c>
      <c r="E89" s="191">
        <f t="shared" si="47"/>
        <v>1003.0114763576638</v>
      </c>
      <c r="F89" s="191">
        <f t="shared" si="47"/>
        <v>1010.801503387927</v>
      </c>
      <c r="G89" s="191">
        <f t="shared" si="47"/>
        <v>1018.5915304181902</v>
      </c>
      <c r="H89" s="191">
        <f t="shared" si="47"/>
        <v>1014.0241715364807</v>
      </c>
      <c r="I89" s="191">
        <f t="shared" si="47"/>
        <v>1009.4568126547711</v>
      </c>
    </row>
    <row r="90" spans="1:15" ht="15.75">
      <c r="B90" s="351"/>
      <c r="C90" s="352"/>
      <c r="D90" s="352"/>
      <c r="E90" s="352"/>
      <c r="F90" s="352"/>
      <c r="G90" s="352"/>
      <c r="H90" s="352"/>
      <c r="I90" s="352"/>
    </row>
    <row r="91" spans="1:15">
      <c r="B91" s="193" t="s">
        <v>128</v>
      </c>
      <c r="C91" s="274">
        <f>'Init. énergie'!C130</f>
        <v>70.302699550271555</v>
      </c>
      <c r="D91" s="194">
        <f>(D82*D86*(1-$F$17)+D88*D89*$F$17)/1000</f>
        <v>66.549545714234213</v>
      </c>
      <c r="E91" s="194">
        <f>(E82*E86*(1-$F$17)+E88*E89*$F$17)/1000</f>
        <v>62.712157207195546</v>
      </c>
      <c r="F91" s="194">
        <f t="shared" ref="F91:I91" si="48">(F82*F86*(1-$F$17)+F88*F89*$F$17)/1000</f>
        <v>63.18704891593795</v>
      </c>
      <c r="G91" s="194">
        <f t="shared" si="48"/>
        <v>63.638060197188778</v>
      </c>
      <c r="H91" s="194">
        <f t="shared" si="48"/>
        <v>63.622598969044226</v>
      </c>
      <c r="I91" s="194">
        <f t="shared" si="48"/>
        <v>63.619681448833866</v>
      </c>
    </row>
    <row r="92" spans="1:15">
      <c r="C92" s="234"/>
      <c r="D92" s="234"/>
      <c r="E92" s="234"/>
      <c r="F92" s="234"/>
      <c r="G92" s="234"/>
      <c r="H92" s="234"/>
      <c r="I92" s="234"/>
    </row>
    <row r="94" spans="1:15" ht="15.75" thickBot="1"/>
    <row r="95" spans="1:15">
      <c r="B95" s="505" t="s">
        <v>124</v>
      </c>
      <c r="C95" s="506"/>
      <c r="D95" s="506"/>
      <c r="E95" s="506"/>
      <c r="F95" s="506"/>
      <c r="G95" s="506"/>
      <c r="H95" s="506"/>
      <c r="I95" s="506"/>
      <c r="J95" s="506"/>
      <c r="K95" s="506"/>
      <c r="L95" s="507"/>
    </row>
    <row r="97" spans="2:11">
      <c r="B97" t="s">
        <v>141</v>
      </c>
    </row>
    <row r="98" spans="2:11" ht="15.75" thickBot="1"/>
    <row r="99" spans="2:11">
      <c r="B99" s="200" t="s">
        <v>142</v>
      </c>
      <c r="C99" s="201"/>
      <c r="D99" s="202">
        <v>2006</v>
      </c>
      <c r="E99" s="202">
        <v>2015</v>
      </c>
      <c r="F99" s="202">
        <v>2020</v>
      </c>
      <c r="G99" s="202">
        <v>2030</v>
      </c>
      <c r="H99" s="202">
        <v>2040</v>
      </c>
      <c r="I99" s="203">
        <v>2050</v>
      </c>
      <c r="K99" s="317"/>
    </row>
    <row r="100" spans="2:11">
      <c r="B100" s="204" t="s">
        <v>143</v>
      </c>
      <c r="C100" s="205"/>
      <c r="D100" s="206"/>
      <c r="E100" s="206"/>
      <c r="F100" s="206">
        <v>3.19248740869187</v>
      </c>
      <c r="G100" s="206">
        <v>3.7012509422540707</v>
      </c>
      <c r="H100" s="206">
        <v>4.5388456863932838</v>
      </c>
      <c r="I100" s="207">
        <v>5.8188178236632151</v>
      </c>
      <c r="K100" s="317"/>
    </row>
    <row r="101" spans="2:11">
      <c r="B101" s="208" t="s">
        <v>144</v>
      </c>
      <c r="C101" s="209"/>
      <c r="D101" s="210"/>
      <c r="E101" s="210"/>
      <c r="F101" s="210">
        <v>0.90642131916452451</v>
      </c>
      <c r="G101" s="210">
        <v>1.1219830606989232</v>
      </c>
      <c r="H101" s="210">
        <v>1.5907874520846512</v>
      </c>
      <c r="I101" s="211">
        <v>2.2588052085248229</v>
      </c>
      <c r="K101" s="317"/>
    </row>
    <row r="102" spans="2:11">
      <c r="B102" s="204" t="s">
        <v>145</v>
      </c>
      <c r="C102" s="205"/>
      <c r="D102" s="206"/>
      <c r="E102" s="206"/>
      <c r="F102" s="206">
        <v>1.3712899722102905</v>
      </c>
      <c r="G102" s="206">
        <v>1.6506573519178986</v>
      </c>
      <c r="H102" s="206">
        <v>2.2783613217068468</v>
      </c>
      <c r="I102" s="207">
        <v>3.1627998799152346</v>
      </c>
      <c r="K102" s="317"/>
    </row>
    <row r="103" spans="2:11">
      <c r="B103" s="208" t="s">
        <v>146</v>
      </c>
      <c r="C103" s="209"/>
      <c r="D103" s="210"/>
      <c r="E103" s="210"/>
      <c r="F103" s="210">
        <v>0.1714143473755961</v>
      </c>
      <c r="G103" s="210">
        <v>0.21185355381548712</v>
      </c>
      <c r="H103" s="210">
        <v>0.30168489051731517</v>
      </c>
      <c r="I103" s="211">
        <v>0.46800067361955783</v>
      </c>
      <c r="K103" s="317"/>
    </row>
    <row r="104" spans="2:11">
      <c r="B104" s="204" t="s">
        <v>147</v>
      </c>
      <c r="C104" s="205"/>
      <c r="D104" s="206"/>
      <c r="E104" s="206"/>
      <c r="F104" s="206">
        <v>0.97008721791894292</v>
      </c>
      <c r="G104" s="206">
        <v>1.1682611182638962</v>
      </c>
      <c r="H104" s="206">
        <v>1.528401735355162</v>
      </c>
      <c r="I104" s="207">
        <v>2.1431920214697655</v>
      </c>
      <c r="K104" s="317"/>
    </row>
    <row r="105" spans="2:11">
      <c r="B105" s="208" t="s">
        <v>148</v>
      </c>
      <c r="C105" s="209"/>
      <c r="D105" s="210"/>
      <c r="E105" s="210"/>
      <c r="F105" s="210">
        <v>1.1908877510776446</v>
      </c>
      <c r="G105" s="210">
        <v>1.421496199448296</v>
      </c>
      <c r="H105" s="210">
        <v>1.9580654465611853</v>
      </c>
      <c r="I105" s="211">
        <v>2.7110076629395188</v>
      </c>
      <c r="K105" s="317"/>
    </row>
    <row r="106" spans="2:11">
      <c r="B106" s="204" t="s">
        <v>149</v>
      </c>
      <c r="C106" s="205"/>
      <c r="D106" s="206"/>
      <c r="E106" s="206"/>
      <c r="F106" s="206">
        <v>0.36110142911649884</v>
      </c>
      <c r="G106" s="206">
        <v>0.42632579143685012</v>
      </c>
      <c r="H106" s="206">
        <v>0.55321079790990946</v>
      </c>
      <c r="I106" s="207">
        <v>0.69518946018569572</v>
      </c>
      <c r="K106" s="317"/>
    </row>
    <row r="107" spans="2:11">
      <c r="B107" s="208" t="s">
        <v>150</v>
      </c>
      <c r="C107" s="209"/>
      <c r="D107" s="210"/>
      <c r="E107" s="210"/>
      <c r="F107" s="210">
        <v>2.2967304223455329</v>
      </c>
      <c r="G107" s="210">
        <v>2.742164537990984</v>
      </c>
      <c r="H107" s="210">
        <v>3.5601918964213954</v>
      </c>
      <c r="I107" s="211">
        <v>4.2111390160982527</v>
      </c>
      <c r="K107" s="317"/>
    </row>
    <row r="108" spans="2:11">
      <c r="B108" s="204" t="s">
        <v>151</v>
      </c>
      <c r="C108" s="205"/>
      <c r="D108" s="206"/>
      <c r="E108" s="206"/>
      <c r="F108" s="206">
        <v>0.21097527959120022</v>
      </c>
      <c r="G108" s="206">
        <v>0.19671906571240474</v>
      </c>
      <c r="H108" s="206">
        <v>0.22652737869154296</v>
      </c>
      <c r="I108" s="207">
        <v>0.26108457378643696</v>
      </c>
      <c r="K108" s="317"/>
    </row>
    <row r="109" spans="2:11">
      <c r="B109" s="208" t="s">
        <v>152</v>
      </c>
      <c r="C109" s="209"/>
      <c r="D109" s="210"/>
      <c r="E109" s="210"/>
      <c r="F109" s="210">
        <v>0.20162401689799292</v>
      </c>
      <c r="G109" s="210">
        <v>0.18834164357518612</v>
      </c>
      <c r="H109" s="210">
        <v>0.21727417487237202</v>
      </c>
      <c r="I109" s="211">
        <v>0.25086281562425317</v>
      </c>
      <c r="K109" s="317"/>
    </row>
    <row r="110" spans="2:11">
      <c r="B110" s="204" t="s">
        <v>153</v>
      </c>
      <c r="C110" s="205"/>
      <c r="D110" s="206"/>
      <c r="E110" s="206"/>
      <c r="F110" s="206">
        <v>0.1477063433194972</v>
      </c>
      <c r="G110" s="206">
        <v>0.13672587792240248</v>
      </c>
      <c r="H110" s="206">
        <v>0.15620801865485309</v>
      </c>
      <c r="I110" s="207">
        <v>0.17866323008920473</v>
      </c>
      <c r="K110" s="317"/>
    </row>
    <row r="111" spans="2:11">
      <c r="B111" s="208" t="s">
        <v>154</v>
      </c>
      <c r="C111" s="209"/>
      <c r="D111" s="210"/>
      <c r="E111" s="210"/>
      <c r="F111" s="210">
        <v>3.2094865616157889E-2</v>
      </c>
      <c r="G111" s="210">
        <v>3.0006335467055393E-2</v>
      </c>
      <c r="H111" s="210">
        <v>3.4654506909697014E-2</v>
      </c>
      <c r="I111" s="211">
        <v>4.0115681500898261E-2</v>
      </c>
      <c r="K111" s="317"/>
    </row>
    <row r="112" spans="2:11" ht="15.75" thickBot="1">
      <c r="B112" s="212" t="s">
        <v>155</v>
      </c>
      <c r="C112" s="213"/>
      <c r="D112" s="214"/>
      <c r="E112" s="214"/>
      <c r="F112" s="206">
        <v>0.44960618397765512</v>
      </c>
      <c r="G112" s="206">
        <v>0.41985305068738149</v>
      </c>
      <c r="H112" s="206">
        <v>0.48444694798897947</v>
      </c>
      <c r="I112" s="207">
        <v>0.55986841019279876</v>
      </c>
      <c r="K112" s="317"/>
    </row>
    <row r="113" spans="1:12" ht="15.75" thickBot="1">
      <c r="B113" s="525" t="s">
        <v>156</v>
      </c>
      <c r="C113" s="525"/>
      <c r="D113" s="215"/>
      <c r="E113" s="215"/>
      <c r="F113" s="215">
        <v>11.502426557303403</v>
      </c>
      <c r="G113" s="215">
        <v>13.415638529190833</v>
      </c>
      <c r="H113" s="215">
        <v>17.428660254067189</v>
      </c>
      <c r="I113" s="215">
        <v>22.759546457609648</v>
      </c>
      <c r="K113" s="317"/>
    </row>
    <row r="117" spans="1:12">
      <c r="B117" t="s">
        <v>157</v>
      </c>
      <c r="D117">
        <v>2020</v>
      </c>
      <c r="E117">
        <v>2030</v>
      </c>
      <c r="F117">
        <v>2040</v>
      </c>
      <c r="G117">
        <v>2050</v>
      </c>
    </row>
    <row r="118" spans="1:12">
      <c r="B118" t="s">
        <v>158</v>
      </c>
      <c r="D118" s="216">
        <f>SUM(F100:F107)</f>
        <v>10.460419867900901</v>
      </c>
      <c r="E118" s="216">
        <f>SUM(G100:G107)</f>
        <v>12.443992555826405</v>
      </c>
      <c r="F118" s="216">
        <f>SUM(H100:H107)</f>
        <v>16.309549226949748</v>
      </c>
      <c r="G118" s="216">
        <f>SUM(I100:I107)</f>
        <v>21.46895174641606</v>
      </c>
    </row>
    <row r="119" spans="1:12">
      <c r="B119" t="s">
        <v>159</v>
      </c>
      <c r="D119" s="216">
        <f>SUM(F108:F112)</f>
        <v>1.0420066894025033</v>
      </c>
      <c r="E119" s="216">
        <f>SUM(G108:G112)</f>
        <v>0.97164597336443026</v>
      </c>
      <c r="F119" s="216">
        <f>SUM(H108:H112)</f>
        <v>1.1191110271174445</v>
      </c>
      <c r="G119" s="216">
        <f>SUM(I108:I112)</f>
        <v>1.2905947111935918</v>
      </c>
    </row>
    <row r="123" spans="1:12" ht="15.75" thickBot="1"/>
    <row r="124" spans="1:12">
      <c r="B124" s="505" t="s">
        <v>125</v>
      </c>
      <c r="C124" s="506"/>
      <c r="D124" s="506"/>
      <c r="E124" s="506"/>
      <c r="F124" s="506"/>
      <c r="G124" s="506"/>
      <c r="H124" s="506"/>
      <c r="I124" s="506"/>
      <c r="J124" s="506"/>
      <c r="K124" s="506"/>
      <c r="L124" s="507"/>
    </row>
    <row r="126" spans="1:12">
      <c r="C126" t="s">
        <v>346</v>
      </c>
      <c r="E126" t="s">
        <v>380</v>
      </c>
    </row>
    <row r="127" spans="1:12">
      <c r="B127" s="217" t="s">
        <v>387</v>
      </c>
      <c r="C127" s="317"/>
      <c r="D127" s="317"/>
      <c r="E127" s="317"/>
      <c r="F127" s="317"/>
      <c r="G127" s="317"/>
      <c r="H127" s="317"/>
      <c r="I127" s="317"/>
    </row>
    <row r="128" spans="1:12">
      <c r="A128" s="377" t="s">
        <v>388</v>
      </c>
      <c r="B128" t="s">
        <v>160</v>
      </c>
      <c r="C128" s="196">
        <v>2020</v>
      </c>
      <c r="D128" s="196">
        <f t="shared" ref="D128:I128" si="49">C128+5</f>
        <v>2025</v>
      </c>
      <c r="E128" s="196">
        <f t="shared" si="49"/>
        <v>2030</v>
      </c>
      <c r="F128" s="196">
        <f t="shared" si="49"/>
        <v>2035</v>
      </c>
      <c r="G128" s="196">
        <f t="shared" si="49"/>
        <v>2040</v>
      </c>
      <c r="H128" s="196">
        <f>G128+5</f>
        <v>2045</v>
      </c>
      <c r="I128" s="196">
        <f t="shared" si="49"/>
        <v>2050</v>
      </c>
    </row>
    <row r="129" spans="1:11">
      <c r="A129" t="s">
        <v>389</v>
      </c>
      <c r="B129" s="196" t="s">
        <v>161</v>
      </c>
      <c r="C129" s="218">
        <f>J142/1000</f>
        <v>6.5</v>
      </c>
      <c r="D129" s="218">
        <v>6</v>
      </c>
      <c r="E129" s="218">
        <v>5.5</v>
      </c>
      <c r="F129" s="218">
        <f>(E129+G129)/2</f>
        <v>5.2</v>
      </c>
      <c r="G129" s="218">
        <f>(E129+I129)/2</f>
        <v>4.9000000000000004</v>
      </c>
      <c r="H129" s="218">
        <f>(G129+I129)/2</f>
        <v>4.5999999999999996</v>
      </c>
      <c r="I129" s="218">
        <v>4.3</v>
      </c>
      <c r="J129" t="s">
        <v>162</v>
      </c>
    </row>
    <row r="130" spans="1:11">
      <c r="A130" t="s">
        <v>390</v>
      </c>
      <c r="B130" s="196" t="s">
        <v>365</v>
      </c>
      <c r="C130" s="369">
        <v>13.33205756481984</v>
      </c>
      <c r="D130" s="369">
        <v>16.127773129796928</v>
      </c>
      <c r="E130" s="369">
        <v>24.267126489336025</v>
      </c>
      <c r="F130" s="369">
        <v>31.169732520544873</v>
      </c>
      <c r="G130" s="369">
        <v>42.240485232978187</v>
      </c>
      <c r="H130" s="369">
        <v>55.211905119142692</v>
      </c>
      <c r="I130" s="369">
        <v>67.760539796698666</v>
      </c>
      <c r="J130" s="370" t="s">
        <v>366</v>
      </c>
      <c r="K130" s="353"/>
    </row>
    <row r="131" spans="1:11">
      <c r="A131" t="s">
        <v>391</v>
      </c>
      <c r="B131" s="196" t="s">
        <v>164</v>
      </c>
      <c r="C131" s="218">
        <f>J143/1000</f>
        <v>7.7</v>
      </c>
      <c r="D131" s="218">
        <f>(C131+E131)/2</f>
        <v>7.9728037086535082</v>
      </c>
      <c r="E131" s="220">
        <f>C143</f>
        <v>8.2456074173070153</v>
      </c>
      <c r="F131" s="218">
        <f>(E131+G131)/2</f>
        <v>8.3784858457929232</v>
      </c>
      <c r="G131" s="218">
        <f>D143</f>
        <v>8.5113642742788294</v>
      </c>
      <c r="H131" s="218">
        <f>(G131+I131)/2</f>
        <v>8.6487214099618903</v>
      </c>
      <c r="I131" s="218">
        <f>E143</f>
        <v>8.7860785456449531</v>
      </c>
      <c r="J131" s="219" t="s">
        <v>165</v>
      </c>
    </row>
    <row r="132" spans="1:11">
      <c r="A132" t="s">
        <v>392</v>
      </c>
      <c r="B132" s="196" t="s">
        <v>166</v>
      </c>
      <c r="C132" s="218">
        <f>J147/1000</f>
        <v>4</v>
      </c>
      <c r="D132" s="218">
        <f>(C132+E132)/2</f>
        <v>4.0346342856217676</v>
      </c>
      <c r="E132" s="218">
        <f>C149</f>
        <v>4.0692685712435352</v>
      </c>
      <c r="F132" s="218">
        <f>(E132+G132)/2</f>
        <v>4.0867528240911781</v>
      </c>
      <c r="G132" s="218">
        <f>D149</f>
        <v>4.1042370769388201</v>
      </c>
      <c r="H132" s="218">
        <f>(G132+I132)/2</f>
        <v>4.1035259019219819</v>
      </c>
      <c r="I132" s="218">
        <f>E149</f>
        <v>4.1028147269051445</v>
      </c>
      <c r="J132" t="s">
        <v>167</v>
      </c>
    </row>
    <row r="133" spans="1:11">
      <c r="A133" t="s">
        <v>389</v>
      </c>
      <c r="B133" s="196" t="s">
        <v>168</v>
      </c>
      <c r="C133" s="218">
        <f>(J144+J146)/1000</f>
        <v>3.5659999999999998</v>
      </c>
      <c r="D133" s="218">
        <v>6.4</v>
      </c>
      <c r="E133" s="218">
        <v>6.5</v>
      </c>
      <c r="F133" s="218">
        <v>6.6</v>
      </c>
      <c r="G133" s="218">
        <v>6.7</v>
      </c>
      <c r="H133" s="218">
        <v>6.8</v>
      </c>
      <c r="I133" s="218">
        <v>6.9</v>
      </c>
      <c r="J133" t="s">
        <v>169</v>
      </c>
    </row>
    <row r="134" spans="1:11">
      <c r="A134" t="s">
        <v>392</v>
      </c>
      <c r="B134" s="196" t="s">
        <v>170</v>
      </c>
      <c r="C134" s="218">
        <f>J148/1000</f>
        <v>6.3630000000000004</v>
      </c>
      <c r="D134" s="218">
        <f>(C134+E134)/2</f>
        <v>6.4180944898528276</v>
      </c>
      <c r="E134" s="218">
        <f>C154</f>
        <v>6.4731889797056548</v>
      </c>
      <c r="F134" s="218">
        <f>(E134+G134)/2</f>
        <v>6.5010020549230418</v>
      </c>
      <c r="G134" s="218">
        <f>D154</f>
        <v>6.5288151301404289</v>
      </c>
      <c r="H134" s="218">
        <f>(G134+I134)/2</f>
        <v>6.5276838284823935</v>
      </c>
      <c r="I134" s="218">
        <f>E154</f>
        <v>6.5265525268243589</v>
      </c>
      <c r="J134" t="s">
        <v>167</v>
      </c>
    </row>
    <row r="135" spans="1:11">
      <c r="A135" t="s">
        <v>389</v>
      </c>
      <c r="B135" s="196" t="s">
        <v>171</v>
      </c>
      <c r="C135" s="218">
        <f>J145/1000</f>
        <v>1.3640000000000001</v>
      </c>
      <c r="D135" s="218">
        <f>C135</f>
        <v>1.3640000000000001</v>
      </c>
      <c r="E135" s="218">
        <f t="shared" ref="E135:I135" si="50">D135</f>
        <v>1.3640000000000001</v>
      </c>
      <c r="F135" s="218">
        <f t="shared" si="50"/>
        <v>1.3640000000000001</v>
      </c>
      <c r="G135" s="218">
        <f t="shared" si="50"/>
        <v>1.3640000000000001</v>
      </c>
      <c r="H135" s="218">
        <f t="shared" si="50"/>
        <v>1.3640000000000001</v>
      </c>
      <c r="I135" s="218">
        <f t="shared" si="50"/>
        <v>1.3640000000000001</v>
      </c>
      <c r="J135" t="s">
        <v>172</v>
      </c>
    </row>
    <row r="136" spans="1:11">
      <c r="B136" t="s">
        <v>173</v>
      </c>
      <c r="C136" s="220"/>
    </row>
    <row r="137" spans="1:11">
      <c r="B137" s="217" t="s">
        <v>17</v>
      </c>
      <c r="C137" s="221">
        <f>SUM(C129:C136)</f>
        <v>42.825057564819836</v>
      </c>
      <c r="D137" s="221">
        <f t="shared" ref="D137:H137" si="51">SUM(D129:D136)</f>
        <v>48.317305613925029</v>
      </c>
      <c r="E137" s="221">
        <f t="shared" si="51"/>
        <v>56.419191457592227</v>
      </c>
      <c r="F137" s="221">
        <f t="shared" si="51"/>
        <v>63.299973245352014</v>
      </c>
      <c r="G137" s="221">
        <f>SUM(G129:G136)</f>
        <v>74.348901714336264</v>
      </c>
      <c r="H137" s="221">
        <f t="shared" si="51"/>
        <v>87.255836259508968</v>
      </c>
      <c r="I137" s="221">
        <f>SUM(I129:I136)</f>
        <v>99.739985596073126</v>
      </c>
      <c r="J137" s="356">
        <f>I137/C137-1</f>
        <v>1.3290099597672946</v>
      </c>
    </row>
    <row r="139" spans="1:11">
      <c r="A139" s="357" t="s">
        <v>348</v>
      </c>
    </row>
    <row r="140" spans="1:11">
      <c r="A140" s="93"/>
      <c r="B140" s="93">
        <v>2020</v>
      </c>
      <c r="C140" s="93">
        <v>2030</v>
      </c>
      <c r="D140" s="93">
        <v>2040</v>
      </c>
      <c r="E140" s="93">
        <v>2050</v>
      </c>
    </row>
    <row r="141" spans="1:11">
      <c r="A141" s="93" t="s">
        <v>347</v>
      </c>
      <c r="B141" s="371">
        <v>12945546.199999999</v>
      </c>
      <c r="C141" s="371">
        <v>13862843.086728653</v>
      </c>
      <c r="D141" s="371">
        <v>14309644.082818968</v>
      </c>
      <c r="E141" s="371">
        <v>14771504.64019163</v>
      </c>
      <c r="F141" t="s">
        <v>367</v>
      </c>
      <c r="H141" t="s">
        <v>357</v>
      </c>
    </row>
    <row r="142" spans="1:11">
      <c r="A142" s="93" t="s">
        <v>358</v>
      </c>
      <c r="B142" s="358">
        <f>C131/B141</f>
        <v>5.9479915957505143E-7</v>
      </c>
      <c r="C142" s="93"/>
      <c r="D142" s="93"/>
      <c r="E142" s="93"/>
      <c r="H142" s="354" t="s">
        <v>161</v>
      </c>
      <c r="I142" s="355">
        <v>6500</v>
      </c>
      <c r="J142" s="355">
        <f>I142</f>
        <v>6500</v>
      </c>
    </row>
    <row r="143" spans="1:11">
      <c r="A143" s="93" t="s">
        <v>348</v>
      </c>
      <c r="B143" s="93"/>
      <c r="C143" s="359">
        <f>$B$142*C141</f>
        <v>8.2456074173070153</v>
      </c>
      <c r="D143" s="359">
        <f>$B$142*D141</f>
        <v>8.5113642742788294</v>
      </c>
      <c r="E143" s="359">
        <f>$B$142*E141</f>
        <v>8.7860785456449531</v>
      </c>
      <c r="H143" s="354" t="s">
        <v>351</v>
      </c>
      <c r="I143" s="355">
        <v>8193</v>
      </c>
      <c r="J143" s="355">
        <v>7700</v>
      </c>
    </row>
    <row r="144" spans="1:11">
      <c r="H144" s="354" t="s">
        <v>352</v>
      </c>
      <c r="I144" s="355">
        <v>1270</v>
      </c>
      <c r="J144" s="355">
        <f>I144</f>
        <v>1270</v>
      </c>
    </row>
    <row r="145" spans="1:40">
      <c r="A145" s="357" t="s">
        <v>166</v>
      </c>
      <c r="H145" s="354" t="s">
        <v>353</v>
      </c>
      <c r="I145" s="355">
        <v>1364</v>
      </c>
      <c r="J145" s="355">
        <f>I145</f>
        <v>1364</v>
      </c>
    </row>
    <row r="146" spans="1:40">
      <c r="A146" s="93"/>
      <c r="B146" s="93">
        <v>2020</v>
      </c>
      <c r="C146" s="93">
        <v>2030</v>
      </c>
      <c r="D146" s="93">
        <v>2040</v>
      </c>
      <c r="E146" s="93">
        <v>2050</v>
      </c>
      <c r="H146" s="354" t="s">
        <v>354</v>
      </c>
      <c r="I146" s="355">
        <v>2296</v>
      </c>
      <c r="J146" s="355">
        <f>I146</f>
        <v>2296</v>
      </c>
    </row>
    <row r="147" spans="1:40">
      <c r="A147" s="93" t="s">
        <v>349</v>
      </c>
      <c r="B147" s="359">
        <v>65.320191375337856</v>
      </c>
      <c r="C147" s="359">
        <v>66.451350457818847</v>
      </c>
      <c r="D147" s="359">
        <v>67.022387828850242</v>
      </c>
      <c r="E147" s="359">
        <v>66.999160784749634</v>
      </c>
      <c r="H147" s="354" t="s">
        <v>355</v>
      </c>
      <c r="I147" s="355">
        <v>3817</v>
      </c>
      <c r="J147" s="355">
        <v>4000</v>
      </c>
    </row>
    <row r="148" spans="1:40">
      <c r="A148" s="93" t="s">
        <v>358</v>
      </c>
      <c r="B148" s="93">
        <f>C132/B147</f>
        <v>6.123680772788169E-2</v>
      </c>
      <c r="C148" s="93"/>
      <c r="D148" s="93"/>
      <c r="E148" s="93"/>
      <c r="H148" s="354" t="s">
        <v>356</v>
      </c>
      <c r="I148" s="355">
        <v>6363</v>
      </c>
      <c r="J148" s="355">
        <f>I148</f>
        <v>6363</v>
      </c>
    </row>
    <row r="149" spans="1:40">
      <c r="A149" s="93" t="s">
        <v>166</v>
      </c>
      <c r="B149" s="93"/>
      <c r="C149" s="359">
        <f>$B$148*C147</f>
        <v>4.0692685712435352</v>
      </c>
      <c r="D149" s="359">
        <f>$B$148*D147</f>
        <v>4.1042370769388201</v>
      </c>
      <c r="E149" s="359">
        <f>$B$148*E147</f>
        <v>4.1028147269051445</v>
      </c>
      <c r="H149" s="354" t="s">
        <v>163</v>
      </c>
      <c r="I149" s="355">
        <f>J149</f>
        <v>0</v>
      </c>
      <c r="J149" s="355">
        <f>K149</f>
        <v>0</v>
      </c>
    </row>
    <row r="150" spans="1:40">
      <c r="B150" s="220"/>
    </row>
    <row r="151" spans="1:40">
      <c r="A151" s="357" t="s">
        <v>350</v>
      </c>
    </row>
    <row r="152" spans="1:40">
      <c r="A152" s="93"/>
      <c r="B152" s="93">
        <v>2020</v>
      </c>
      <c r="C152" s="93">
        <v>2030</v>
      </c>
      <c r="D152" s="93">
        <v>2040</v>
      </c>
      <c r="E152" s="93">
        <v>2050</v>
      </c>
      <c r="H152" s="360"/>
      <c r="I152" s="360"/>
      <c r="J152" s="360"/>
      <c r="K152" s="360"/>
      <c r="L152" s="360"/>
      <c r="M152" s="360"/>
      <c r="N152" s="360"/>
      <c r="O152" s="360"/>
      <c r="P152" s="360"/>
      <c r="Q152" s="360"/>
      <c r="R152" s="360"/>
      <c r="S152" s="360"/>
      <c r="T152" s="360"/>
      <c r="U152" s="360"/>
      <c r="V152" s="360"/>
      <c r="W152" s="360"/>
      <c r="X152" s="360"/>
      <c r="Y152" s="360"/>
      <c r="Z152" s="360"/>
      <c r="AA152" s="360"/>
      <c r="AB152" s="360"/>
      <c r="AC152" s="360"/>
      <c r="AD152" s="360"/>
      <c r="AE152" s="360"/>
      <c r="AF152" s="360"/>
      <c r="AG152" s="360"/>
      <c r="AH152" s="360"/>
      <c r="AI152" s="360"/>
      <c r="AJ152" s="360"/>
      <c r="AK152" s="360"/>
      <c r="AL152" s="360"/>
      <c r="AM152" s="360"/>
      <c r="AN152" s="360"/>
    </row>
    <row r="153" spans="1:40">
      <c r="A153" s="93" t="s">
        <v>358</v>
      </c>
      <c r="B153" s="93">
        <f>C134/B147</f>
        <v>9.7412451893127805E-2</v>
      </c>
      <c r="C153" s="93"/>
      <c r="D153" s="93"/>
      <c r="E153" s="93"/>
    </row>
    <row r="154" spans="1:40">
      <c r="A154" s="93" t="s">
        <v>359</v>
      </c>
      <c r="B154" s="93"/>
      <c r="C154" s="359">
        <f>$B$153*C147</f>
        <v>6.4731889797056548</v>
      </c>
      <c r="D154" s="359">
        <f>$B$153*D147</f>
        <v>6.5288151301404289</v>
      </c>
      <c r="E154" s="359">
        <f>$B$153*E147</f>
        <v>6.5265525268243589</v>
      </c>
    </row>
  </sheetData>
  <mergeCells count="15">
    <mergeCell ref="K32:L38"/>
    <mergeCell ref="B124:L124"/>
    <mergeCell ref="B79:L79"/>
    <mergeCell ref="B95:L95"/>
    <mergeCell ref="A1:M1"/>
    <mergeCell ref="B19:L19"/>
    <mergeCell ref="B32:B38"/>
    <mergeCell ref="B40:B46"/>
    <mergeCell ref="B62:B68"/>
    <mergeCell ref="B70:B76"/>
    <mergeCell ref="B113:C113"/>
    <mergeCell ref="C3:H3"/>
    <mergeCell ref="B49:L49"/>
    <mergeCell ref="C13:H13"/>
    <mergeCell ref="K62:L68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C2"/>
  <sheetViews>
    <sheetView zoomScaleNormal="100" workbookViewId="0">
      <selection activeCell="B41" sqref="B41"/>
    </sheetView>
  </sheetViews>
  <sheetFormatPr baseColWidth="10" defaultRowHeight="15"/>
  <sheetData>
    <row r="2" spans="3:3">
      <c r="C2" t="s">
        <v>56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3FC3BD01BCA347AF146D1331670E52" ma:contentTypeVersion="11" ma:contentTypeDescription="Crée un document." ma:contentTypeScope="" ma:versionID="838a3b530ac448d2a084e46382c3b214">
  <xsd:schema xmlns:xsd="http://www.w3.org/2001/XMLSchema" xmlns:xs="http://www.w3.org/2001/XMLSchema" xmlns:p="http://schemas.microsoft.com/office/2006/metadata/properties" xmlns:ns2="57b07b31-5b0a-4088-a810-7d347523ea75" xmlns:ns3="4949664f-4b47-4c35-a82e-d1e31b98dc67" targetNamespace="http://schemas.microsoft.com/office/2006/metadata/properties" ma:root="true" ma:fieldsID="7242b9b9ccb9c7c305a3d910b5c4d2f2" ns2:_="" ns3:_="">
    <xsd:import namespace="57b07b31-5b0a-4088-a810-7d347523ea75"/>
    <xsd:import namespace="4949664f-4b47-4c35-a82e-d1e31b98dc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07b31-5b0a-4088-a810-7d347523ea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49664f-4b47-4c35-a82e-d1e31b98dc6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72BD32-32D0-492C-B124-D113A55EBAD2}">
  <ds:schemaRefs>
    <ds:schemaRef ds:uri="57b07b31-5b0a-4088-a810-7d347523ea75"/>
    <ds:schemaRef ds:uri="4949664f-4b47-4c35-a82e-d1e31b98dc67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BAB31D6-5F8C-4BB7-A688-A846A8265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b07b31-5b0a-4088-a810-7d347523ea75"/>
    <ds:schemaRef ds:uri="4949664f-4b47-4c35-a82e-d1e31b98dc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F43DB2-DC5C-457C-93D0-B05CAC1845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Plages nommées</vt:lpstr>
      </vt:variant>
      <vt:variant>
        <vt:i4>14</vt:i4>
      </vt:variant>
    </vt:vector>
  </HeadingPairs>
  <TitlesOfParts>
    <vt:vector size="37" baseType="lpstr">
      <vt:lpstr>Feuil1</vt:lpstr>
      <vt:lpstr>Tableau de bord</vt:lpstr>
      <vt:lpstr>Résultats</vt:lpstr>
      <vt:lpstr>Résultats - post traitement</vt:lpstr>
      <vt:lpstr>Init. parc</vt:lpstr>
      <vt:lpstr>Bureaux - AME</vt:lpstr>
      <vt:lpstr>CaHoREs - AME</vt:lpstr>
      <vt:lpstr>Commerce - AME</vt:lpstr>
      <vt:lpstr>Enseignement - AME</vt:lpstr>
      <vt:lpstr>Santé social - AME</vt:lpstr>
      <vt:lpstr>Sport Loisir Culture - AME</vt:lpstr>
      <vt:lpstr>Transport - AME</vt:lpstr>
      <vt:lpstr>Init. énergie</vt:lpstr>
      <vt:lpstr>Bureaux - AMS</vt:lpstr>
      <vt:lpstr>CaHoREs - AMS</vt:lpstr>
      <vt:lpstr>Commerce - AMS</vt:lpstr>
      <vt:lpstr>Enseignement - AMS</vt:lpstr>
      <vt:lpstr>Santé social - AMS</vt:lpstr>
      <vt:lpstr>Sport Loisir Culture - AMS</vt:lpstr>
      <vt:lpstr>Transport - AMS</vt:lpstr>
      <vt:lpstr>Hors chauffage - AMS</vt:lpstr>
      <vt:lpstr>Hors chauffage - AME</vt:lpstr>
      <vt:lpstr>Sources</vt:lpstr>
      <vt:lpstr>'Bureaux - AME'!Zone_d_impression</vt:lpstr>
      <vt:lpstr>'Bureaux - AMS'!Zone_d_impression</vt:lpstr>
      <vt:lpstr>'CaHoREs - AME'!Zone_d_impression</vt:lpstr>
      <vt:lpstr>'CaHoREs - AMS'!Zone_d_impression</vt:lpstr>
      <vt:lpstr>'Commerce - AME'!Zone_d_impression</vt:lpstr>
      <vt:lpstr>'Commerce - AMS'!Zone_d_impression</vt:lpstr>
      <vt:lpstr>'Enseignement - AME'!Zone_d_impression</vt:lpstr>
      <vt:lpstr>'Enseignement - AMS'!Zone_d_impression</vt:lpstr>
      <vt:lpstr>'Santé social - AME'!Zone_d_impression</vt:lpstr>
      <vt:lpstr>'Santé social - AMS'!Zone_d_impression</vt:lpstr>
      <vt:lpstr>'Sport Loisir Culture - AME'!Zone_d_impression</vt:lpstr>
      <vt:lpstr>'Sport Loisir Culture - AMS'!Zone_d_impression</vt:lpstr>
      <vt:lpstr>'Transport - AME'!Zone_d_impression</vt:lpstr>
      <vt:lpstr>'Transport - AMS'!Zone_d_impression</vt:lpstr>
    </vt:vector>
  </TitlesOfParts>
  <Manager/>
  <Company>ADEME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GASPARD Albane</dc:creator>
  <cp:keywords/>
  <dc:description/>
  <cp:lastModifiedBy>NAGY Manon</cp:lastModifiedBy>
  <cp:revision/>
  <dcterms:created xsi:type="dcterms:W3CDTF">2020-04-03T09:01:37Z</dcterms:created>
  <dcterms:modified xsi:type="dcterms:W3CDTF">2025-04-01T12:41:41Z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0x010100533FC3BD01BCA347AF146D1331670E52</vt:lpwstr>
  </property>
</Properties>
</file>