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3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4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6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7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8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9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10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11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2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13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14.xml" ContentType="application/vnd.openxmlformats-officedocument.drawing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15.xml" ContentType="application/vnd.openxmlformats-officedocument.drawing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16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drawings/drawing17.xml" ContentType="application/vnd.openxmlformats-officedocument.drawing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L:\4_Inventaires d'émissions, prospective et évaluation\42_Prospective\421_Scénarios prospectifs DGEC\4215_Scénarios 2023\12-Bâtiments\45_Hypothèses AMS run 3\0_Tertiaire\Vivaldi\"/>
    </mc:Choice>
  </mc:AlternateContent>
  <xr:revisionPtr revIDLastSave="0" documentId="13_ncr:1_{1584724A-D0AB-4BAA-B4BF-BF99C821E465}" xr6:coauthVersionLast="47" xr6:coauthVersionMax="47" xr10:uidLastSave="{00000000-0000-0000-0000-000000000000}"/>
  <bookViews>
    <workbookView xWindow="-28920" yWindow="-11115" windowWidth="29040" windowHeight="15840" tabRatio="893" firstSheet="2" activeTab="20" xr2:uid="{00000000-000D-0000-FFFF-FFFF00000000}"/>
  </bookViews>
  <sheets>
    <sheet name="Feuil1" sheetId="118" r:id="rId1"/>
    <sheet name="Tableau de bord" sheetId="100" r:id="rId2"/>
    <sheet name="Résultats" sheetId="101" r:id="rId3"/>
    <sheet name="Résultats - post traitement" sheetId="119" r:id="rId4"/>
    <sheet name="Init. parc" sheetId="99" r:id="rId5"/>
    <sheet name="Bureaux - AME" sheetId="35" state="hidden" r:id="rId6"/>
    <sheet name="CaHoREs - AME" sheetId="104" state="hidden" r:id="rId7"/>
    <sheet name="Commerce - AME" sheetId="105" state="hidden" r:id="rId8"/>
    <sheet name="Enseignement - AME" sheetId="106" state="hidden" r:id="rId9"/>
    <sheet name="Santé social - AME" sheetId="107" state="hidden" r:id="rId10"/>
    <sheet name="Sport Loisir Culture - AME" sheetId="108" state="hidden" r:id="rId11"/>
    <sheet name="Transport - AME" sheetId="103" state="hidden" r:id="rId12"/>
    <sheet name="Init. énergie" sheetId="98" r:id="rId13"/>
    <sheet name="Bureaux - AMS" sheetId="109" r:id="rId14"/>
    <sheet name="CaHoREs - AMS" sheetId="110" r:id="rId15"/>
    <sheet name="Commerce - AMS" sheetId="111" r:id="rId16"/>
    <sheet name="Enseignement - AMS" sheetId="112" r:id="rId17"/>
    <sheet name="Santé social - AMS" sheetId="113" r:id="rId18"/>
    <sheet name="Sport Loisir Culture - AMS" sheetId="114" r:id="rId19"/>
    <sheet name="Transport - AMS" sheetId="115" r:id="rId20"/>
    <sheet name="Hors chauffage - AMS" sheetId="117" r:id="rId21"/>
    <sheet name="Hors chauffage - AME" sheetId="116" state="hidden" r:id="rId22"/>
    <sheet name="Sources" sheetId="102" r:id="rId23"/>
  </sheets>
  <definedNames>
    <definedName name="_xlnm.Print_Area" localSheetId="5">'Bureaux - AME'!$C$1:$O$178</definedName>
    <definedName name="_xlnm.Print_Area" localSheetId="13">'Bureaux - AMS'!$C$1:$O$176</definedName>
    <definedName name="_xlnm.Print_Area" localSheetId="6">'CaHoREs - AME'!$C$1:$O$176</definedName>
    <definedName name="_xlnm.Print_Area" localSheetId="14">'CaHoREs - AMS'!$C$1:$O$176</definedName>
    <definedName name="_xlnm.Print_Area" localSheetId="7">'Commerce - AME'!$C$1:$O$176</definedName>
    <definedName name="_xlnm.Print_Area" localSheetId="15">'Commerce - AMS'!$C$1:$O$176</definedName>
    <definedName name="_xlnm.Print_Area" localSheetId="8">'Enseignement - AME'!$C$1:$O$176</definedName>
    <definedName name="_xlnm.Print_Area" localSheetId="16">'Enseignement - AMS'!$C$1:$O$176</definedName>
    <definedName name="_xlnm.Print_Area" localSheetId="9">'Santé social - AME'!$C$1:$O$176</definedName>
    <definedName name="_xlnm.Print_Area" localSheetId="17">'Santé social - AMS'!$C$1:$O$176</definedName>
    <definedName name="_xlnm.Print_Area" localSheetId="10">'Sport Loisir Culture - AME'!$C$1:$O$176</definedName>
    <definedName name="_xlnm.Print_Area" localSheetId="18">'Sport Loisir Culture - AMS'!$C$1:$O$176</definedName>
    <definedName name="_xlnm.Print_Area" localSheetId="11">'Transport - AME'!$C$1:$O$176</definedName>
    <definedName name="_xlnm.Print_Area" localSheetId="19">'Transport - AMS'!$C$1:$O$176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1" i="117" l="1"/>
  <c r="H81" i="117"/>
  <c r="G81" i="117"/>
  <c r="F81" i="117"/>
  <c r="E81" i="117"/>
  <c r="D81" i="117"/>
  <c r="C81" i="117"/>
  <c r="C84" i="117"/>
  <c r="I84" i="117" s="1"/>
  <c r="I83" i="117"/>
  <c r="H83" i="117"/>
  <c r="G83" i="117"/>
  <c r="F83" i="117"/>
  <c r="E83" i="117"/>
  <c r="D83" i="117"/>
  <c r="C83" i="117"/>
  <c r="H82" i="117"/>
  <c r="G82" i="117"/>
  <c r="F82" i="117"/>
  <c r="D82" i="117"/>
  <c r="AA176" i="119"/>
  <c r="AB176" i="119"/>
  <c r="AA177" i="119"/>
  <c r="AB177" i="119"/>
  <c r="AA178" i="119"/>
  <c r="AB178" i="119"/>
  <c r="AA179" i="119"/>
  <c r="AB179" i="119"/>
  <c r="Z177" i="119"/>
  <c r="Z178" i="119"/>
  <c r="Z179" i="119"/>
  <c r="Z181" i="119"/>
  <c r="AA162" i="119"/>
  <c r="AB162" i="119"/>
  <c r="Z162" i="119"/>
  <c r="AA164" i="119"/>
  <c r="AB164" i="119"/>
  <c r="Z164" i="119"/>
  <c r="AA163" i="119"/>
  <c r="AB163" i="119"/>
  <c r="Z163" i="119"/>
  <c r="AA59" i="119"/>
  <c r="AB59" i="119"/>
  <c r="Z59" i="119"/>
  <c r="AA58" i="119"/>
  <c r="AB58" i="119"/>
  <c r="Z58" i="119"/>
  <c r="AA60" i="119"/>
  <c r="AB60" i="119"/>
  <c r="Z60" i="119"/>
  <c r="AA66" i="119"/>
  <c r="AB66" i="119"/>
  <c r="Z66" i="119"/>
  <c r="AA65" i="119"/>
  <c r="AB65" i="119"/>
  <c r="Z65" i="119"/>
  <c r="Z69" i="119" s="1"/>
  <c r="AA69" i="119"/>
  <c r="AB69" i="119"/>
  <c r="AA68" i="119"/>
  <c r="AB68" i="119"/>
  <c r="Z68" i="119"/>
  <c r="Z67" i="119"/>
  <c r="AA67" i="119"/>
  <c r="AB67" i="119"/>
  <c r="G84" i="117" l="1"/>
  <c r="E84" i="117"/>
  <c r="L162" i="119"/>
  <c r="K162" i="119"/>
  <c r="J162" i="119"/>
  <c r="I162" i="119"/>
  <c r="AB161" i="119"/>
  <c r="AA161" i="119"/>
  <c r="Z161" i="119"/>
  <c r="Z176" i="119" s="1"/>
  <c r="Y161" i="119"/>
  <c r="Y176" i="119" s="1"/>
  <c r="L161" i="119"/>
  <c r="K161" i="119"/>
  <c r="J161" i="119"/>
  <c r="I161" i="119"/>
  <c r="AB160" i="119"/>
  <c r="AB175" i="119" s="1"/>
  <c r="AA160" i="119"/>
  <c r="AA175" i="119" s="1"/>
  <c r="Z160" i="119"/>
  <c r="Z175" i="119" s="1"/>
  <c r="Y160" i="119"/>
  <c r="Y175" i="119" s="1"/>
  <c r="L160" i="119"/>
  <c r="K160" i="119"/>
  <c r="J160" i="119"/>
  <c r="I160" i="119"/>
  <c r="AB159" i="119"/>
  <c r="AB174" i="119" s="1"/>
  <c r="AA159" i="119"/>
  <c r="AA174" i="119" s="1"/>
  <c r="Z159" i="119"/>
  <c r="Z174" i="119" s="1"/>
  <c r="Y159" i="119"/>
  <c r="Y174" i="119" s="1"/>
  <c r="L159" i="119"/>
  <c r="K159" i="119"/>
  <c r="J159" i="119"/>
  <c r="I159" i="119"/>
  <c r="AB158" i="119"/>
  <c r="AB173" i="119" s="1"/>
  <c r="AA158" i="119"/>
  <c r="AA173" i="119" s="1"/>
  <c r="Z158" i="119"/>
  <c r="Z173" i="119" s="1"/>
  <c r="Y158" i="119"/>
  <c r="Y173" i="119" s="1"/>
  <c r="L158" i="119"/>
  <c r="K158" i="119"/>
  <c r="J158" i="119"/>
  <c r="I158" i="119"/>
  <c r="AB157" i="119"/>
  <c r="AB172" i="119" s="1"/>
  <c r="AA157" i="119"/>
  <c r="AA172" i="119" s="1"/>
  <c r="Z157" i="119"/>
  <c r="Z172" i="119" s="1"/>
  <c r="Y157" i="119"/>
  <c r="Y172" i="119" s="1"/>
  <c r="L157" i="119"/>
  <c r="K157" i="119"/>
  <c r="J157" i="119"/>
  <c r="I157" i="119"/>
  <c r="AB156" i="119"/>
  <c r="AB171" i="119" s="1"/>
  <c r="AA156" i="119"/>
  <c r="AA171" i="119" s="1"/>
  <c r="Z156" i="119"/>
  <c r="Z171" i="119" s="1"/>
  <c r="Y156" i="119"/>
  <c r="L156" i="119"/>
  <c r="K156" i="119"/>
  <c r="J156" i="119"/>
  <c r="I156" i="119"/>
  <c r="AB155" i="119"/>
  <c r="AA155" i="119"/>
  <c r="Z155" i="119"/>
  <c r="Y155" i="119"/>
  <c r="Y170" i="119" s="1"/>
  <c r="AJ136" i="119"/>
  <c r="AK134" i="119"/>
  <c r="AL134" i="119" s="1"/>
  <c r="AK133" i="119"/>
  <c r="AL133" i="119" s="1"/>
  <c r="AK132" i="119"/>
  <c r="AL132" i="119" s="1"/>
  <c r="AK131" i="119"/>
  <c r="AL131" i="119" s="1"/>
  <c r="AK130" i="119"/>
  <c r="AL130" i="119" s="1"/>
  <c r="AK128" i="119"/>
  <c r="AL128" i="119" s="1"/>
  <c r="AL127" i="119"/>
  <c r="E120" i="119"/>
  <c r="D120" i="119"/>
  <c r="C120" i="119"/>
  <c r="C30" i="119" s="1"/>
  <c r="B120" i="119"/>
  <c r="B30" i="119" s="1"/>
  <c r="E118" i="119"/>
  <c r="D118" i="119"/>
  <c r="C118" i="119"/>
  <c r="B118" i="119"/>
  <c r="E117" i="119"/>
  <c r="D117" i="119"/>
  <c r="C117" i="119"/>
  <c r="B117" i="119"/>
  <c r="E116" i="119"/>
  <c r="D116" i="119"/>
  <c r="C116" i="119"/>
  <c r="B116" i="119"/>
  <c r="E115" i="119"/>
  <c r="D115" i="119"/>
  <c r="C115" i="119"/>
  <c r="B115" i="119"/>
  <c r="E114" i="119"/>
  <c r="D114" i="119"/>
  <c r="C114" i="119"/>
  <c r="B114" i="119"/>
  <c r="AB99" i="119"/>
  <c r="AA99" i="119"/>
  <c r="Z99" i="119"/>
  <c r="Y99" i="119"/>
  <c r="E99" i="119"/>
  <c r="D99" i="119"/>
  <c r="C99" i="119"/>
  <c r="B99" i="119"/>
  <c r="AB98" i="119"/>
  <c r="AA98" i="119"/>
  <c r="Z98" i="119"/>
  <c r="Y98" i="119"/>
  <c r="E98" i="119"/>
  <c r="D98" i="119"/>
  <c r="C98" i="119"/>
  <c r="B98" i="119"/>
  <c r="AB97" i="119"/>
  <c r="AA97" i="119"/>
  <c r="Z97" i="119"/>
  <c r="Y97" i="119"/>
  <c r="E97" i="119"/>
  <c r="D97" i="119"/>
  <c r="C97" i="119"/>
  <c r="B97" i="119"/>
  <c r="AB96" i="119"/>
  <c r="AA96" i="119"/>
  <c r="Z96" i="119"/>
  <c r="Y96" i="119"/>
  <c r="E96" i="119"/>
  <c r="D96" i="119"/>
  <c r="C96" i="119"/>
  <c r="B96" i="119"/>
  <c r="AB95" i="119"/>
  <c r="AA95" i="119"/>
  <c r="Z95" i="119"/>
  <c r="Y95" i="119"/>
  <c r="E95" i="119"/>
  <c r="D95" i="119"/>
  <c r="C95" i="119"/>
  <c r="B95" i="119"/>
  <c r="AB94" i="119"/>
  <c r="AA94" i="119"/>
  <c r="Z94" i="119"/>
  <c r="Y94" i="119"/>
  <c r="E94" i="119"/>
  <c r="D94" i="119"/>
  <c r="C94" i="119"/>
  <c r="B94" i="119"/>
  <c r="AB93" i="119"/>
  <c r="AA93" i="119"/>
  <c r="Z93" i="119"/>
  <c r="Y93" i="119"/>
  <c r="E93" i="119"/>
  <c r="D93" i="119"/>
  <c r="C93" i="119"/>
  <c r="B93" i="119"/>
  <c r="AB87" i="119"/>
  <c r="AA87" i="119"/>
  <c r="Z87" i="119"/>
  <c r="Y87" i="119"/>
  <c r="E87" i="119"/>
  <c r="D87" i="119"/>
  <c r="C87" i="119"/>
  <c r="B87" i="119"/>
  <c r="AB86" i="119"/>
  <c r="AA86" i="119"/>
  <c r="Z86" i="119"/>
  <c r="Y86" i="119"/>
  <c r="E86" i="119"/>
  <c r="D86" i="119"/>
  <c r="C86" i="119"/>
  <c r="B86" i="119"/>
  <c r="AB85" i="119"/>
  <c r="AA85" i="119"/>
  <c r="Z85" i="119"/>
  <c r="Y85" i="119"/>
  <c r="E85" i="119"/>
  <c r="D85" i="119"/>
  <c r="C85" i="119"/>
  <c r="B85" i="119"/>
  <c r="AB84" i="119"/>
  <c r="AA84" i="119"/>
  <c r="Z84" i="119"/>
  <c r="Y84" i="119"/>
  <c r="E84" i="119"/>
  <c r="D84" i="119"/>
  <c r="C84" i="119"/>
  <c r="B84" i="119"/>
  <c r="AB83" i="119"/>
  <c r="AA83" i="119"/>
  <c r="Z83" i="119"/>
  <c r="Y83" i="119"/>
  <c r="E83" i="119"/>
  <c r="D83" i="119"/>
  <c r="C83" i="119"/>
  <c r="B83" i="119"/>
  <c r="AB82" i="119"/>
  <c r="AA82" i="119"/>
  <c r="Z82" i="119"/>
  <c r="Y82" i="119"/>
  <c r="E82" i="119"/>
  <c r="D82" i="119"/>
  <c r="C82" i="119"/>
  <c r="B82" i="119"/>
  <c r="AB81" i="119"/>
  <c r="AA81" i="119"/>
  <c r="Z81" i="119"/>
  <c r="Y81" i="119"/>
  <c r="E81" i="119"/>
  <c r="D81" i="119"/>
  <c r="C81" i="119"/>
  <c r="B81" i="119"/>
  <c r="Y65" i="119"/>
  <c r="E63" i="119"/>
  <c r="E40" i="119" s="1"/>
  <c r="E137" i="119" s="1"/>
  <c r="D63" i="119"/>
  <c r="D40" i="119" s="1"/>
  <c r="D137" i="119" s="1"/>
  <c r="C63" i="119"/>
  <c r="B63" i="119"/>
  <c r="AB64" i="119"/>
  <c r="AA64" i="119"/>
  <c r="Z64" i="119"/>
  <c r="Y64" i="119"/>
  <c r="E62" i="119"/>
  <c r="D62" i="119"/>
  <c r="C62" i="119"/>
  <c r="B62" i="119"/>
  <c r="AB63" i="119"/>
  <c r="AA63" i="119"/>
  <c r="Z63" i="119"/>
  <c r="Y63" i="119"/>
  <c r="E61" i="119"/>
  <c r="D61" i="119"/>
  <c r="C61" i="119"/>
  <c r="B61" i="119"/>
  <c r="AB62" i="119"/>
  <c r="AB38" i="119" s="1"/>
  <c r="AB135" i="119" s="1"/>
  <c r="AA62" i="119"/>
  <c r="AA38" i="119" s="1"/>
  <c r="AA135" i="119" s="1"/>
  <c r="Z62" i="119"/>
  <c r="Z38" i="119" s="1"/>
  <c r="Y62" i="119"/>
  <c r="E60" i="119"/>
  <c r="E38" i="119" s="1"/>
  <c r="E135" i="119" s="1"/>
  <c r="D60" i="119"/>
  <c r="D38" i="119" s="1"/>
  <c r="D135" i="119" s="1"/>
  <c r="C60" i="119"/>
  <c r="C38" i="119" s="1"/>
  <c r="C135" i="119" s="1"/>
  <c r="B60" i="119"/>
  <c r="B38" i="119" s="1"/>
  <c r="B135" i="119" s="1"/>
  <c r="AB61" i="119"/>
  <c r="AA61" i="119"/>
  <c r="Z61" i="119"/>
  <c r="Y61" i="119"/>
  <c r="E59" i="119"/>
  <c r="D59" i="119"/>
  <c r="C59" i="119"/>
  <c r="B59" i="119"/>
  <c r="Y58" i="119"/>
  <c r="E58" i="119"/>
  <c r="D58" i="119"/>
  <c r="D36" i="119" s="1"/>
  <c r="D133" i="119" s="1"/>
  <c r="C58" i="119"/>
  <c r="C36" i="119" s="1"/>
  <c r="C133" i="119" s="1"/>
  <c r="B58" i="119"/>
  <c r="AB57" i="119"/>
  <c r="AA57" i="119"/>
  <c r="Z57" i="119"/>
  <c r="Y57" i="119"/>
  <c r="E57" i="119"/>
  <c r="E35" i="119" s="1"/>
  <c r="D57" i="119"/>
  <c r="D35" i="119" s="1"/>
  <c r="C57" i="119"/>
  <c r="B57" i="119"/>
  <c r="E36" i="119"/>
  <c r="E133" i="119" s="1"/>
  <c r="E30" i="119"/>
  <c r="D30" i="119"/>
  <c r="AC22" i="119"/>
  <c r="AB22" i="119"/>
  <c r="AA22" i="119"/>
  <c r="Z22" i="119"/>
  <c r="F22" i="119"/>
  <c r="E22" i="119"/>
  <c r="D22" i="119"/>
  <c r="C22" i="119"/>
  <c r="AC21" i="119"/>
  <c r="AB21" i="119"/>
  <c r="AA21" i="119"/>
  <c r="Z21" i="119"/>
  <c r="F21" i="119"/>
  <c r="E21" i="119"/>
  <c r="D21" i="119"/>
  <c r="C21" i="119"/>
  <c r="AC20" i="119"/>
  <c r="AB20" i="119"/>
  <c r="AA20" i="119"/>
  <c r="Z20" i="119"/>
  <c r="F20" i="119"/>
  <c r="E20" i="119"/>
  <c r="D20" i="119"/>
  <c r="C20" i="119"/>
  <c r="AC19" i="119"/>
  <c r="AB19" i="119"/>
  <c r="AA19" i="119"/>
  <c r="Z19" i="119"/>
  <c r="F19" i="119"/>
  <c r="E19" i="119"/>
  <c r="D19" i="119"/>
  <c r="C19" i="119"/>
  <c r="AC18" i="119"/>
  <c r="AB18" i="119"/>
  <c r="AA18" i="119"/>
  <c r="Z18" i="119"/>
  <c r="F18" i="119"/>
  <c r="E18" i="119"/>
  <c r="D18" i="119"/>
  <c r="C18" i="119"/>
  <c r="AC17" i="119"/>
  <c r="AB17" i="119"/>
  <c r="AA17" i="119"/>
  <c r="Z17" i="119"/>
  <c r="F17" i="119"/>
  <c r="E17" i="119"/>
  <c r="D17" i="119"/>
  <c r="C17" i="119"/>
  <c r="AC16" i="119"/>
  <c r="AB16" i="119"/>
  <c r="AA16" i="119"/>
  <c r="Z16" i="119"/>
  <c r="F16" i="119"/>
  <c r="E16" i="119"/>
  <c r="D16" i="119"/>
  <c r="C16" i="119"/>
  <c r="AC15" i="119"/>
  <c r="AB15" i="119"/>
  <c r="AA15" i="119"/>
  <c r="Z15" i="119"/>
  <c r="F15" i="119"/>
  <c r="E15" i="119"/>
  <c r="D15" i="119"/>
  <c r="C15" i="119"/>
  <c r="AC14" i="119"/>
  <c r="AB14" i="119"/>
  <c r="AA14" i="119"/>
  <c r="Z14" i="119"/>
  <c r="F14" i="119"/>
  <c r="E14" i="119"/>
  <c r="D14" i="119"/>
  <c r="C14" i="119"/>
  <c r="AC13" i="119"/>
  <c r="AB13" i="119"/>
  <c r="AA13" i="119"/>
  <c r="Z13" i="119"/>
  <c r="F13" i="119"/>
  <c r="E13" i="119"/>
  <c r="D13" i="119"/>
  <c r="C13" i="119"/>
  <c r="AC12" i="119"/>
  <c r="AB12" i="119"/>
  <c r="AA12" i="119"/>
  <c r="Z12" i="119"/>
  <c r="F12" i="119"/>
  <c r="E12" i="119"/>
  <c r="D12" i="119"/>
  <c r="C12" i="119"/>
  <c r="AC11" i="119"/>
  <c r="AB11" i="119"/>
  <c r="AA11" i="119"/>
  <c r="Z11" i="119"/>
  <c r="F11" i="119"/>
  <c r="E11" i="119"/>
  <c r="D11" i="119"/>
  <c r="C11" i="119"/>
  <c r="AC10" i="119"/>
  <c r="AB10" i="119"/>
  <c r="AA10" i="119"/>
  <c r="Z10" i="119"/>
  <c r="F10" i="119"/>
  <c r="E10" i="119"/>
  <c r="D10" i="119"/>
  <c r="C10" i="119"/>
  <c r="AC9" i="119"/>
  <c r="AB9" i="119"/>
  <c r="AA9" i="119"/>
  <c r="Z9" i="119"/>
  <c r="F9" i="119"/>
  <c r="E9" i="119"/>
  <c r="D9" i="119"/>
  <c r="C9" i="119"/>
  <c r="H84" i="117" l="1"/>
  <c r="F84" i="117"/>
  <c r="D84" i="117"/>
  <c r="D123" i="119"/>
  <c r="B35" i="119"/>
  <c r="C39" i="119"/>
  <c r="C136" i="119" s="1"/>
  <c r="B88" i="119"/>
  <c r="B89" i="119" s="1"/>
  <c r="Y100" i="119"/>
  <c r="Y101" i="119" s="1"/>
  <c r="B37" i="119"/>
  <c r="B134" i="119" s="1"/>
  <c r="AD160" i="119"/>
  <c r="C88" i="119"/>
  <c r="C89" i="119" s="1"/>
  <c r="Z100" i="119"/>
  <c r="E39" i="119"/>
  <c r="E136" i="119" s="1"/>
  <c r="AA88" i="119"/>
  <c r="D37" i="119"/>
  <c r="D134" i="119" s="1"/>
  <c r="E88" i="119"/>
  <c r="E89" i="119" s="1"/>
  <c r="AB88" i="119"/>
  <c r="E37" i="119"/>
  <c r="E134" i="119" s="1"/>
  <c r="D88" i="119"/>
  <c r="AB23" i="119"/>
  <c r="AC23" i="119"/>
  <c r="C35" i="119"/>
  <c r="C132" i="119" s="1"/>
  <c r="AB24" i="119"/>
  <c r="E24" i="119"/>
  <c r="C37" i="119"/>
  <c r="C134" i="119" s="1"/>
  <c r="C40" i="119"/>
  <c r="C137" i="119" s="1"/>
  <c r="B100" i="119"/>
  <c r="B101" i="119" s="1"/>
  <c r="B123" i="119"/>
  <c r="AD157" i="119"/>
  <c r="E123" i="119"/>
  <c r="Z88" i="119"/>
  <c r="C23" i="119"/>
  <c r="E64" i="119"/>
  <c r="E29" i="119" s="1"/>
  <c r="E31" i="119" s="1"/>
  <c r="D39" i="119"/>
  <c r="D136" i="119" s="1"/>
  <c r="D24" i="119"/>
  <c r="AD158" i="119"/>
  <c r="E23" i="119"/>
  <c r="F24" i="119"/>
  <c r="C100" i="119"/>
  <c r="C101" i="119" s="1"/>
  <c r="C123" i="119"/>
  <c r="Y88" i="119"/>
  <c r="Y89" i="119" s="1"/>
  <c r="AD159" i="119"/>
  <c r="C24" i="119"/>
  <c r="D23" i="119"/>
  <c r="AC24" i="119"/>
  <c r="AC25" i="119" s="1"/>
  <c r="Z23" i="119"/>
  <c r="D100" i="119"/>
  <c r="D101" i="119" s="1"/>
  <c r="AA100" i="119"/>
  <c r="AA101" i="119" s="1"/>
  <c r="AD161" i="119"/>
  <c r="AK136" i="119"/>
  <c r="Z166" i="119"/>
  <c r="AA166" i="119"/>
  <c r="Z24" i="119"/>
  <c r="AB166" i="119"/>
  <c r="AA24" i="119"/>
  <c r="AA25" i="119" s="1"/>
  <c r="B40" i="119"/>
  <c r="B137" i="119" s="1"/>
  <c r="F23" i="119"/>
  <c r="AA23" i="119"/>
  <c r="B36" i="119"/>
  <c r="B133" i="119" s="1"/>
  <c r="B39" i="119"/>
  <c r="B136" i="119" s="1"/>
  <c r="E100" i="119"/>
  <c r="AB100" i="119"/>
  <c r="AD156" i="119"/>
  <c r="B132" i="119"/>
  <c r="AL136" i="119"/>
  <c r="D44" i="119"/>
  <c r="D132" i="119"/>
  <c r="D41" i="119"/>
  <c r="Z135" i="119"/>
  <c r="D89" i="119"/>
  <c r="J164" i="119"/>
  <c r="N158" i="119" s="1"/>
  <c r="L164" i="119"/>
  <c r="P160" i="119" s="1"/>
  <c r="K164" i="119"/>
  <c r="O156" i="119" s="1"/>
  <c r="Z170" i="119"/>
  <c r="AA170" i="119"/>
  <c r="AA181" i="119" s="1"/>
  <c r="Y166" i="119"/>
  <c r="AB170" i="119"/>
  <c r="AB181" i="119" s="1"/>
  <c r="I164" i="119"/>
  <c r="M160" i="119" s="1"/>
  <c r="B64" i="119"/>
  <c r="C64" i="119"/>
  <c r="E132" i="119"/>
  <c r="AD155" i="119"/>
  <c r="Y171" i="119"/>
  <c r="Y181" i="119" s="1"/>
  <c r="Y38" i="119"/>
  <c r="Y135" i="119" s="1"/>
  <c r="D64" i="119"/>
  <c r="Y69" i="119"/>
  <c r="C87" i="117"/>
  <c r="D76" i="117"/>
  <c r="D74" i="117"/>
  <c r="E74" i="117" s="1"/>
  <c r="F74" i="117" s="1"/>
  <c r="G74" i="117" s="1"/>
  <c r="H74" i="117" s="1"/>
  <c r="I74" i="117" s="1"/>
  <c r="F37" i="100" a="1"/>
  <c r="F37" i="100" s="1"/>
  <c r="AB101" i="119" l="1"/>
  <c r="Z101" i="119"/>
  <c r="E101" i="119"/>
  <c r="AD163" i="119"/>
  <c r="C41" i="119"/>
  <c r="AA89" i="119"/>
  <c r="O160" i="119"/>
  <c r="AB89" i="119"/>
  <c r="E41" i="119"/>
  <c r="E65" i="119"/>
  <c r="Z89" i="119"/>
  <c r="E44" i="119"/>
  <c r="O161" i="119"/>
  <c r="N161" i="119"/>
  <c r="C44" i="119"/>
  <c r="P158" i="119"/>
  <c r="P157" i="119"/>
  <c r="B44" i="119"/>
  <c r="B41" i="119"/>
  <c r="B42" i="119" s="1"/>
  <c r="AB29" i="119"/>
  <c r="Y70" i="119"/>
  <c r="Y29" i="119"/>
  <c r="AB70" i="119"/>
  <c r="N160" i="119"/>
  <c r="D138" i="119"/>
  <c r="D139" i="119"/>
  <c r="M161" i="119"/>
  <c r="AA70" i="119"/>
  <c r="AA29" i="119"/>
  <c r="O159" i="119"/>
  <c r="P161" i="119"/>
  <c r="Z70" i="119"/>
  <c r="Z29" i="119"/>
  <c r="P159" i="119"/>
  <c r="P156" i="119"/>
  <c r="C29" i="119"/>
  <c r="C31" i="119" s="1"/>
  <c r="C65" i="119"/>
  <c r="C139" i="119"/>
  <c r="C138" i="119"/>
  <c r="M158" i="119"/>
  <c r="M157" i="119"/>
  <c r="M156" i="119"/>
  <c r="D29" i="119"/>
  <c r="D31" i="119" s="1"/>
  <c r="D65" i="119"/>
  <c r="M159" i="119"/>
  <c r="O157" i="119"/>
  <c r="B139" i="119"/>
  <c r="B138" i="119"/>
  <c r="N156" i="119"/>
  <c r="N157" i="119"/>
  <c r="AC38" i="119"/>
  <c r="B29" i="119"/>
  <c r="B31" i="119" s="1"/>
  <c r="B65" i="119"/>
  <c r="O158" i="119"/>
  <c r="N159" i="119"/>
  <c r="E138" i="119"/>
  <c r="E139" i="119"/>
  <c r="Y175" i="101"/>
  <c r="Y168" i="101"/>
  <c r="Y169" i="101"/>
  <c r="Y170" i="101"/>
  <c r="Y171" i="101"/>
  <c r="Y172" i="101"/>
  <c r="Y173" i="101"/>
  <c r="Y167" i="101"/>
  <c r="D42" i="119" l="1"/>
  <c r="E42" i="119"/>
  <c r="C42" i="119"/>
  <c r="E143" i="119"/>
  <c r="C143" i="119"/>
  <c r="D143" i="119"/>
  <c r="C27" i="116"/>
  <c r="C24" i="116" l="1"/>
  <c r="E6" i="116"/>
  <c r="N20" i="99" l="1"/>
  <c r="O20" i="99"/>
  <c r="P20" i="99"/>
  <c r="N21" i="99"/>
  <c r="O21" i="99"/>
  <c r="P21" i="99"/>
  <c r="N22" i="99"/>
  <c r="O22" i="99"/>
  <c r="P22" i="99"/>
  <c r="N23" i="99"/>
  <c r="O23" i="99"/>
  <c r="P23" i="99"/>
  <c r="N24" i="99"/>
  <c r="O24" i="99"/>
  <c r="P24" i="99"/>
  <c r="N25" i="99"/>
  <c r="O25" i="99"/>
  <c r="P25" i="99"/>
  <c r="N26" i="99"/>
  <c r="O26" i="99"/>
  <c r="P26" i="99"/>
  <c r="N27" i="99"/>
  <c r="O27" i="99"/>
  <c r="P27" i="99"/>
  <c r="J35" i="113"/>
  <c r="K34" i="115"/>
  <c r="K34" i="113"/>
  <c r="K35" i="113"/>
  <c r="H34" i="113"/>
  <c r="J23" i="117"/>
  <c r="H23" i="117"/>
  <c r="D23" i="117"/>
  <c r="F29" i="117"/>
  <c r="H29" i="117"/>
  <c r="F31" i="117"/>
  <c r="H31" i="117"/>
  <c r="F33" i="117"/>
  <c r="G33" i="117"/>
  <c r="H33" i="117"/>
  <c r="J56" i="117"/>
  <c r="J57" i="117"/>
  <c r="J58" i="117"/>
  <c r="J59" i="117"/>
  <c r="J61" i="117"/>
  <c r="J55" i="117"/>
  <c r="Q35" i="117"/>
  <c r="R35" i="117"/>
  <c r="S35" i="117"/>
  <c r="P35" i="117"/>
  <c r="F23" i="117"/>
  <c r="I34" i="115"/>
  <c r="H34" i="115"/>
  <c r="I34" i="114"/>
  <c r="J34" i="114"/>
  <c r="K34" i="114"/>
  <c r="H34" i="114"/>
  <c r="E23" i="117" l="1"/>
  <c r="C79" i="117"/>
  <c r="C85" i="117"/>
  <c r="G23" i="117"/>
  <c r="G79" i="117"/>
  <c r="G85" i="117"/>
  <c r="I85" i="117"/>
  <c r="I79" i="117"/>
  <c r="I77" i="117" s="1"/>
  <c r="E79" i="117"/>
  <c r="E77" i="117" s="1"/>
  <c r="E85" i="117"/>
  <c r="J34" i="115"/>
  <c r="J34" i="113"/>
  <c r="I35" i="113"/>
  <c r="I34" i="113"/>
  <c r="J60" i="117"/>
  <c r="I23" i="117"/>
  <c r="I17" i="117"/>
  <c r="H17" i="117"/>
  <c r="J51" i="111"/>
  <c r="J46" i="111"/>
  <c r="F79" i="117" l="1"/>
  <c r="F85" i="117"/>
  <c r="G76" i="117"/>
  <c r="G77" i="117" s="1"/>
  <c r="H76" i="117"/>
  <c r="F76" i="117"/>
  <c r="H79" i="117"/>
  <c r="H85" i="117"/>
  <c r="C77" i="117"/>
  <c r="C75" i="117"/>
  <c r="D79" i="117"/>
  <c r="D77" i="117" s="1"/>
  <c r="D85" i="117"/>
  <c r="F77" i="109"/>
  <c r="K46" i="115"/>
  <c r="J46" i="115"/>
  <c r="I46" i="115"/>
  <c r="K46" i="114"/>
  <c r="J46" i="114"/>
  <c r="I46" i="114"/>
  <c r="K46" i="113"/>
  <c r="J46" i="113"/>
  <c r="I46" i="113"/>
  <c r="K46" i="112"/>
  <c r="J46" i="112"/>
  <c r="I46" i="112"/>
  <c r="K46" i="111"/>
  <c r="K46" i="110"/>
  <c r="J46" i="110"/>
  <c r="I46" i="110"/>
  <c r="K46" i="109"/>
  <c r="J46" i="109"/>
  <c r="I46" i="109"/>
  <c r="H77" i="109"/>
  <c r="H77" i="111"/>
  <c r="H77" i="112"/>
  <c r="H77" i="113"/>
  <c r="H77" i="114"/>
  <c r="H77" i="115"/>
  <c r="H77" i="110"/>
  <c r="G77" i="109"/>
  <c r="G77" i="111"/>
  <c r="G77" i="112"/>
  <c r="G77" i="113"/>
  <c r="G77" i="114"/>
  <c r="G77" i="115"/>
  <c r="G77" i="110"/>
  <c r="F41" i="100" a="1"/>
  <c r="F41" i="100" s="1"/>
  <c r="F77" i="115" s="1"/>
  <c r="E41" i="100"/>
  <c r="E37" i="100"/>
  <c r="K61" i="111"/>
  <c r="H34" i="35"/>
  <c r="H36" i="35" s="1"/>
  <c r="H9" i="35" s="1"/>
  <c r="J40" i="116"/>
  <c r="D33" i="116"/>
  <c r="J37" i="116"/>
  <c r="I37" i="116"/>
  <c r="H37" i="116"/>
  <c r="G37" i="116"/>
  <c r="F37" i="116"/>
  <c r="E37" i="116"/>
  <c r="D37" i="116"/>
  <c r="J35" i="116"/>
  <c r="I35" i="116"/>
  <c r="H35" i="116"/>
  <c r="G35" i="116"/>
  <c r="F35" i="116"/>
  <c r="E35" i="116"/>
  <c r="D35" i="116"/>
  <c r="E33" i="116"/>
  <c r="F33" i="116"/>
  <c r="G33" i="116"/>
  <c r="H33" i="116"/>
  <c r="I33" i="116"/>
  <c r="J33" i="116"/>
  <c r="F52" i="100" a="1"/>
  <c r="F52" i="100" s="1"/>
  <c r="F56" i="100" a="1"/>
  <c r="F56" i="100" s="1"/>
  <c r="U52" i="100" a="1"/>
  <c r="U52" i="100" s="1"/>
  <c r="U56" i="100" a="1"/>
  <c r="U56" i="100" s="1"/>
  <c r="AJ52" i="100" a="1"/>
  <c r="AJ52" i="100" s="1"/>
  <c r="AJ56" i="100" a="1"/>
  <c r="AJ56" i="100" s="1"/>
  <c r="F77" i="117" l="1"/>
  <c r="C78" i="117"/>
  <c r="D78" i="117" s="1"/>
  <c r="E78" i="117" s="1"/>
  <c r="F78" i="117" s="1"/>
  <c r="H77" i="117"/>
  <c r="F77" i="114"/>
  <c r="F77" i="113"/>
  <c r="F77" i="111"/>
  <c r="F77" i="112"/>
  <c r="F77" i="110"/>
  <c r="G17" i="117"/>
  <c r="D75" i="117" l="1"/>
  <c r="E75" i="117"/>
  <c r="G78" i="117"/>
  <c r="F75" i="117"/>
  <c r="J149" i="106"/>
  <c r="K50" i="35"/>
  <c r="H78" i="117" l="1"/>
  <c r="G75" i="117"/>
  <c r="H83" i="116"/>
  <c r="G83" i="116"/>
  <c r="F83" i="116"/>
  <c r="D83" i="116"/>
  <c r="I78" i="117" l="1"/>
  <c r="I75" i="117" s="1"/>
  <c r="H75" i="117"/>
  <c r="D128" i="116"/>
  <c r="E128" i="116" s="1"/>
  <c r="F128" i="116" s="1"/>
  <c r="G128" i="116" s="1"/>
  <c r="H128" i="116" s="1"/>
  <c r="I128" i="116" s="1"/>
  <c r="G129" i="116"/>
  <c r="F129" i="116" s="1"/>
  <c r="C131" i="116"/>
  <c r="C132" i="116"/>
  <c r="H129" i="116" l="1"/>
  <c r="N4" i="99" l="1"/>
  <c r="O4" i="99"/>
  <c r="P4" i="99"/>
  <c r="N5" i="99"/>
  <c r="O5" i="99"/>
  <c r="P5" i="99"/>
  <c r="N6" i="99"/>
  <c r="O6" i="99"/>
  <c r="P6" i="99"/>
  <c r="N7" i="99"/>
  <c r="O7" i="99"/>
  <c r="P7" i="99"/>
  <c r="N8" i="99"/>
  <c r="O8" i="99"/>
  <c r="P8" i="99"/>
  <c r="N9" i="99"/>
  <c r="O9" i="99"/>
  <c r="P9" i="99"/>
  <c r="N10" i="99"/>
  <c r="O10" i="99"/>
  <c r="P10" i="99"/>
  <c r="N11" i="99"/>
  <c r="O11" i="99"/>
  <c r="P11" i="99"/>
  <c r="J95" i="98" l="1"/>
  <c r="G81" i="98"/>
  <c r="F81" i="98"/>
  <c r="E81" i="98"/>
  <c r="I81" i="98" s="1"/>
  <c r="J81" i="98" s="1"/>
  <c r="K81" i="98" s="1"/>
  <c r="L81" i="98" s="1"/>
  <c r="D81" i="98"/>
  <c r="C81" i="98"/>
  <c r="B81" i="98"/>
  <c r="I77" i="98"/>
  <c r="J77" i="98" s="1"/>
  <c r="K77" i="98" s="1"/>
  <c r="L77" i="98" s="1"/>
  <c r="I78" i="98"/>
  <c r="J78" i="98" s="1"/>
  <c r="K78" i="98" s="1"/>
  <c r="L78" i="98" s="1"/>
  <c r="I79" i="98"/>
  <c r="J79" i="98" s="1"/>
  <c r="K79" i="98" s="1"/>
  <c r="L79" i="98" s="1"/>
  <c r="I80" i="98"/>
  <c r="J80" i="98" s="1"/>
  <c r="K80" i="98" s="1"/>
  <c r="L80" i="98" s="1"/>
  <c r="I94" i="98"/>
  <c r="J94" i="98" s="1"/>
  <c r="I95" i="98" l="1"/>
  <c r="B148" i="116" l="1"/>
  <c r="B142" i="116"/>
  <c r="J149" i="116"/>
  <c r="I149" i="116" s="1"/>
  <c r="J148" i="116"/>
  <c r="J146" i="116"/>
  <c r="J145" i="116"/>
  <c r="C135" i="116" s="1"/>
  <c r="D135" i="116" s="1"/>
  <c r="E135" i="116" s="1"/>
  <c r="F135" i="116" s="1"/>
  <c r="G135" i="116" s="1"/>
  <c r="H135" i="116" s="1"/>
  <c r="I135" i="116" s="1"/>
  <c r="J144" i="116"/>
  <c r="C133" i="116" s="1"/>
  <c r="J142" i="116"/>
  <c r="C129" i="116" s="1"/>
  <c r="C134" i="116" l="1"/>
  <c r="B153" i="116" s="1"/>
  <c r="C143" i="116"/>
  <c r="E131" i="116" s="1"/>
  <c r="D143" i="116"/>
  <c r="G131" i="116" s="1"/>
  <c r="E143" i="116"/>
  <c r="I131" i="116" s="1"/>
  <c r="D154" i="116" l="1"/>
  <c r="G134" i="116" s="1"/>
  <c r="C154" i="116"/>
  <c r="E134" i="116" s="1"/>
  <c r="F134" i="116" s="1"/>
  <c r="E154" i="116"/>
  <c r="I134" i="116" s="1"/>
  <c r="H131" i="116"/>
  <c r="F131" i="116"/>
  <c r="D131" i="116"/>
  <c r="E149" i="116"/>
  <c r="I132" i="116" s="1"/>
  <c r="D149" i="116"/>
  <c r="G132" i="116" s="1"/>
  <c r="C149" i="116"/>
  <c r="E132" i="116" s="1"/>
  <c r="D134" i="116" l="1"/>
  <c r="H132" i="116"/>
  <c r="H134" i="116"/>
  <c r="F132" i="116"/>
  <c r="D132" i="116"/>
  <c r="B130" i="98" l="1"/>
  <c r="B124" i="98" l="1"/>
  <c r="B113" i="98"/>
  <c r="K50" i="104" l="1"/>
  <c r="O12" i="99" l="1"/>
  <c r="O13" i="99" s="1"/>
  <c r="K12" i="99"/>
  <c r="J12" i="99"/>
  <c r="I12" i="99"/>
  <c r="F12" i="99"/>
  <c r="I27" i="116" s="1"/>
  <c r="E12" i="99"/>
  <c r="G27" i="116" s="1"/>
  <c r="D12" i="99"/>
  <c r="C12" i="99"/>
  <c r="O14" i="99" l="1"/>
  <c r="H27" i="116"/>
  <c r="P12" i="99"/>
  <c r="P13" i="99" s="1"/>
  <c r="P14" i="99" s="1"/>
  <c r="N12" i="99"/>
  <c r="N13" i="99" s="1"/>
  <c r="N14" i="99" s="1"/>
  <c r="E13" i="99"/>
  <c r="F13" i="99"/>
  <c r="D13" i="99"/>
  <c r="E27" i="116"/>
  <c r="E28" i="98"/>
  <c r="B28" i="98"/>
  <c r="C73" i="98"/>
  <c r="B73" i="98"/>
  <c r="C64" i="98"/>
  <c r="B64" i="98"/>
  <c r="C55" i="98"/>
  <c r="B55" i="98"/>
  <c r="C37" i="98"/>
  <c r="B37" i="98"/>
  <c r="C28" i="98"/>
  <c r="C19" i="98"/>
  <c r="B19" i="98"/>
  <c r="C10" i="98"/>
  <c r="B10" i="98"/>
  <c r="F27" i="116" l="1"/>
  <c r="D27" i="116"/>
  <c r="J77" i="105" l="1"/>
  <c r="J77" i="106"/>
  <c r="J77" i="107"/>
  <c r="J77" i="108"/>
  <c r="J77" i="103"/>
  <c r="J77" i="104"/>
  <c r="I77" i="105"/>
  <c r="I77" i="106"/>
  <c r="I77" i="107"/>
  <c r="I77" i="108"/>
  <c r="I77" i="103"/>
  <c r="I77" i="104"/>
  <c r="H77" i="105"/>
  <c r="H77" i="106"/>
  <c r="H77" i="107"/>
  <c r="H77" i="108"/>
  <c r="H77" i="103"/>
  <c r="H77" i="104"/>
  <c r="J77" i="35"/>
  <c r="I77" i="35"/>
  <c r="H77" i="35"/>
  <c r="H73" i="35"/>
  <c r="AI56" i="100"/>
  <c r="T56" i="100"/>
  <c r="E56" i="100"/>
  <c r="AI52" i="100"/>
  <c r="T52" i="100"/>
  <c r="E52" i="100"/>
  <c r="M6" i="100"/>
  <c r="I17" i="116" l="1"/>
  <c r="G17" i="116"/>
  <c r="H17" i="116"/>
  <c r="M43" i="112"/>
  <c r="C137" i="116" l="1"/>
  <c r="E132" i="117"/>
  <c r="I132" i="117"/>
  <c r="C132" i="117"/>
  <c r="N16" i="98"/>
  <c r="O16" i="98" s="1"/>
  <c r="I61" i="111" l="1"/>
  <c r="J61" i="111"/>
  <c r="K62" i="111"/>
  <c r="K63" i="111"/>
  <c r="K65" i="111"/>
  <c r="J61" i="112"/>
  <c r="K62" i="112"/>
  <c r="J63" i="112"/>
  <c r="K63" i="112"/>
  <c r="J65" i="112"/>
  <c r="J61" i="113"/>
  <c r="K62" i="113"/>
  <c r="K63" i="113"/>
  <c r="J65" i="113"/>
  <c r="K62" i="114"/>
  <c r="K63" i="114"/>
  <c r="J65" i="114"/>
  <c r="J61" i="115"/>
  <c r="J62" i="115"/>
  <c r="K62" i="115"/>
  <c r="K63" i="115"/>
  <c r="J65" i="115"/>
  <c r="I61" i="110"/>
  <c r="J61" i="110"/>
  <c r="K61" i="110"/>
  <c r="K62" i="110"/>
  <c r="K63" i="110"/>
  <c r="I65" i="110"/>
  <c r="J65" i="110"/>
  <c r="K65" i="110"/>
  <c r="K59" i="111"/>
  <c r="K59" i="112"/>
  <c r="K59" i="113"/>
  <c r="K59" i="114"/>
  <c r="K59" i="115"/>
  <c r="K59" i="110"/>
  <c r="J59" i="111"/>
  <c r="J59" i="112"/>
  <c r="J59" i="113"/>
  <c r="J59" i="114"/>
  <c r="J59" i="115"/>
  <c r="J59" i="110"/>
  <c r="I59" i="111"/>
  <c r="I59" i="112"/>
  <c r="I59" i="113"/>
  <c r="I59" i="114"/>
  <c r="I59" i="115"/>
  <c r="I59" i="110"/>
  <c r="I59" i="109"/>
  <c r="I61" i="109"/>
  <c r="J61" i="109"/>
  <c r="K61" i="109"/>
  <c r="K62" i="109"/>
  <c r="I63" i="109"/>
  <c r="J63" i="109"/>
  <c r="K63" i="109"/>
  <c r="I65" i="109"/>
  <c r="J65" i="109"/>
  <c r="K65" i="109"/>
  <c r="J59" i="109"/>
  <c r="K59" i="109"/>
  <c r="C130" i="98" l="1"/>
  <c r="C129" i="98"/>
  <c r="C124" i="98"/>
  <c r="C123" i="98"/>
  <c r="C122" i="98"/>
  <c r="C121" i="98"/>
  <c r="C120" i="98"/>
  <c r="C119" i="98"/>
  <c r="C118" i="98"/>
  <c r="C108" i="98"/>
  <c r="C109" i="98"/>
  <c r="C110" i="98"/>
  <c r="C111" i="98"/>
  <c r="C112" i="98"/>
  <c r="C113" i="98"/>
  <c r="C107" i="98"/>
  <c r="Q40" i="98"/>
  <c r="Q39" i="98"/>
  <c r="Q37" i="98"/>
  <c r="Q36" i="98"/>
  <c r="Q35" i="98"/>
  <c r="I34" i="112"/>
  <c r="J34" i="112"/>
  <c r="K34" i="112"/>
  <c r="H34" i="112"/>
  <c r="I34" i="111"/>
  <c r="J34" i="111"/>
  <c r="K34" i="111"/>
  <c r="H34" i="111"/>
  <c r="I34" i="110"/>
  <c r="J34" i="110"/>
  <c r="K34" i="110"/>
  <c r="H34" i="110"/>
  <c r="I34" i="109"/>
  <c r="J34" i="109"/>
  <c r="K34" i="109"/>
  <c r="H34" i="109"/>
  <c r="G34" i="109" s="1"/>
  <c r="C89" i="116" l="1"/>
  <c r="C86" i="116"/>
  <c r="C84" i="116" s="1"/>
  <c r="C56" i="116"/>
  <c r="C53" i="116"/>
  <c r="D112" i="98"/>
  <c r="C58" i="116"/>
  <c r="D51" i="117"/>
  <c r="D120" i="98"/>
  <c r="D121" i="98"/>
  <c r="D111" i="98"/>
  <c r="D110" i="98"/>
  <c r="D108" i="98"/>
  <c r="D107" i="98"/>
  <c r="D109" i="98"/>
  <c r="D118" i="98"/>
  <c r="C91" i="116"/>
  <c r="D119" i="98"/>
  <c r="D25" i="117"/>
  <c r="D113" i="98"/>
  <c r="D122" i="98"/>
  <c r="C29" i="116"/>
  <c r="C26" i="116" s="1"/>
  <c r="D124" i="98"/>
  <c r="D123" i="98"/>
  <c r="H7" i="109"/>
  <c r="C82" i="116" l="1"/>
  <c r="C88" i="116"/>
  <c r="C55" i="116"/>
  <c r="C52" i="116"/>
  <c r="D52" i="116" s="1"/>
  <c r="E26" i="116"/>
  <c r="G26" i="116"/>
  <c r="I26" i="116"/>
  <c r="G40" i="116"/>
  <c r="D36" i="117"/>
  <c r="I40" i="116"/>
  <c r="E40" i="116"/>
  <c r="F40" i="116"/>
  <c r="H40" i="116"/>
  <c r="D40" i="116"/>
  <c r="C23" i="116"/>
  <c r="D23" i="116" l="1"/>
  <c r="E23" i="116" s="1"/>
  <c r="F23" i="116" s="1"/>
  <c r="G23" i="116" s="1"/>
  <c r="H23" i="116" s="1"/>
  <c r="I23" i="116" s="1"/>
  <c r="C85" i="116"/>
  <c r="D85" i="116" s="1"/>
  <c r="E85" i="116" s="1"/>
  <c r="F85" i="116" s="1"/>
  <c r="G85" i="116" s="1"/>
  <c r="H85" i="116" s="1"/>
  <c r="I85" i="116" s="1"/>
  <c r="E88" i="116"/>
  <c r="D88" i="116" s="1"/>
  <c r="G88" i="116"/>
  <c r="I88" i="116"/>
  <c r="E52" i="116"/>
  <c r="I55" i="116"/>
  <c r="G55" i="116"/>
  <c r="E55" i="116"/>
  <c r="D55" i="116" s="1"/>
  <c r="H26" i="116"/>
  <c r="F26" i="116"/>
  <c r="D26" i="116"/>
  <c r="L28" i="117"/>
  <c r="Q41" i="98"/>
  <c r="H55" i="116" l="1"/>
  <c r="F88" i="116"/>
  <c r="H88" i="116"/>
  <c r="F55" i="116"/>
  <c r="F52" i="116"/>
  <c r="G125" i="117"/>
  <c r="F125" i="117" s="1"/>
  <c r="F132" i="117" s="1"/>
  <c r="D132" i="117"/>
  <c r="G52" i="116" l="1"/>
  <c r="H125" i="117"/>
  <c r="H132" i="117" s="1"/>
  <c r="G132" i="117"/>
  <c r="E24" i="100"/>
  <c r="I24" i="100"/>
  <c r="I25" i="100"/>
  <c r="I28" i="100" s="1"/>
  <c r="E13" i="100"/>
  <c r="E27" i="100" l="1"/>
  <c r="J73" i="35" s="1"/>
  <c r="I73" i="35"/>
  <c r="H52" i="116"/>
  <c r="M16" i="100"/>
  <c r="M10" i="100"/>
  <c r="M9" i="100"/>
  <c r="M8" i="100"/>
  <c r="I27" i="100"/>
  <c r="I52" i="116" l="1"/>
  <c r="C50" i="99"/>
  <c r="K151" i="115" l="1"/>
  <c r="P17" i="98" l="1"/>
  <c r="N17" i="98" s="1"/>
  <c r="O17" i="98" s="1"/>
  <c r="N21" i="98"/>
  <c r="O21" i="98" s="1"/>
  <c r="N20" i="98"/>
  <c r="O20" i="98" s="1"/>
  <c r="N10" i="98" l="1"/>
  <c r="O10" i="98" s="1"/>
  <c r="N6" i="98"/>
  <c r="O6" i="98" s="1"/>
  <c r="N9" i="98"/>
  <c r="O9" i="98" s="1"/>
  <c r="I24" i="116" l="1"/>
  <c r="G24" i="116"/>
  <c r="E24" i="116"/>
  <c r="J49" i="117"/>
  <c r="E25" i="100"/>
  <c r="E28" i="100" s="1"/>
  <c r="I89" i="116" l="1"/>
  <c r="I56" i="116"/>
  <c r="I53" i="116"/>
  <c r="I86" i="116"/>
  <c r="I84" i="116" s="1"/>
  <c r="I82" i="116" s="1"/>
  <c r="E89" i="116"/>
  <c r="E86" i="116"/>
  <c r="E84" i="116" s="1"/>
  <c r="E82" i="116" s="1"/>
  <c r="E91" i="116" s="1"/>
  <c r="E56" i="116"/>
  <c r="E53" i="116"/>
  <c r="G53" i="116"/>
  <c r="G89" i="116"/>
  <c r="G56" i="116"/>
  <c r="G86" i="116"/>
  <c r="G84" i="116" s="1"/>
  <c r="G82" i="116" s="1"/>
  <c r="D49" i="117"/>
  <c r="D48" i="117" s="1"/>
  <c r="C48" i="117" s="1"/>
  <c r="D22" i="117"/>
  <c r="C22" i="117" s="1"/>
  <c r="H49" i="117"/>
  <c r="F49" i="117"/>
  <c r="H24" i="116"/>
  <c r="F24" i="116"/>
  <c r="D24" i="116"/>
  <c r="G114" i="117"/>
  <c r="F114" i="117"/>
  <c r="E114" i="117"/>
  <c r="D114" i="117"/>
  <c r="G113" i="117"/>
  <c r="F113" i="117"/>
  <c r="E113" i="117"/>
  <c r="D113" i="117"/>
  <c r="C64" i="117"/>
  <c r="C65" i="117" s="1"/>
  <c r="C66" i="117" s="1"/>
  <c r="C67" i="117" s="1"/>
  <c r="C68" i="117" s="1"/>
  <c r="C69" i="117" s="1"/>
  <c r="C56" i="117"/>
  <c r="C57" i="117" s="1"/>
  <c r="C58" i="117" s="1"/>
  <c r="C59" i="117" s="1"/>
  <c r="C60" i="117" s="1"/>
  <c r="C61" i="117" s="1"/>
  <c r="F63" i="117"/>
  <c r="E47" i="117"/>
  <c r="F47" i="117" s="1"/>
  <c r="G47" i="117" s="1"/>
  <c r="H47" i="117" s="1"/>
  <c r="I47" i="117" s="1"/>
  <c r="J47" i="117" s="1"/>
  <c r="C37" i="117"/>
  <c r="C38" i="117" s="1"/>
  <c r="C39" i="117" s="1"/>
  <c r="C40" i="117" s="1"/>
  <c r="C41" i="117" s="1"/>
  <c r="C42" i="117" s="1"/>
  <c r="C29" i="117"/>
  <c r="C30" i="117" s="1"/>
  <c r="C31" i="117" s="1"/>
  <c r="C32" i="117" s="1"/>
  <c r="C33" i="117" s="1"/>
  <c r="C34" i="117" s="1"/>
  <c r="F36" i="117"/>
  <c r="E21" i="117"/>
  <c r="F21" i="117" s="1"/>
  <c r="G21" i="117" s="1"/>
  <c r="H21" i="117" s="1"/>
  <c r="I21" i="117" s="1"/>
  <c r="J21" i="117" s="1"/>
  <c r="AJ136" i="101"/>
  <c r="D86" i="116" l="1"/>
  <c r="D84" i="116" s="1"/>
  <c r="D82" i="116" s="1"/>
  <c r="D53" i="116"/>
  <c r="D56" i="116"/>
  <c r="D89" i="116"/>
  <c r="F89" i="116"/>
  <c r="F56" i="116"/>
  <c r="F53" i="116"/>
  <c r="F86" i="116"/>
  <c r="F84" i="116" s="1"/>
  <c r="F82" i="116" s="1"/>
  <c r="H89" i="116"/>
  <c r="H53" i="116"/>
  <c r="H56" i="116"/>
  <c r="H86" i="116"/>
  <c r="H84" i="116" s="1"/>
  <c r="H82" i="116" s="1"/>
  <c r="I49" i="117"/>
  <c r="G49" i="117"/>
  <c r="E49" i="117"/>
  <c r="D63" i="117"/>
  <c r="E6" i="117" s="1"/>
  <c r="Y114" i="119" s="1"/>
  <c r="Y40" i="119" s="1"/>
  <c r="Y137" i="119" s="1"/>
  <c r="E63" i="117"/>
  <c r="H63" i="117"/>
  <c r="E36" i="117"/>
  <c r="G63" i="117"/>
  <c r="J36" i="117"/>
  <c r="E11" i="117" s="1"/>
  <c r="H36" i="117"/>
  <c r="I36" i="117"/>
  <c r="E10" i="117" s="1"/>
  <c r="G36" i="117"/>
  <c r="Y77" i="101"/>
  <c r="Y118" i="101" l="1"/>
  <c r="Y118" i="119"/>
  <c r="Y37" i="119" s="1"/>
  <c r="Y134" i="119" s="1"/>
  <c r="Y119" i="101"/>
  <c r="Y119" i="119"/>
  <c r="E7" i="117"/>
  <c r="Y114" i="101"/>
  <c r="E8" i="117"/>
  <c r="E9" i="117"/>
  <c r="Y116" i="101" l="1"/>
  <c r="Y116" i="119"/>
  <c r="Y35" i="119" s="1"/>
  <c r="Y132" i="119" s="1"/>
  <c r="Y117" i="101"/>
  <c r="Y117" i="119"/>
  <c r="Y39" i="119" s="1"/>
  <c r="Y136" i="119" s="1"/>
  <c r="Y115" i="101"/>
  <c r="Y115" i="119"/>
  <c r="Y36" i="119" s="1"/>
  <c r="Y133" i="119" s="1"/>
  <c r="E5" i="117"/>
  <c r="Y120" i="119" s="1"/>
  <c r="AK130" i="101"/>
  <c r="AL130" i="101" s="1"/>
  <c r="AK131" i="101"/>
  <c r="AL131" i="101" s="1"/>
  <c r="AK132" i="101"/>
  <c r="AL132" i="101" s="1"/>
  <c r="AK133" i="101"/>
  <c r="AL133" i="101" s="1"/>
  <c r="AK134" i="101"/>
  <c r="AL134" i="101" s="1"/>
  <c r="AK128" i="101"/>
  <c r="AL128" i="101" s="1"/>
  <c r="AL127" i="101"/>
  <c r="D118" i="116"/>
  <c r="G119" i="116"/>
  <c r="F119" i="116"/>
  <c r="E119" i="116"/>
  <c r="D119" i="116"/>
  <c r="G118" i="116"/>
  <c r="F118" i="116"/>
  <c r="E118" i="116"/>
  <c r="D81" i="116"/>
  <c r="E81" i="116" s="1"/>
  <c r="F81" i="116" s="1"/>
  <c r="G81" i="116" s="1"/>
  <c r="H81" i="116" s="1"/>
  <c r="I81" i="116" s="1"/>
  <c r="C71" i="116"/>
  <c r="C72" i="116" s="1"/>
  <c r="C73" i="116" s="1"/>
  <c r="C74" i="116" s="1"/>
  <c r="C75" i="116" s="1"/>
  <c r="C76" i="116" s="1"/>
  <c r="C63" i="116"/>
  <c r="C64" i="116" s="1"/>
  <c r="C65" i="116" s="1"/>
  <c r="C66" i="116" s="1"/>
  <c r="C67" i="116" s="1"/>
  <c r="C68" i="116" s="1"/>
  <c r="H71" i="116"/>
  <c r="D51" i="116"/>
  <c r="E51" i="116" s="1"/>
  <c r="F51" i="116" s="1"/>
  <c r="G51" i="116" s="1"/>
  <c r="H51" i="116" s="1"/>
  <c r="I51" i="116" s="1"/>
  <c r="C41" i="116"/>
  <c r="C42" i="116" s="1"/>
  <c r="C43" i="116" s="1"/>
  <c r="C44" i="116" s="1"/>
  <c r="C45" i="116" s="1"/>
  <c r="C46" i="116" s="1"/>
  <c r="C33" i="116"/>
  <c r="C34" i="116" s="1"/>
  <c r="C35" i="116" s="1"/>
  <c r="C36" i="116" s="1"/>
  <c r="C37" i="116" s="1"/>
  <c r="C38" i="116" s="1"/>
  <c r="D21" i="116"/>
  <c r="E21" i="116" s="1"/>
  <c r="F21" i="116" s="1"/>
  <c r="G21" i="116" s="1"/>
  <c r="H21" i="116" s="1"/>
  <c r="I21" i="116" s="1"/>
  <c r="Y30" i="119" l="1"/>
  <c r="Y31" i="119" s="1"/>
  <c r="Y123" i="119"/>
  <c r="Y41" i="119"/>
  <c r="Y42" i="119" s="1"/>
  <c r="Y140" i="119"/>
  <c r="Y138" i="119"/>
  <c r="Y139" i="119"/>
  <c r="Y120" i="101"/>
  <c r="E14" i="117"/>
  <c r="AK136" i="101"/>
  <c r="AL136" i="101"/>
  <c r="F70" i="116"/>
  <c r="E70" i="116"/>
  <c r="H70" i="116"/>
  <c r="D70" i="116"/>
  <c r="G70" i="116"/>
  <c r="I137" i="116"/>
  <c r="J137" i="116" s="1"/>
  <c r="E137" i="116"/>
  <c r="D71" i="116"/>
  <c r="E71" i="116"/>
  <c r="F71" i="116"/>
  <c r="G71" i="116"/>
  <c r="G137" i="116" l="1"/>
  <c r="Y30" i="101"/>
  <c r="D137" i="116"/>
  <c r="F137" i="116"/>
  <c r="H137" i="116" l="1"/>
  <c r="I35" i="110" l="1"/>
  <c r="J35" i="110"/>
  <c r="K35" i="110"/>
  <c r="I35" i="111"/>
  <c r="J35" i="111"/>
  <c r="K35" i="111"/>
  <c r="I35" i="112"/>
  <c r="J35" i="112"/>
  <c r="K35" i="112"/>
  <c r="I35" i="114"/>
  <c r="J35" i="114"/>
  <c r="K35" i="114"/>
  <c r="I35" i="115"/>
  <c r="J35" i="115"/>
  <c r="K35" i="115"/>
  <c r="J35" i="109"/>
  <c r="K35" i="109"/>
  <c r="I35" i="109"/>
  <c r="N28" i="99" l="1"/>
  <c r="N29" i="99" s="1"/>
  <c r="N30" i="99" s="1"/>
  <c r="F13" i="100"/>
  <c r="G13" i="100"/>
  <c r="H13" i="100"/>
  <c r="J13" i="100"/>
  <c r="K13" i="100"/>
  <c r="L13" i="100"/>
  <c r="F24" i="100" l="1"/>
  <c r="H147" i="110"/>
  <c r="H168" i="110" s="1"/>
  <c r="H148" i="110"/>
  <c r="H149" i="110"/>
  <c r="H150" i="110"/>
  <c r="H151" i="110"/>
  <c r="H152" i="110"/>
  <c r="H173" i="110" s="1"/>
  <c r="H147" i="104"/>
  <c r="H148" i="104"/>
  <c r="H149" i="104"/>
  <c r="H150" i="104"/>
  <c r="I150" i="104" s="1"/>
  <c r="J150" i="104" s="1"/>
  <c r="K150" i="104" s="1"/>
  <c r="H151" i="104"/>
  <c r="I151" i="104" s="1"/>
  <c r="J151" i="104" s="1"/>
  <c r="K151" i="104" s="1"/>
  <c r="H152" i="104"/>
  <c r="H146" i="110"/>
  <c r="H167" i="110" s="1"/>
  <c r="H146" i="104"/>
  <c r="I146" i="104" s="1"/>
  <c r="J146" i="104" s="1"/>
  <c r="K146" i="104" s="1"/>
  <c r="J151" i="114"/>
  <c r="H147" i="109"/>
  <c r="H148" i="109"/>
  <c r="H149" i="109"/>
  <c r="H150" i="109"/>
  <c r="H151" i="109"/>
  <c r="H172" i="109" s="1"/>
  <c r="H152" i="109"/>
  <c r="H147" i="35"/>
  <c r="H148" i="35"/>
  <c r="H149" i="35"/>
  <c r="J149" i="35" s="1"/>
  <c r="K149" i="35" s="1"/>
  <c r="H150" i="35"/>
  <c r="I150" i="35" s="1"/>
  <c r="J150" i="35" s="1"/>
  <c r="K150" i="35" s="1"/>
  <c r="H151" i="35"/>
  <c r="H152" i="35"/>
  <c r="H146" i="109"/>
  <c r="H146" i="35"/>
  <c r="I146" i="35" s="1"/>
  <c r="J146" i="35" s="1"/>
  <c r="K146" i="35" s="1"/>
  <c r="H73" i="109"/>
  <c r="G73" i="109"/>
  <c r="H152" i="115"/>
  <c r="H173" i="115" s="1"/>
  <c r="H151" i="115"/>
  <c r="H150" i="115"/>
  <c r="H171" i="115" s="1"/>
  <c r="H149" i="115"/>
  <c r="I149" i="115" s="1"/>
  <c r="H148" i="115"/>
  <c r="J148" i="115" s="1"/>
  <c r="H147" i="115"/>
  <c r="H168" i="115" s="1"/>
  <c r="H146" i="115"/>
  <c r="H167" i="115" s="1"/>
  <c r="H87" i="115"/>
  <c r="H86" i="115"/>
  <c r="H85" i="115"/>
  <c r="H84" i="115"/>
  <c r="H83" i="115"/>
  <c r="H82" i="115"/>
  <c r="H81" i="115"/>
  <c r="F73" i="115"/>
  <c r="H51" i="115"/>
  <c r="H50" i="115"/>
  <c r="H49" i="115"/>
  <c r="H48" i="115"/>
  <c r="H47" i="115"/>
  <c r="H46" i="115"/>
  <c r="H45" i="115"/>
  <c r="K8" i="115"/>
  <c r="AC21" i="101" s="1"/>
  <c r="J8" i="115"/>
  <c r="AB21" i="101" s="1"/>
  <c r="K7" i="115"/>
  <c r="J7" i="115"/>
  <c r="I7" i="115"/>
  <c r="H36" i="115"/>
  <c r="H9" i="115" s="1"/>
  <c r="Z22" i="101" s="1"/>
  <c r="H8" i="115"/>
  <c r="Z21" i="101" s="1"/>
  <c r="H152" i="114"/>
  <c r="H173" i="114" s="1"/>
  <c r="H151" i="114"/>
  <c r="H172" i="114" s="1"/>
  <c r="H150" i="114"/>
  <c r="H171" i="114" s="1"/>
  <c r="H149" i="114"/>
  <c r="I149" i="114" s="1"/>
  <c r="I151" i="114" s="1"/>
  <c r="H148" i="114"/>
  <c r="H169" i="114" s="1"/>
  <c r="H147" i="114"/>
  <c r="H146" i="114"/>
  <c r="H167" i="114" s="1"/>
  <c r="H87" i="114"/>
  <c r="H86" i="114"/>
  <c r="H85" i="114"/>
  <c r="H84" i="114"/>
  <c r="H83" i="114"/>
  <c r="H82" i="114"/>
  <c r="H81" i="114"/>
  <c r="F73" i="114"/>
  <c r="H51" i="114"/>
  <c r="H50" i="114"/>
  <c r="H49" i="114"/>
  <c r="H48" i="114"/>
  <c r="H47" i="114"/>
  <c r="H46" i="114"/>
  <c r="H45" i="114"/>
  <c r="I8" i="114"/>
  <c r="AA19" i="101" s="1"/>
  <c r="K7" i="114"/>
  <c r="H36" i="114"/>
  <c r="H9" i="114" s="1"/>
  <c r="Z20" i="101" s="1"/>
  <c r="H8" i="114"/>
  <c r="Z19" i="101" s="1"/>
  <c r="H152" i="113"/>
  <c r="H173" i="113" s="1"/>
  <c r="H151" i="113"/>
  <c r="H150" i="113"/>
  <c r="H171" i="113" s="1"/>
  <c r="H149" i="113"/>
  <c r="H170" i="113" s="1"/>
  <c r="H148" i="113"/>
  <c r="H147" i="113"/>
  <c r="H168" i="113" s="1"/>
  <c r="H146" i="113"/>
  <c r="H167" i="113" s="1"/>
  <c r="H87" i="113"/>
  <c r="H86" i="113"/>
  <c r="H85" i="113"/>
  <c r="H84" i="113"/>
  <c r="H83" i="113"/>
  <c r="H82" i="113"/>
  <c r="H81" i="113"/>
  <c r="F73" i="113"/>
  <c r="H51" i="113"/>
  <c r="H50" i="113"/>
  <c r="H49" i="113"/>
  <c r="H48" i="113"/>
  <c r="H47" i="113"/>
  <c r="G47" i="113" s="1"/>
  <c r="H46" i="113"/>
  <c r="H45" i="113"/>
  <c r="K8" i="113"/>
  <c r="AC17" i="101" s="1"/>
  <c r="I8" i="113"/>
  <c r="AA17" i="101" s="1"/>
  <c r="K7" i="113"/>
  <c r="I7" i="113"/>
  <c r="H8" i="113"/>
  <c r="Z17" i="101" s="1"/>
  <c r="H152" i="112"/>
  <c r="H173" i="112" s="1"/>
  <c r="H151" i="112"/>
  <c r="H172" i="112" s="1"/>
  <c r="H150" i="112"/>
  <c r="I150" i="112" s="1"/>
  <c r="H149" i="112"/>
  <c r="H148" i="112"/>
  <c r="H147" i="112"/>
  <c r="H168" i="112" s="1"/>
  <c r="H146" i="112"/>
  <c r="H167" i="112" s="1"/>
  <c r="H87" i="112"/>
  <c r="H86" i="112"/>
  <c r="H85" i="112"/>
  <c r="H84" i="112"/>
  <c r="H83" i="112"/>
  <c r="H82" i="112"/>
  <c r="H81" i="112"/>
  <c r="F73" i="112"/>
  <c r="H51" i="112"/>
  <c r="H50" i="112"/>
  <c r="H49" i="112"/>
  <c r="H48" i="112"/>
  <c r="H47" i="112"/>
  <c r="G47" i="112" s="1"/>
  <c r="H46" i="112"/>
  <c r="H45" i="112"/>
  <c r="K8" i="112"/>
  <c r="AC15" i="101" s="1"/>
  <c r="K7" i="112"/>
  <c r="J7" i="112"/>
  <c r="I7" i="112"/>
  <c r="G34" i="112"/>
  <c r="G36" i="112" s="1"/>
  <c r="J8" i="112"/>
  <c r="AB15" i="101" s="1"/>
  <c r="H8" i="112"/>
  <c r="Z15" i="101" s="1"/>
  <c r="H152" i="111"/>
  <c r="H173" i="111" s="1"/>
  <c r="H151" i="111"/>
  <c r="H150" i="111"/>
  <c r="H171" i="111" s="1"/>
  <c r="H149" i="111"/>
  <c r="I149" i="111" s="1"/>
  <c r="J149" i="111" s="1"/>
  <c r="K149" i="111" s="1"/>
  <c r="H148" i="111"/>
  <c r="H147" i="111"/>
  <c r="H146" i="111"/>
  <c r="H87" i="111"/>
  <c r="H86" i="111"/>
  <c r="H85" i="111"/>
  <c r="H84" i="111"/>
  <c r="H83" i="111"/>
  <c r="H82" i="111"/>
  <c r="H81" i="111"/>
  <c r="F73" i="111"/>
  <c r="H51" i="111"/>
  <c r="H50" i="111"/>
  <c r="H49" i="111"/>
  <c r="H48" i="111"/>
  <c r="H47" i="111"/>
  <c r="H46" i="111"/>
  <c r="H45" i="111"/>
  <c r="G45" i="111" s="1"/>
  <c r="K8" i="111"/>
  <c r="AC13" i="101" s="1"/>
  <c r="J8" i="111"/>
  <c r="AB13" i="101" s="1"/>
  <c r="I8" i="111"/>
  <c r="AA13" i="101" s="1"/>
  <c r="I7" i="111"/>
  <c r="H36" i="111"/>
  <c r="H8" i="111"/>
  <c r="Z13" i="101" s="1"/>
  <c r="H172" i="110"/>
  <c r="H171" i="110"/>
  <c r="I151" i="110"/>
  <c r="H169" i="110"/>
  <c r="H87" i="110"/>
  <c r="H86" i="110"/>
  <c r="H85" i="110"/>
  <c r="H84" i="110"/>
  <c r="H83" i="110"/>
  <c r="H82" i="110"/>
  <c r="H81" i="110"/>
  <c r="F73" i="110"/>
  <c r="H51" i="110"/>
  <c r="H50" i="110"/>
  <c r="H49" i="110"/>
  <c r="H48" i="110"/>
  <c r="H47" i="110"/>
  <c r="H46" i="110"/>
  <c r="H45" i="110"/>
  <c r="K7" i="110"/>
  <c r="I7" i="110"/>
  <c r="H36" i="110"/>
  <c r="H9" i="110" s="1"/>
  <c r="Z12" i="101" s="1"/>
  <c r="H8" i="110"/>
  <c r="Z11" i="101" s="1"/>
  <c r="J7" i="110"/>
  <c r="H169" i="109"/>
  <c r="J148" i="109"/>
  <c r="H168" i="109"/>
  <c r="H87" i="109"/>
  <c r="H86" i="109"/>
  <c r="H85" i="109"/>
  <c r="H84" i="109"/>
  <c r="H83" i="109"/>
  <c r="H82" i="109"/>
  <c r="H81" i="109"/>
  <c r="F73" i="109"/>
  <c r="H51" i="109"/>
  <c r="H50" i="109"/>
  <c r="H49" i="109"/>
  <c r="H48" i="109"/>
  <c r="H47" i="109"/>
  <c r="H46" i="109"/>
  <c r="H45" i="109"/>
  <c r="K8" i="109"/>
  <c r="AC9" i="101" s="1"/>
  <c r="I8" i="109"/>
  <c r="AA9" i="101" s="1"/>
  <c r="K7" i="109"/>
  <c r="H8" i="109"/>
  <c r="Z9" i="101" s="1"/>
  <c r="K50" i="103"/>
  <c r="K50" i="108"/>
  <c r="K50" i="107"/>
  <c r="K50" i="106"/>
  <c r="K64" i="105"/>
  <c r="K50" i="105"/>
  <c r="J60" i="112" l="1"/>
  <c r="I60" i="115"/>
  <c r="J60" i="113"/>
  <c r="I60" i="113"/>
  <c r="I60" i="109"/>
  <c r="J60" i="109"/>
  <c r="I60" i="110"/>
  <c r="J60" i="110"/>
  <c r="J60" i="111"/>
  <c r="I60" i="111"/>
  <c r="I60" i="114"/>
  <c r="J60" i="114"/>
  <c r="H102" i="115"/>
  <c r="H103" i="112"/>
  <c r="H104" i="112"/>
  <c r="H104" i="115"/>
  <c r="H101" i="113"/>
  <c r="H105" i="115"/>
  <c r="H106" i="112"/>
  <c r="H106" i="115"/>
  <c r="H103" i="109"/>
  <c r="H103" i="110"/>
  <c r="H101" i="111"/>
  <c r="H101" i="114"/>
  <c r="H104" i="109"/>
  <c r="H104" i="110"/>
  <c r="H104" i="113"/>
  <c r="H102" i="114"/>
  <c r="H102" i="110"/>
  <c r="H105" i="109"/>
  <c r="H105" i="110"/>
  <c r="H103" i="111"/>
  <c r="H105" i="113"/>
  <c r="H103" i="114"/>
  <c r="H106" i="109"/>
  <c r="H104" i="114"/>
  <c r="H107" i="110"/>
  <c r="H107" i="113"/>
  <c r="H106" i="114"/>
  <c r="H106" i="110"/>
  <c r="H107" i="109"/>
  <c r="H101" i="115"/>
  <c r="J60" i="115"/>
  <c r="I60" i="112"/>
  <c r="G46" i="111"/>
  <c r="Z23" i="101"/>
  <c r="I49" i="112"/>
  <c r="I63" i="112" s="1"/>
  <c r="H62" i="110"/>
  <c r="G62" i="110" s="1"/>
  <c r="H61" i="111"/>
  <c r="G61" i="111" s="1"/>
  <c r="G49" i="114"/>
  <c r="H61" i="115"/>
  <c r="G61" i="115" s="1"/>
  <c r="J49" i="110"/>
  <c r="J63" i="110" s="1"/>
  <c r="H62" i="111"/>
  <c r="K151" i="111"/>
  <c r="K153" i="111" s="1"/>
  <c r="H64" i="114"/>
  <c r="G64" i="114" s="1"/>
  <c r="H62" i="115"/>
  <c r="G62" i="115" s="1"/>
  <c r="G50" i="110"/>
  <c r="H63" i="111"/>
  <c r="G63" i="111" s="1"/>
  <c r="J49" i="115"/>
  <c r="J63" i="115" s="1"/>
  <c r="H65" i="110"/>
  <c r="G65" i="110" s="1"/>
  <c r="H64" i="115"/>
  <c r="G64" i="115" s="1"/>
  <c r="G48" i="109"/>
  <c r="H171" i="109"/>
  <c r="G51" i="109"/>
  <c r="H64" i="109"/>
  <c r="G64" i="109" s="1"/>
  <c r="G51" i="111"/>
  <c r="G45" i="113"/>
  <c r="H65" i="115"/>
  <c r="G65" i="115" s="1"/>
  <c r="H64" i="111"/>
  <c r="G64" i="111" s="1"/>
  <c r="G48" i="112"/>
  <c r="G50" i="112"/>
  <c r="H61" i="113"/>
  <c r="G61" i="113" s="1"/>
  <c r="H59" i="114"/>
  <c r="G59" i="114" s="1"/>
  <c r="G45" i="110"/>
  <c r="J48" i="113"/>
  <c r="J62" i="113" s="1"/>
  <c r="G46" i="114"/>
  <c r="G51" i="112"/>
  <c r="G47" i="114"/>
  <c r="H59" i="115"/>
  <c r="G59" i="115" s="1"/>
  <c r="G47" i="110"/>
  <c r="H60" i="111"/>
  <c r="G50" i="113"/>
  <c r="H62" i="114"/>
  <c r="G62" i="114" s="1"/>
  <c r="G46" i="115"/>
  <c r="H60" i="115"/>
  <c r="G60" i="115" s="1"/>
  <c r="H171" i="112"/>
  <c r="H7" i="112"/>
  <c r="I36" i="111"/>
  <c r="I36" i="115"/>
  <c r="I9" i="115" s="1"/>
  <c r="AA22" i="101" s="1"/>
  <c r="K36" i="111"/>
  <c r="K9" i="111" s="1"/>
  <c r="AC14" i="101" s="1"/>
  <c r="H59" i="113"/>
  <c r="G59" i="113" s="1"/>
  <c r="I150" i="113"/>
  <c r="I149" i="113"/>
  <c r="J149" i="113" s="1"/>
  <c r="J151" i="113" s="1"/>
  <c r="G50" i="111"/>
  <c r="G48" i="113"/>
  <c r="G49" i="111"/>
  <c r="G50" i="109"/>
  <c r="G47" i="111"/>
  <c r="H60" i="112"/>
  <c r="G60" i="112" s="1"/>
  <c r="H63" i="112"/>
  <c r="H63" i="115"/>
  <c r="G63" i="115" s="1"/>
  <c r="G46" i="109"/>
  <c r="H60" i="109"/>
  <c r="H63" i="109"/>
  <c r="G63" i="109" s="1"/>
  <c r="H60" i="110"/>
  <c r="H107" i="111"/>
  <c r="G45" i="115"/>
  <c r="G49" i="112"/>
  <c r="G47" i="109"/>
  <c r="H65" i="114"/>
  <c r="I49" i="110"/>
  <c r="I63" i="110" s="1"/>
  <c r="G46" i="110"/>
  <c r="H101" i="112"/>
  <c r="H61" i="109"/>
  <c r="H52" i="111"/>
  <c r="I49" i="111"/>
  <c r="I63" i="111" s="1"/>
  <c r="I48" i="113"/>
  <c r="I62" i="113" s="1"/>
  <c r="H62" i="113"/>
  <c r="I49" i="114"/>
  <c r="I63" i="114" s="1"/>
  <c r="G49" i="115"/>
  <c r="J151" i="115"/>
  <c r="J153" i="115" s="1"/>
  <c r="H64" i="113"/>
  <c r="G64" i="113" s="1"/>
  <c r="I49" i="115"/>
  <c r="I63" i="115" s="1"/>
  <c r="G49" i="109"/>
  <c r="H61" i="110"/>
  <c r="I48" i="112"/>
  <c r="I62" i="112" s="1"/>
  <c r="H61" i="112"/>
  <c r="G61" i="112" s="1"/>
  <c r="G51" i="114"/>
  <c r="H103" i="115"/>
  <c r="H169" i="115"/>
  <c r="J48" i="112"/>
  <c r="J62" i="112" s="1"/>
  <c r="J49" i="111"/>
  <c r="J63" i="111" s="1"/>
  <c r="H102" i="109"/>
  <c r="H64" i="112"/>
  <c r="G64" i="112" s="1"/>
  <c r="H102" i="112"/>
  <c r="H59" i="111"/>
  <c r="G59" i="111" s="1"/>
  <c r="H170" i="111"/>
  <c r="H153" i="112"/>
  <c r="H153" i="113"/>
  <c r="H107" i="115"/>
  <c r="I151" i="115"/>
  <c r="I153" i="115" s="1"/>
  <c r="G46" i="112"/>
  <c r="H61" i="114"/>
  <c r="I48" i="110"/>
  <c r="I62" i="110" s="1"/>
  <c r="I48" i="115"/>
  <c r="I62" i="115" s="1"/>
  <c r="G48" i="110"/>
  <c r="J48" i="111"/>
  <c r="J62" i="111" s="1"/>
  <c r="H105" i="112"/>
  <c r="G48" i="115"/>
  <c r="J48" i="110"/>
  <c r="J62" i="110" s="1"/>
  <c r="K36" i="110"/>
  <c r="J36" i="114"/>
  <c r="H7" i="110"/>
  <c r="I36" i="112"/>
  <c r="G34" i="114"/>
  <c r="G36" i="114" s="1"/>
  <c r="H7" i="115"/>
  <c r="H36" i="112"/>
  <c r="H9" i="112" s="1"/>
  <c r="Z16" i="101" s="1"/>
  <c r="G34" i="115"/>
  <c r="G36" i="115" s="1"/>
  <c r="H7" i="114"/>
  <c r="J7" i="114"/>
  <c r="K8" i="110"/>
  <c r="AC11" i="101" s="1"/>
  <c r="J36" i="112"/>
  <c r="I8" i="112"/>
  <c r="AA15" i="101" s="1"/>
  <c r="I153" i="110"/>
  <c r="K151" i="110"/>
  <c r="K153" i="110" s="1"/>
  <c r="J151" i="110"/>
  <c r="J153" i="110" s="1"/>
  <c r="K153" i="115"/>
  <c r="H101" i="109"/>
  <c r="J7" i="111"/>
  <c r="J36" i="111"/>
  <c r="H59" i="109"/>
  <c r="I7" i="109"/>
  <c r="I36" i="109"/>
  <c r="I150" i="109"/>
  <c r="J150" i="109" s="1"/>
  <c r="J7" i="109"/>
  <c r="J36" i="109"/>
  <c r="H65" i="109"/>
  <c r="H9" i="111"/>
  <c r="Z14" i="101" s="1"/>
  <c r="G36" i="109"/>
  <c r="H36" i="109"/>
  <c r="H173" i="109"/>
  <c r="K36" i="109"/>
  <c r="H62" i="109"/>
  <c r="J48" i="109"/>
  <c r="J62" i="109" s="1"/>
  <c r="I8" i="110"/>
  <c r="AA11" i="101" s="1"/>
  <c r="I36" i="110"/>
  <c r="H52" i="109"/>
  <c r="G45" i="109"/>
  <c r="I48" i="109"/>
  <c r="I62" i="109" s="1"/>
  <c r="J8" i="110"/>
  <c r="AB11" i="101" s="1"/>
  <c r="H102" i="111"/>
  <c r="H172" i="111"/>
  <c r="H170" i="110"/>
  <c r="H174" i="110" s="1"/>
  <c r="I148" i="109"/>
  <c r="J36" i="110"/>
  <c r="K7" i="111"/>
  <c r="H153" i="110"/>
  <c r="H104" i="111"/>
  <c r="H52" i="112"/>
  <c r="G45" i="112"/>
  <c r="H59" i="112"/>
  <c r="G34" i="110"/>
  <c r="G36" i="110" s="1"/>
  <c r="G49" i="110"/>
  <c r="H63" i="110"/>
  <c r="G48" i="111"/>
  <c r="H52" i="110"/>
  <c r="H65" i="111"/>
  <c r="J65" i="111"/>
  <c r="H105" i="111"/>
  <c r="I48" i="111"/>
  <c r="I62" i="111" s="1"/>
  <c r="I65" i="111"/>
  <c r="H106" i="111"/>
  <c r="I151" i="111"/>
  <c r="I153" i="111" s="1"/>
  <c r="H169" i="111"/>
  <c r="J151" i="111"/>
  <c r="H64" i="110"/>
  <c r="G34" i="111"/>
  <c r="G36" i="111" s="1"/>
  <c r="H7" i="111"/>
  <c r="J8" i="109"/>
  <c r="AB9" i="101" s="1"/>
  <c r="H101" i="110"/>
  <c r="H153" i="111"/>
  <c r="H65" i="112"/>
  <c r="H103" i="113"/>
  <c r="H168" i="111"/>
  <c r="H167" i="111"/>
  <c r="K36" i="112"/>
  <c r="J8" i="113"/>
  <c r="AB17" i="101" s="1"/>
  <c r="G51" i="110"/>
  <c r="H62" i="112"/>
  <c r="H107" i="112"/>
  <c r="H63" i="113"/>
  <c r="J63" i="113"/>
  <c r="I49" i="113"/>
  <c r="I63" i="113" s="1"/>
  <c r="G49" i="113"/>
  <c r="H168" i="114"/>
  <c r="H59" i="110"/>
  <c r="H169" i="112"/>
  <c r="H60" i="113"/>
  <c r="H52" i="113"/>
  <c r="G46" i="113"/>
  <c r="H170" i="112"/>
  <c r="I149" i="112"/>
  <c r="I151" i="112" s="1"/>
  <c r="G34" i="113"/>
  <c r="G36" i="113" s="1"/>
  <c r="H7" i="113"/>
  <c r="H36" i="113"/>
  <c r="G51" i="113"/>
  <c r="H65" i="113"/>
  <c r="J150" i="112"/>
  <c r="J7" i="113"/>
  <c r="J36" i="113"/>
  <c r="H102" i="113"/>
  <c r="H106" i="113"/>
  <c r="I48" i="114"/>
  <c r="I62" i="114" s="1"/>
  <c r="G48" i="114"/>
  <c r="K8" i="114"/>
  <c r="AC19" i="101" s="1"/>
  <c r="J48" i="114"/>
  <c r="J62" i="114" s="1"/>
  <c r="H52" i="114"/>
  <c r="H63" i="114"/>
  <c r="H105" i="114"/>
  <c r="H169" i="113"/>
  <c r="K36" i="114"/>
  <c r="I36" i="113"/>
  <c r="G45" i="114"/>
  <c r="J49" i="114"/>
  <c r="J63" i="114" s="1"/>
  <c r="K36" i="113"/>
  <c r="H107" i="114"/>
  <c r="J8" i="114"/>
  <c r="AB19" i="101" s="1"/>
  <c r="I7" i="114"/>
  <c r="I36" i="114"/>
  <c r="H60" i="114"/>
  <c r="H52" i="115"/>
  <c r="H172" i="115"/>
  <c r="G47" i="115"/>
  <c r="G50" i="115"/>
  <c r="H153" i="115"/>
  <c r="J36" i="115"/>
  <c r="H170" i="115"/>
  <c r="G50" i="114"/>
  <c r="K36" i="115"/>
  <c r="H172" i="113"/>
  <c r="H153" i="114"/>
  <c r="H170" i="114"/>
  <c r="G51" i="115"/>
  <c r="I8" i="115"/>
  <c r="AA21" i="101" s="1"/>
  <c r="K50" i="111" l="1"/>
  <c r="K64" i="111" s="1"/>
  <c r="K60" i="111"/>
  <c r="G60" i="111"/>
  <c r="K60" i="114"/>
  <c r="K50" i="114"/>
  <c r="K60" i="110"/>
  <c r="K50" i="110"/>
  <c r="K60" i="109"/>
  <c r="K50" i="109"/>
  <c r="K60" i="115"/>
  <c r="K50" i="115"/>
  <c r="K60" i="112"/>
  <c r="K50" i="112"/>
  <c r="K60" i="113"/>
  <c r="K50" i="113"/>
  <c r="K149" i="113"/>
  <c r="K151" i="113" s="1"/>
  <c r="J153" i="113"/>
  <c r="G61" i="110"/>
  <c r="H174" i="114"/>
  <c r="AC23" i="101"/>
  <c r="AA23" i="101"/>
  <c r="I9" i="111"/>
  <c r="AA14" i="101" s="1"/>
  <c r="AB23" i="101"/>
  <c r="H183" i="109"/>
  <c r="H181" i="109"/>
  <c r="H184" i="109"/>
  <c r="K9" i="110"/>
  <c r="AC12" i="101" s="1"/>
  <c r="I9" i="112"/>
  <c r="AA16" i="101" s="1"/>
  <c r="J9" i="112"/>
  <c r="AB16" i="101" s="1"/>
  <c r="J9" i="114"/>
  <c r="AB20" i="101" s="1"/>
  <c r="R162" i="109"/>
  <c r="G61" i="114"/>
  <c r="G62" i="111"/>
  <c r="H182" i="109"/>
  <c r="I50" i="111"/>
  <c r="I151" i="113"/>
  <c r="I153" i="113" s="1"/>
  <c r="H186" i="109"/>
  <c r="J50" i="110"/>
  <c r="J64" i="110" s="1"/>
  <c r="H187" i="109"/>
  <c r="H185" i="109"/>
  <c r="J50" i="113"/>
  <c r="K183" i="109"/>
  <c r="K185" i="109"/>
  <c r="K187" i="109"/>
  <c r="K181" i="109"/>
  <c r="J187" i="109"/>
  <c r="J181" i="109"/>
  <c r="I187" i="109"/>
  <c r="I183" i="109"/>
  <c r="I182" i="109"/>
  <c r="I185" i="109"/>
  <c r="I181" i="109"/>
  <c r="I50" i="110"/>
  <c r="G52" i="111"/>
  <c r="H174" i="115"/>
  <c r="I50" i="112"/>
  <c r="H174" i="113"/>
  <c r="J50" i="112"/>
  <c r="J64" i="112" s="1"/>
  <c r="G60" i="110"/>
  <c r="I50" i="114"/>
  <c r="I50" i="109"/>
  <c r="I64" i="109" s="1"/>
  <c r="G65" i="114"/>
  <c r="G63" i="112"/>
  <c r="J185" i="109"/>
  <c r="J50" i="109"/>
  <c r="J182" i="109"/>
  <c r="G60" i="109"/>
  <c r="G52" i="112"/>
  <c r="G62" i="113"/>
  <c r="I50" i="113"/>
  <c r="G52" i="109"/>
  <c r="J50" i="114"/>
  <c r="G61" i="109"/>
  <c r="J183" i="109"/>
  <c r="G52" i="110"/>
  <c r="J50" i="111"/>
  <c r="J64" i="111" s="1"/>
  <c r="H174" i="112"/>
  <c r="K151" i="114"/>
  <c r="K153" i="114" s="1"/>
  <c r="I50" i="115"/>
  <c r="I64" i="115" s="1"/>
  <c r="I66" i="115" s="1"/>
  <c r="J64" i="115"/>
  <c r="J66" i="115" s="1"/>
  <c r="K9" i="115"/>
  <c r="AC22" i="101" s="1"/>
  <c r="I9" i="114"/>
  <c r="AA20" i="101" s="1"/>
  <c r="G52" i="113"/>
  <c r="G59" i="112"/>
  <c r="J9" i="110"/>
  <c r="AB12" i="101" s="1"/>
  <c r="J149" i="112"/>
  <c r="J151" i="112" s="1"/>
  <c r="G52" i="115"/>
  <c r="I153" i="112"/>
  <c r="G62" i="112"/>
  <c r="J9" i="109"/>
  <c r="AB10" i="101" s="1"/>
  <c r="G66" i="115"/>
  <c r="G65" i="113"/>
  <c r="I9" i="110"/>
  <c r="AA12" i="101" s="1"/>
  <c r="G65" i="112"/>
  <c r="J153" i="111"/>
  <c r="K9" i="114"/>
  <c r="AC20" i="101" s="1"/>
  <c r="H9" i="113"/>
  <c r="Z18" i="101" s="1"/>
  <c r="G60" i="113"/>
  <c r="K9" i="112"/>
  <c r="AC16" i="101" s="1"/>
  <c r="G63" i="110"/>
  <c r="J9" i="113"/>
  <c r="AB18" i="101" s="1"/>
  <c r="H174" i="111"/>
  <c r="G52" i="114"/>
  <c r="G63" i="114"/>
  <c r="H127" i="109"/>
  <c r="H114" i="109"/>
  <c r="H123" i="109"/>
  <c r="H116" i="109"/>
  <c r="H112" i="109"/>
  <c r="H125" i="109"/>
  <c r="H9" i="109"/>
  <c r="Z10" i="101" s="1"/>
  <c r="H124" i="109"/>
  <c r="H111" i="109"/>
  <c r="H122" i="109"/>
  <c r="H113" i="109"/>
  <c r="H117" i="109"/>
  <c r="H128" i="109"/>
  <c r="H115" i="109"/>
  <c r="H126" i="109"/>
  <c r="H167" i="109"/>
  <c r="H153" i="109"/>
  <c r="G59" i="110"/>
  <c r="G63" i="113"/>
  <c r="G59" i="109"/>
  <c r="K9" i="113"/>
  <c r="AC18" i="101" s="1"/>
  <c r="G64" i="110"/>
  <c r="H170" i="109"/>
  <c r="I149" i="109"/>
  <c r="J9" i="111"/>
  <c r="AB14" i="101" s="1"/>
  <c r="J9" i="115"/>
  <c r="AB22" i="101" s="1"/>
  <c r="G60" i="114"/>
  <c r="I153" i="114"/>
  <c r="G65" i="111"/>
  <c r="K9" i="109"/>
  <c r="AC10" i="101" s="1"/>
  <c r="G65" i="109"/>
  <c r="I9" i="109"/>
  <c r="AA10" i="101" s="1"/>
  <c r="I9" i="113"/>
  <c r="AA18" i="101" s="1"/>
  <c r="G62" i="109"/>
  <c r="K66" i="111" l="1"/>
  <c r="K52" i="111"/>
  <c r="J66" i="111"/>
  <c r="G66" i="111"/>
  <c r="K64" i="109"/>
  <c r="K52" i="109"/>
  <c r="K64" i="110"/>
  <c r="K66" i="110" s="1"/>
  <c r="K52" i="110"/>
  <c r="K64" i="113"/>
  <c r="K66" i="113" s="1"/>
  <c r="K52" i="113"/>
  <c r="K66" i="114"/>
  <c r="K182" i="109"/>
  <c r="K52" i="115"/>
  <c r="K64" i="115"/>
  <c r="K66" i="115" s="1"/>
  <c r="K64" i="112"/>
  <c r="K66" i="112" s="1"/>
  <c r="K52" i="112"/>
  <c r="I52" i="111"/>
  <c r="I64" i="111"/>
  <c r="I69" i="111" s="1"/>
  <c r="H133" i="109"/>
  <c r="H13" i="109" s="1"/>
  <c r="I69" i="115"/>
  <c r="J52" i="113"/>
  <c r="J64" i="113"/>
  <c r="J66" i="113" s="1"/>
  <c r="I55" i="113"/>
  <c r="I66" i="113"/>
  <c r="J52" i="112"/>
  <c r="I55" i="110"/>
  <c r="I64" i="110"/>
  <c r="I69" i="110" s="1"/>
  <c r="J52" i="109"/>
  <c r="J64" i="109"/>
  <c r="H188" i="109"/>
  <c r="I52" i="110"/>
  <c r="AC24" i="101"/>
  <c r="AC25" i="101" s="1"/>
  <c r="Z24" i="101"/>
  <c r="AB24" i="101"/>
  <c r="AA24" i="101"/>
  <c r="AA25" i="101" s="1"/>
  <c r="I52" i="113"/>
  <c r="I184" i="109"/>
  <c r="G66" i="114"/>
  <c r="J52" i="115"/>
  <c r="K153" i="113"/>
  <c r="I55" i="112"/>
  <c r="J52" i="110"/>
  <c r="J153" i="112"/>
  <c r="J52" i="111"/>
  <c r="J52" i="114"/>
  <c r="I52" i="112"/>
  <c r="I52" i="114"/>
  <c r="I55" i="114"/>
  <c r="I55" i="111"/>
  <c r="I55" i="109"/>
  <c r="J66" i="110"/>
  <c r="I52" i="109"/>
  <c r="I66" i="112"/>
  <c r="I66" i="109"/>
  <c r="I69" i="114"/>
  <c r="I151" i="109"/>
  <c r="I153" i="109" s="1"/>
  <c r="I55" i="115"/>
  <c r="H174" i="109"/>
  <c r="I52" i="115"/>
  <c r="H138" i="109"/>
  <c r="H18" i="109" s="1"/>
  <c r="H139" i="109"/>
  <c r="H19" i="109" s="1"/>
  <c r="H134" i="109"/>
  <c r="H14" i="109" s="1"/>
  <c r="H137" i="109"/>
  <c r="H17" i="109" s="1"/>
  <c r="H136" i="109"/>
  <c r="H16" i="109" s="1"/>
  <c r="G66" i="112"/>
  <c r="J153" i="114"/>
  <c r="J149" i="109"/>
  <c r="J184" i="109" s="1"/>
  <c r="H135" i="109"/>
  <c r="H15" i="109" s="1"/>
  <c r="K149" i="112"/>
  <c r="H129" i="109"/>
  <c r="H118" i="109"/>
  <c r="G66" i="110"/>
  <c r="G66" i="109"/>
  <c r="G66" i="113"/>
  <c r="I82" i="114" l="1"/>
  <c r="I84" i="114"/>
  <c r="I86" i="114"/>
  <c r="I87" i="114"/>
  <c r="I83" i="114"/>
  <c r="I85" i="114"/>
  <c r="I81" i="114"/>
  <c r="I82" i="113"/>
  <c r="I86" i="113"/>
  <c r="I87" i="113"/>
  <c r="I83" i="113"/>
  <c r="I84" i="113"/>
  <c r="I85" i="113"/>
  <c r="I81" i="113"/>
  <c r="I85" i="115"/>
  <c r="I81" i="115"/>
  <c r="I84" i="115"/>
  <c r="I82" i="115"/>
  <c r="I83" i="115"/>
  <c r="I87" i="115"/>
  <c r="I86" i="115"/>
  <c r="I81" i="111"/>
  <c r="I83" i="111"/>
  <c r="I82" i="111"/>
  <c r="I84" i="111"/>
  <c r="I85" i="111"/>
  <c r="I86" i="111"/>
  <c r="I87" i="111"/>
  <c r="I87" i="112"/>
  <c r="I82" i="112"/>
  <c r="I83" i="112"/>
  <c r="I84" i="112"/>
  <c r="I81" i="112"/>
  <c r="I85" i="112"/>
  <c r="I86" i="112"/>
  <c r="I84" i="109"/>
  <c r="I87" i="109"/>
  <c r="I82" i="109"/>
  <c r="I83" i="109"/>
  <c r="I81" i="109"/>
  <c r="I85" i="109"/>
  <c r="I86" i="109"/>
  <c r="I84" i="110"/>
  <c r="I85" i="110"/>
  <c r="I86" i="110"/>
  <c r="I87" i="110"/>
  <c r="I81" i="110"/>
  <c r="I83" i="110"/>
  <c r="I82" i="110"/>
  <c r="J66" i="109"/>
  <c r="K66" i="109"/>
  <c r="I66" i="111"/>
  <c r="I66" i="110"/>
  <c r="J66" i="114"/>
  <c r="I186" i="109"/>
  <c r="I188" i="109" s="1"/>
  <c r="K151" i="112"/>
  <c r="K153" i="112" s="1"/>
  <c r="J151" i="109"/>
  <c r="J186" i="109" s="1"/>
  <c r="J188" i="109" s="1"/>
  <c r="K149" i="109"/>
  <c r="K184" i="109" s="1"/>
  <c r="J66" i="112"/>
  <c r="I69" i="112"/>
  <c r="I69" i="109"/>
  <c r="I66" i="114"/>
  <c r="I69" i="113"/>
  <c r="H140" i="109"/>
  <c r="J153" i="109" l="1"/>
  <c r="K151" i="109"/>
  <c r="K186" i="109" s="1"/>
  <c r="K188" i="109" s="1"/>
  <c r="H20" i="109"/>
  <c r="K153" i="109" l="1"/>
  <c r="H73" i="103" l="1"/>
  <c r="H73" i="108"/>
  <c r="H73" i="107"/>
  <c r="H73" i="106"/>
  <c r="H73" i="105"/>
  <c r="H73" i="104"/>
  <c r="H147" i="103" l="1"/>
  <c r="H148" i="103"/>
  <c r="H149" i="103"/>
  <c r="K149" i="103" s="1"/>
  <c r="H150" i="103"/>
  <c r="I150" i="103" s="1"/>
  <c r="J150" i="103" s="1"/>
  <c r="K150" i="103" s="1"/>
  <c r="H151" i="103"/>
  <c r="H152" i="103"/>
  <c r="H146" i="103"/>
  <c r="I146" i="103" s="1"/>
  <c r="J146" i="103" s="1"/>
  <c r="K146" i="103" s="1"/>
  <c r="H147" i="108"/>
  <c r="H148" i="108"/>
  <c r="H149" i="108"/>
  <c r="K149" i="108" s="1"/>
  <c r="H150" i="108"/>
  <c r="I150" i="108" s="1"/>
  <c r="J150" i="108" s="1"/>
  <c r="K150" i="108" s="1"/>
  <c r="H151" i="108"/>
  <c r="I151" i="108" s="1"/>
  <c r="J151" i="108" s="1"/>
  <c r="K151" i="108" s="1"/>
  <c r="H152" i="108"/>
  <c r="H146" i="108"/>
  <c r="H147" i="107"/>
  <c r="H148" i="107"/>
  <c r="I148" i="107" s="1"/>
  <c r="J148" i="107" s="1"/>
  <c r="K148" i="107" s="1"/>
  <c r="H149" i="107"/>
  <c r="I149" i="107" s="1"/>
  <c r="J149" i="107" s="1"/>
  <c r="K149" i="107" s="1"/>
  <c r="H150" i="107"/>
  <c r="I150" i="107" s="1"/>
  <c r="J150" i="107" s="1"/>
  <c r="K150" i="107" s="1"/>
  <c r="H151" i="107"/>
  <c r="I151" i="107" s="1"/>
  <c r="J151" i="107" s="1"/>
  <c r="K151" i="107" s="1"/>
  <c r="H152" i="107"/>
  <c r="H146" i="107"/>
  <c r="H147" i="106"/>
  <c r="H148" i="106"/>
  <c r="H149" i="106"/>
  <c r="K149" i="106" s="1"/>
  <c r="H150" i="106"/>
  <c r="I150" i="106" s="1"/>
  <c r="J150" i="106" s="1"/>
  <c r="K150" i="106" s="1"/>
  <c r="H151" i="106"/>
  <c r="I151" i="106" s="1"/>
  <c r="J151" i="106" s="1"/>
  <c r="K151" i="106" s="1"/>
  <c r="H152" i="106"/>
  <c r="H146" i="106"/>
  <c r="H147" i="105"/>
  <c r="H148" i="105"/>
  <c r="I148" i="105" s="1"/>
  <c r="J148" i="105" s="1"/>
  <c r="K148" i="105" s="1"/>
  <c r="H149" i="105"/>
  <c r="K149" i="105" s="1"/>
  <c r="H150" i="105"/>
  <c r="I150" i="105" s="1"/>
  <c r="J150" i="105" s="1"/>
  <c r="K150" i="105" s="1"/>
  <c r="H151" i="105"/>
  <c r="I151" i="105" s="1"/>
  <c r="H152" i="105"/>
  <c r="H146" i="105"/>
  <c r="I146" i="105" s="1"/>
  <c r="J146" i="105" s="1"/>
  <c r="K146" i="105" s="1"/>
  <c r="H82" i="103"/>
  <c r="H102" i="103" s="1"/>
  <c r="H83" i="103"/>
  <c r="H103" i="103" s="1"/>
  <c r="H84" i="103"/>
  <c r="H85" i="103"/>
  <c r="H86" i="103"/>
  <c r="H87" i="103"/>
  <c r="G87" i="103" s="1"/>
  <c r="G107" i="103" s="1"/>
  <c r="H81" i="103"/>
  <c r="H82" i="108"/>
  <c r="H102" i="108" s="1"/>
  <c r="H83" i="108"/>
  <c r="G83" i="108" s="1"/>
  <c r="H84" i="108"/>
  <c r="H104" i="108" s="1"/>
  <c r="H85" i="108"/>
  <c r="G85" i="108" s="1"/>
  <c r="H86" i="108"/>
  <c r="H106" i="108" s="1"/>
  <c r="H87" i="108"/>
  <c r="G87" i="108" s="1"/>
  <c r="H81" i="108"/>
  <c r="G81" i="108" s="1"/>
  <c r="H82" i="107"/>
  <c r="G82" i="107" s="1"/>
  <c r="H83" i="107"/>
  <c r="H103" i="107" s="1"/>
  <c r="H84" i="107"/>
  <c r="G84" i="107" s="1"/>
  <c r="H85" i="107"/>
  <c r="H105" i="107" s="1"/>
  <c r="H86" i="107"/>
  <c r="H106" i="107" s="1"/>
  <c r="H87" i="107"/>
  <c r="H107" i="107" s="1"/>
  <c r="H81" i="107"/>
  <c r="H101" i="107" s="1"/>
  <c r="H82" i="106"/>
  <c r="H102" i="106" s="1"/>
  <c r="H83" i="106"/>
  <c r="H103" i="106" s="1"/>
  <c r="H84" i="106"/>
  <c r="G84" i="106" s="1"/>
  <c r="H85" i="106"/>
  <c r="H105" i="106" s="1"/>
  <c r="H86" i="106"/>
  <c r="G86" i="106" s="1"/>
  <c r="H87" i="106"/>
  <c r="H81" i="106"/>
  <c r="H101" i="106" s="1"/>
  <c r="H82" i="105"/>
  <c r="G82" i="105" s="1"/>
  <c r="H83" i="105"/>
  <c r="H103" i="105" s="1"/>
  <c r="H84" i="105"/>
  <c r="H104" i="105" s="1"/>
  <c r="H85" i="105"/>
  <c r="H105" i="105" s="1"/>
  <c r="H86" i="105"/>
  <c r="H87" i="105"/>
  <c r="G87" i="105" s="1"/>
  <c r="H81" i="105"/>
  <c r="H101" i="105" s="1"/>
  <c r="H82" i="104"/>
  <c r="G82" i="104" s="1"/>
  <c r="H83" i="104"/>
  <c r="H103" i="104" s="1"/>
  <c r="H84" i="104"/>
  <c r="H104" i="104" s="1"/>
  <c r="H85" i="104"/>
  <c r="H86" i="104"/>
  <c r="H106" i="104" s="1"/>
  <c r="H87" i="104"/>
  <c r="H81" i="104"/>
  <c r="G81" i="104" s="1"/>
  <c r="H46" i="103"/>
  <c r="H47" i="103"/>
  <c r="H61" i="103" s="1"/>
  <c r="G61" i="103" s="1"/>
  <c r="H48" i="103"/>
  <c r="J48" i="103" s="1"/>
  <c r="H49" i="103"/>
  <c r="J49" i="103" s="1"/>
  <c r="H50" i="103"/>
  <c r="G50" i="103" s="1"/>
  <c r="H51" i="103"/>
  <c r="H45" i="103"/>
  <c r="G45" i="103" s="1"/>
  <c r="H46" i="108"/>
  <c r="H60" i="108" s="1"/>
  <c r="K64" i="108" s="1"/>
  <c r="H47" i="108"/>
  <c r="H48" i="108"/>
  <c r="H62" i="108" s="1"/>
  <c r="H49" i="108"/>
  <c r="H50" i="108"/>
  <c r="H51" i="108"/>
  <c r="J51" i="108" s="1"/>
  <c r="H45" i="108"/>
  <c r="J45" i="108" s="1"/>
  <c r="H46" i="107"/>
  <c r="J46" i="107" s="1"/>
  <c r="H47" i="107"/>
  <c r="H61" i="107" s="1"/>
  <c r="H48" i="107"/>
  <c r="J48" i="107" s="1"/>
  <c r="H49" i="107"/>
  <c r="J49" i="107" s="1"/>
  <c r="H50" i="107"/>
  <c r="H64" i="107" s="1"/>
  <c r="H51" i="107"/>
  <c r="G51" i="107" s="1"/>
  <c r="H45" i="107"/>
  <c r="H46" i="106"/>
  <c r="H47" i="106"/>
  <c r="H48" i="106"/>
  <c r="H62" i="106" s="1"/>
  <c r="J62" i="106" s="1"/>
  <c r="H49" i="106"/>
  <c r="H50" i="106"/>
  <c r="H51" i="106"/>
  <c r="J51" i="106" s="1"/>
  <c r="H45" i="106"/>
  <c r="J45" i="106" s="1"/>
  <c r="H46" i="105"/>
  <c r="J46" i="105" s="1"/>
  <c r="H47" i="105"/>
  <c r="H48" i="105"/>
  <c r="J48" i="105" s="1"/>
  <c r="H49" i="105"/>
  <c r="J49" i="105" s="1"/>
  <c r="H50" i="105"/>
  <c r="J50" i="105" s="1"/>
  <c r="H51" i="105"/>
  <c r="H45" i="105"/>
  <c r="H46" i="104"/>
  <c r="I46" i="104" s="1"/>
  <c r="H47" i="104"/>
  <c r="H48" i="104"/>
  <c r="G48" i="104" s="1"/>
  <c r="H49" i="104"/>
  <c r="H63" i="104" s="1"/>
  <c r="H50" i="104"/>
  <c r="H51" i="104"/>
  <c r="H45" i="104"/>
  <c r="G45" i="104" s="1"/>
  <c r="J35" i="103"/>
  <c r="K35" i="103"/>
  <c r="I35" i="103"/>
  <c r="I34" i="103"/>
  <c r="J34" i="103"/>
  <c r="J7" i="103" s="1"/>
  <c r="K34" i="103"/>
  <c r="K7" i="103" s="1"/>
  <c r="H34" i="103"/>
  <c r="G34" i="103" s="1"/>
  <c r="G36" i="103" s="1"/>
  <c r="J35" i="108"/>
  <c r="J8" i="108" s="1"/>
  <c r="E19" i="101" s="1"/>
  <c r="K35" i="108"/>
  <c r="I35" i="108"/>
  <c r="I8" i="108" s="1"/>
  <c r="D19" i="101" s="1"/>
  <c r="I34" i="108"/>
  <c r="I7" i="108" s="1"/>
  <c r="J34" i="108"/>
  <c r="J7" i="108" s="1"/>
  <c r="K34" i="108"/>
  <c r="K7" i="108" s="1"/>
  <c r="H34" i="108"/>
  <c r="J35" i="107"/>
  <c r="K35" i="107"/>
  <c r="K8" i="107" s="1"/>
  <c r="F17" i="101" s="1"/>
  <c r="I35" i="107"/>
  <c r="I34" i="107"/>
  <c r="I7" i="107" s="1"/>
  <c r="J34" i="107"/>
  <c r="J7" i="107" s="1"/>
  <c r="K34" i="107"/>
  <c r="K7" i="107" s="1"/>
  <c r="H34" i="107"/>
  <c r="G34" i="107" s="1"/>
  <c r="G36" i="107" s="1"/>
  <c r="J35" i="106"/>
  <c r="J8" i="106" s="1"/>
  <c r="E15" i="101" s="1"/>
  <c r="K35" i="106"/>
  <c r="K8" i="106" s="1"/>
  <c r="F15" i="101" s="1"/>
  <c r="I35" i="106"/>
  <c r="I8" i="106" s="1"/>
  <c r="D15" i="101" s="1"/>
  <c r="I34" i="106"/>
  <c r="I7" i="106" s="1"/>
  <c r="J34" i="106"/>
  <c r="J7" i="106" s="1"/>
  <c r="K34" i="106"/>
  <c r="K7" i="106" s="1"/>
  <c r="H34" i="106"/>
  <c r="H36" i="106" s="1"/>
  <c r="J35" i="105"/>
  <c r="K35" i="105"/>
  <c r="K8" i="105" s="1"/>
  <c r="F13" i="101" s="1"/>
  <c r="I35" i="105"/>
  <c r="I8" i="105" s="1"/>
  <c r="D13" i="101" s="1"/>
  <c r="I34" i="105"/>
  <c r="I7" i="105" s="1"/>
  <c r="J34" i="105"/>
  <c r="K34" i="105"/>
  <c r="H34" i="105"/>
  <c r="G34" i="105" s="1"/>
  <c r="G36" i="105" s="1"/>
  <c r="J35" i="104"/>
  <c r="J8" i="104" s="1"/>
  <c r="E11" i="101" s="1"/>
  <c r="K35" i="104"/>
  <c r="K8" i="104" s="1"/>
  <c r="F11" i="101" s="1"/>
  <c r="I35" i="104"/>
  <c r="I8" i="104" s="1"/>
  <c r="D11" i="101" s="1"/>
  <c r="I34" i="104"/>
  <c r="I7" i="104" s="1"/>
  <c r="J34" i="104"/>
  <c r="J7" i="104" s="1"/>
  <c r="K34" i="104"/>
  <c r="K7" i="104" s="1"/>
  <c r="H34" i="104"/>
  <c r="H36" i="104" s="1"/>
  <c r="H8" i="104"/>
  <c r="C11" i="101" s="1"/>
  <c r="K52" i="108"/>
  <c r="J49" i="108"/>
  <c r="G49" i="108"/>
  <c r="H8" i="108"/>
  <c r="C19" i="101" s="1"/>
  <c r="K52" i="107"/>
  <c r="H8" i="107"/>
  <c r="C17" i="101" s="1"/>
  <c r="H107" i="106"/>
  <c r="K52" i="106"/>
  <c r="H173" i="106"/>
  <c r="H172" i="106"/>
  <c r="J49" i="106"/>
  <c r="H8" i="106"/>
  <c r="C15" i="101" s="1"/>
  <c r="G84" i="105"/>
  <c r="G104" i="105" s="1"/>
  <c r="H102" i="105"/>
  <c r="K66" i="105"/>
  <c r="K52" i="105"/>
  <c r="H8" i="105"/>
  <c r="C13" i="101" s="1"/>
  <c r="H173" i="104"/>
  <c r="H107" i="104"/>
  <c r="H105" i="104"/>
  <c r="G87" i="104"/>
  <c r="G86" i="104"/>
  <c r="G106" i="104" s="1"/>
  <c r="G85" i="104"/>
  <c r="K52" i="104"/>
  <c r="J48" i="104"/>
  <c r="H173" i="103"/>
  <c r="H170" i="103"/>
  <c r="H107" i="103"/>
  <c r="H105" i="103"/>
  <c r="H104" i="103"/>
  <c r="G86" i="103"/>
  <c r="G85" i="103"/>
  <c r="G84" i="103"/>
  <c r="G104" i="103" s="1"/>
  <c r="G81" i="103"/>
  <c r="G101" i="103" s="1"/>
  <c r="H62" i="103"/>
  <c r="G62" i="103" s="1"/>
  <c r="K52" i="103"/>
  <c r="H8" i="103"/>
  <c r="C21" i="101" s="1"/>
  <c r="K66" i="108" l="1"/>
  <c r="C23" i="101"/>
  <c r="I46" i="106"/>
  <c r="J46" i="106"/>
  <c r="K153" i="107"/>
  <c r="H7" i="103"/>
  <c r="H106" i="106"/>
  <c r="H65" i="108"/>
  <c r="I65" i="108" s="1"/>
  <c r="G82" i="108"/>
  <c r="G85" i="105"/>
  <c r="G105" i="105" s="1"/>
  <c r="G47" i="103"/>
  <c r="G87" i="107"/>
  <c r="G107" i="107" s="1"/>
  <c r="G48" i="103"/>
  <c r="I153" i="107"/>
  <c r="J46" i="108"/>
  <c r="H9" i="106"/>
  <c r="C16" i="101" s="1"/>
  <c r="G83" i="103"/>
  <c r="G103" i="103" s="1"/>
  <c r="G49" i="105"/>
  <c r="I49" i="105"/>
  <c r="G84" i="104"/>
  <c r="G104" i="104" s="1"/>
  <c r="H63" i="105"/>
  <c r="I63" i="105" s="1"/>
  <c r="G46" i="108"/>
  <c r="J48" i="108"/>
  <c r="G49" i="104"/>
  <c r="I49" i="104"/>
  <c r="J49" i="104"/>
  <c r="H7" i="107"/>
  <c r="H60" i="104"/>
  <c r="G82" i="106"/>
  <c r="G102" i="106" s="1"/>
  <c r="G49" i="103"/>
  <c r="G84" i="108"/>
  <c r="G104" i="108" s="1"/>
  <c r="I49" i="103"/>
  <c r="G47" i="107"/>
  <c r="H36" i="107"/>
  <c r="H59" i="106"/>
  <c r="J59" i="106" s="1"/>
  <c r="J46" i="104"/>
  <c r="G85" i="107"/>
  <c r="G105" i="107" s="1"/>
  <c r="I48" i="106"/>
  <c r="J48" i="106"/>
  <c r="G83" i="105"/>
  <c r="G103" i="105" s="1"/>
  <c r="H168" i="105"/>
  <c r="J36" i="103"/>
  <c r="H65" i="106"/>
  <c r="J65" i="106" s="1"/>
  <c r="J36" i="105"/>
  <c r="I45" i="106"/>
  <c r="J7" i="105"/>
  <c r="G51" i="104"/>
  <c r="H168" i="106"/>
  <c r="I36" i="107"/>
  <c r="H7" i="105"/>
  <c r="H107" i="105"/>
  <c r="H101" i="104"/>
  <c r="I36" i="105"/>
  <c r="H36" i="103"/>
  <c r="J36" i="107"/>
  <c r="J8" i="107"/>
  <c r="E17" i="101" s="1"/>
  <c r="I36" i="103"/>
  <c r="I36" i="104"/>
  <c r="I8" i="107"/>
  <c r="D17" i="101" s="1"/>
  <c r="J36" i="104"/>
  <c r="H173" i="105"/>
  <c r="I45" i="103"/>
  <c r="H60" i="105"/>
  <c r="J60" i="105" s="1"/>
  <c r="G83" i="106"/>
  <c r="G103" i="106" s="1"/>
  <c r="G48" i="107"/>
  <c r="G82" i="103"/>
  <c r="G102" i="103" s="1"/>
  <c r="G83" i="104"/>
  <c r="G103" i="104" s="1"/>
  <c r="G46" i="105"/>
  <c r="G50" i="107"/>
  <c r="I46" i="105"/>
  <c r="G81" i="105"/>
  <c r="G101" i="105" s="1"/>
  <c r="I51" i="106"/>
  <c r="H173" i="107"/>
  <c r="I61" i="103"/>
  <c r="I51" i="103"/>
  <c r="H102" i="104"/>
  <c r="G86" i="108"/>
  <c r="G106" i="108" s="1"/>
  <c r="H65" i="103"/>
  <c r="G65" i="103" s="1"/>
  <c r="G51" i="103"/>
  <c r="H7" i="104"/>
  <c r="G34" i="104"/>
  <c r="G36" i="104" s="1"/>
  <c r="H7" i="106"/>
  <c r="G34" i="106"/>
  <c r="G36" i="106" s="1"/>
  <c r="H7" i="108"/>
  <c r="G34" i="108"/>
  <c r="G36" i="108" s="1"/>
  <c r="G86" i="107"/>
  <c r="G106" i="107" s="1"/>
  <c r="H102" i="107"/>
  <c r="H171" i="103"/>
  <c r="H52" i="107"/>
  <c r="G45" i="107"/>
  <c r="K36" i="103"/>
  <c r="K36" i="107"/>
  <c r="K36" i="106"/>
  <c r="G104" i="106"/>
  <c r="I36" i="106"/>
  <c r="H169" i="106"/>
  <c r="J36" i="106"/>
  <c r="I50" i="106"/>
  <c r="H61" i="106"/>
  <c r="H64" i="106"/>
  <c r="G87" i="106"/>
  <c r="G104" i="107"/>
  <c r="J50" i="106"/>
  <c r="G106" i="106"/>
  <c r="G107" i="108"/>
  <c r="J60" i="108"/>
  <c r="I60" i="108"/>
  <c r="G60" i="108"/>
  <c r="G45" i="106"/>
  <c r="G48" i="106"/>
  <c r="G51" i="106"/>
  <c r="G85" i="106"/>
  <c r="H104" i="106"/>
  <c r="H172" i="107"/>
  <c r="I62" i="108"/>
  <c r="G62" i="108"/>
  <c r="J62" i="108"/>
  <c r="H167" i="106"/>
  <c r="H170" i="106"/>
  <c r="G62" i="106"/>
  <c r="H153" i="106"/>
  <c r="I62" i="106"/>
  <c r="H171" i="108"/>
  <c r="G46" i="106"/>
  <c r="G49" i="106"/>
  <c r="G81" i="106"/>
  <c r="H104" i="107"/>
  <c r="G103" i="108"/>
  <c r="I49" i="106"/>
  <c r="H60" i="106"/>
  <c r="H63" i="106"/>
  <c r="H169" i="107"/>
  <c r="H167" i="108"/>
  <c r="H52" i="106"/>
  <c r="G102" i="107"/>
  <c r="G47" i="106"/>
  <c r="G50" i="106"/>
  <c r="G105" i="108"/>
  <c r="G61" i="107"/>
  <c r="G64" i="107"/>
  <c r="H153" i="108"/>
  <c r="H52" i="108"/>
  <c r="G101" i="108"/>
  <c r="K8" i="108"/>
  <c r="F19" i="101" s="1"/>
  <c r="F23" i="101" s="1"/>
  <c r="I46" i="108"/>
  <c r="I49" i="108"/>
  <c r="H63" i="108"/>
  <c r="H101" i="108"/>
  <c r="H103" i="108"/>
  <c r="H105" i="108"/>
  <c r="H107" i="108"/>
  <c r="H173" i="108"/>
  <c r="H36" i="108"/>
  <c r="G47" i="108"/>
  <c r="G50" i="108"/>
  <c r="I45" i="107"/>
  <c r="I48" i="107"/>
  <c r="H59" i="107"/>
  <c r="H62" i="107"/>
  <c r="H65" i="107"/>
  <c r="G83" i="107"/>
  <c r="I36" i="108"/>
  <c r="J45" i="107"/>
  <c r="J36" i="108"/>
  <c r="H61" i="108"/>
  <c r="H64" i="108"/>
  <c r="G46" i="107"/>
  <c r="G49" i="107"/>
  <c r="G81" i="107"/>
  <c r="K36" i="108"/>
  <c r="G102" i="108"/>
  <c r="G45" i="108"/>
  <c r="G48" i="108"/>
  <c r="G51" i="108"/>
  <c r="I46" i="107"/>
  <c r="I49" i="107"/>
  <c r="H60" i="107"/>
  <c r="H63" i="107"/>
  <c r="I45" i="108"/>
  <c r="I48" i="108"/>
  <c r="H59" i="108"/>
  <c r="G47" i="104"/>
  <c r="H61" i="104"/>
  <c r="G101" i="104"/>
  <c r="H106" i="105"/>
  <c r="G86" i="105"/>
  <c r="G105" i="104"/>
  <c r="G107" i="105"/>
  <c r="H169" i="105"/>
  <c r="H170" i="104"/>
  <c r="H168" i="104"/>
  <c r="K7" i="105"/>
  <c r="K36" i="105"/>
  <c r="J63" i="104"/>
  <c r="G63" i="104"/>
  <c r="H167" i="105"/>
  <c r="I63" i="104"/>
  <c r="H9" i="104"/>
  <c r="C12" i="101" s="1"/>
  <c r="G107" i="104"/>
  <c r="G102" i="104"/>
  <c r="K36" i="104"/>
  <c r="G50" i="104"/>
  <c r="H64" i="104"/>
  <c r="J8" i="105"/>
  <c r="E13" i="101" s="1"/>
  <c r="E23" i="101" s="1"/>
  <c r="H52" i="104"/>
  <c r="H172" i="105"/>
  <c r="H52" i="105"/>
  <c r="H36" i="105"/>
  <c r="G47" i="105"/>
  <c r="G50" i="105"/>
  <c r="H153" i="105"/>
  <c r="I48" i="104"/>
  <c r="H59" i="104"/>
  <c r="H62" i="104"/>
  <c r="H65" i="104"/>
  <c r="J45" i="104"/>
  <c r="I50" i="105"/>
  <c r="H61" i="105"/>
  <c r="H64" i="105"/>
  <c r="G46" i="104"/>
  <c r="G102" i="105"/>
  <c r="I45" i="104"/>
  <c r="G45" i="105"/>
  <c r="G48" i="105"/>
  <c r="G51" i="105"/>
  <c r="H171" i="105"/>
  <c r="I48" i="105"/>
  <c r="I51" i="105"/>
  <c r="H59" i="105"/>
  <c r="H62" i="105"/>
  <c r="H65" i="105"/>
  <c r="J45" i="105"/>
  <c r="J52" i="105" s="1"/>
  <c r="G106" i="103"/>
  <c r="I8" i="103"/>
  <c r="D21" i="101" s="1"/>
  <c r="H59" i="103"/>
  <c r="H63" i="103"/>
  <c r="G46" i="103"/>
  <c r="H172" i="103"/>
  <c r="J62" i="103"/>
  <c r="I62" i="103"/>
  <c r="I7" i="103"/>
  <c r="J50" i="103"/>
  <c r="J46" i="103"/>
  <c r="H60" i="103"/>
  <c r="G105" i="103"/>
  <c r="J8" i="103"/>
  <c r="E21" i="101" s="1"/>
  <c r="H101" i="103"/>
  <c r="K8" i="103"/>
  <c r="F21" i="101" s="1"/>
  <c r="I48" i="103"/>
  <c r="H64" i="103"/>
  <c r="H106" i="103"/>
  <c r="I46" i="103"/>
  <c r="H52" i="103"/>
  <c r="J45" i="103"/>
  <c r="M21" i="100"/>
  <c r="F25" i="100"/>
  <c r="G25" i="100"/>
  <c r="H25" i="100"/>
  <c r="J25" i="100"/>
  <c r="K25" i="100"/>
  <c r="L25" i="100"/>
  <c r="G24" i="100"/>
  <c r="H24" i="100"/>
  <c r="J24" i="100"/>
  <c r="K24" i="100"/>
  <c r="L24" i="100"/>
  <c r="K35" i="35"/>
  <c r="K8" i="35" s="1"/>
  <c r="F9" i="101" s="1"/>
  <c r="J35" i="35"/>
  <c r="J8" i="35" s="1"/>
  <c r="E9" i="101" s="1"/>
  <c r="I35" i="35"/>
  <c r="I8" i="35" s="1"/>
  <c r="D9" i="101" s="1"/>
  <c r="K34" i="35"/>
  <c r="J34" i="35"/>
  <c r="I34" i="35"/>
  <c r="D23" i="101" l="1"/>
  <c r="M24" i="100"/>
  <c r="G63" i="105"/>
  <c r="J65" i="108"/>
  <c r="G65" i="108"/>
  <c r="J63" i="105"/>
  <c r="K64" i="103"/>
  <c r="K64" i="107"/>
  <c r="J52" i="108"/>
  <c r="I60" i="104"/>
  <c r="I9" i="104"/>
  <c r="D12" i="101" s="1"/>
  <c r="J9" i="107"/>
  <c r="E18" i="101" s="1"/>
  <c r="H9" i="103"/>
  <c r="C22" i="101" s="1"/>
  <c r="J9" i="103"/>
  <c r="E22" i="101" s="1"/>
  <c r="I9" i="105"/>
  <c r="D14" i="101" s="1"/>
  <c r="K9" i="106"/>
  <c r="F16" i="101" s="1"/>
  <c r="I9" i="107"/>
  <c r="D18" i="101" s="1"/>
  <c r="K9" i="107"/>
  <c r="F18" i="101" s="1"/>
  <c r="J9" i="104"/>
  <c r="E12" i="101" s="1"/>
  <c r="K9" i="103"/>
  <c r="F22" i="101" s="1"/>
  <c r="H9" i="107"/>
  <c r="C18" i="101" s="1"/>
  <c r="H180" i="107"/>
  <c r="I9" i="103"/>
  <c r="D22" i="101" s="1"/>
  <c r="J9" i="105"/>
  <c r="E14" i="101" s="1"/>
  <c r="G60" i="104"/>
  <c r="G59" i="106"/>
  <c r="I59" i="106"/>
  <c r="G60" i="105"/>
  <c r="I60" i="105"/>
  <c r="I65" i="106"/>
  <c r="G65" i="106"/>
  <c r="G52" i="103"/>
  <c r="M20" i="100"/>
  <c r="M19" i="100"/>
  <c r="M12" i="100"/>
  <c r="D17" i="116" s="1"/>
  <c r="M13" i="100"/>
  <c r="D17" i="117" s="1"/>
  <c r="H28" i="100"/>
  <c r="G73" i="112"/>
  <c r="G73" i="115"/>
  <c r="L28" i="100"/>
  <c r="H73" i="115" s="1"/>
  <c r="G73" i="114"/>
  <c r="K28" i="100"/>
  <c r="H73" i="114" s="1"/>
  <c r="G73" i="113"/>
  <c r="J28" i="100"/>
  <c r="H73" i="113" s="1"/>
  <c r="J36" i="35"/>
  <c r="G52" i="107"/>
  <c r="I65" i="103"/>
  <c r="J65" i="103"/>
  <c r="G34" i="35"/>
  <c r="G36" i="35" s="1"/>
  <c r="K36" i="35"/>
  <c r="G73" i="111"/>
  <c r="G28" i="100"/>
  <c r="H73" i="111" s="1"/>
  <c r="F28" i="100"/>
  <c r="H73" i="110" s="1"/>
  <c r="G73" i="110"/>
  <c r="J27" i="100"/>
  <c r="J73" i="107" s="1"/>
  <c r="K179" i="107" s="1"/>
  <c r="I73" i="107"/>
  <c r="H27" i="100"/>
  <c r="I73" i="106"/>
  <c r="G27" i="100"/>
  <c r="J73" i="105" s="1"/>
  <c r="J123" i="105" s="1"/>
  <c r="I73" i="105"/>
  <c r="F27" i="100"/>
  <c r="J73" i="104" s="1"/>
  <c r="I126" i="104" s="1"/>
  <c r="I73" i="104"/>
  <c r="K27" i="100"/>
  <c r="J73" i="108" s="1"/>
  <c r="I73" i="108"/>
  <c r="L27" i="100"/>
  <c r="J73" i="103" s="1"/>
  <c r="I124" i="103" s="1"/>
  <c r="I73" i="103"/>
  <c r="K153" i="106"/>
  <c r="J52" i="103"/>
  <c r="I52" i="106"/>
  <c r="J52" i="104"/>
  <c r="I52" i="103"/>
  <c r="H55" i="108"/>
  <c r="I52" i="108"/>
  <c r="J52" i="106"/>
  <c r="H55" i="105"/>
  <c r="I52" i="104"/>
  <c r="G52" i="104"/>
  <c r="I55" i="108"/>
  <c r="J52" i="107"/>
  <c r="H169" i="108"/>
  <c r="H172" i="108"/>
  <c r="G52" i="106"/>
  <c r="G107" i="106"/>
  <c r="H167" i="107"/>
  <c r="H153" i="107"/>
  <c r="H171" i="107"/>
  <c r="J59" i="107"/>
  <c r="I59" i="107"/>
  <c r="G59" i="107"/>
  <c r="I59" i="108"/>
  <c r="G59" i="108"/>
  <c r="J59" i="108"/>
  <c r="J122" i="108" s="1"/>
  <c r="I63" i="107"/>
  <c r="G63" i="107"/>
  <c r="J63" i="107"/>
  <c r="I52" i="107"/>
  <c r="I55" i="107"/>
  <c r="H168" i="108"/>
  <c r="G64" i="106"/>
  <c r="G61" i="106"/>
  <c r="J62" i="107"/>
  <c r="I62" i="107"/>
  <c r="G62" i="107"/>
  <c r="I60" i="107"/>
  <c r="G60" i="107"/>
  <c r="J60" i="107"/>
  <c r="J64" i="108"/>
  <c r="I64" i="108"/>
  <c r="G64" i="108"/>
  <c r="G61" i="108"/>
  <c r="H170" i="108"/>
  <c r="J63" i="106"/>
  <c r="I63" i="106"/>
  <c r="G63" i="106"/>
  <c r="I55" i="106"/>
  <c r="I9" i="106"/>
  <c r="D16" i="101" s="1"/>
  <c r="J60" i="106"/>
  <c r="I60" i="106"/>
  <c r="G60" i="106"/>
  <c r="K9" i="108"/>
  <c r="F20" i="101" s="1"/>
  <c r="H170" i="107"/>
  <c r="H171" i="106"/>
  <c r="H174" i="106" s="1"/>
  <c r="H168" i="107"/>
  <c r="J9" i="108"/>
  <c r="E20" i="101" s="1"/>
  <c r="I9" i="108"/>
  <c r="D20" i="101" s="1"/>
  <c r="H9" i="108"/>
  <c r="C20" i="101" s="1"/>
  <c r="J63" i="108"/>
  <c r="I63" i="108"/>
  <c r="G63" i="108"/>
  <c r="G101" i="106"/>
  <c r="H55" i="106"/>
  <c r="J9" i="106"/>
  <c r="E16" i="101" s="1"/>
  <c r="G101" i="107"/>
  <c r="H55" i="107"/>
  <c r="G103" i="107"/>
  <c r="G52" i="108"/>
  <c r="J65" i="107"/>
  <c r="I65" i="107"/>
  <c r="G65" i="107"/>
  <c r="G105" i="106"/>
  <c r="H172" i="104"/>
  <c r="J61" i="105"/>
  <c r="I61" i="105"/>
  <c r="G61" i="105"/>
  <c r="H55" i="104"/>
  <c r="K9" i="105"/>
  <c r="F14" i="101" s="1"/>
  <c r="G52" i="105"/>
  <c r="G64" i="104"/>
  <c r="H167" i="104"/>
  <c r="H153" i="104"/>
  <c r="H9" i="105"/>
  <c r="C14" i="101" s="1"/>
  <c r="I55" i="105"/>
  <c r="I52" i="105"/>
  <c r="J65" i="104"/>
  <c r="I65" i="104"/>
  <c r="G65" i="104"/>
  <c r="J62" i="104"/>
  <c r="I62" i="104"/>
  <c r="G62" i="104"/>
  <c r="I55" i="104"/>
  <c r="J59" i="104"/>
  <c r="I59" i="104"/>
  <c r="G59" i="104"/>
  <c r="K9" i="104"/>
  <c r="F12" i="101" s="1"/>
  <c r="G61" i="104"/>
  <c r="H170" i="105"/>
  <c r="H174" i="105" s="1"/>
  <c r="I65" i="105"/>
  <c r="G65" i="105"/>
  <c r="J65" i="105"/>
  <c r="H171" i="104"/>
  <c r="I62" i="105"/>
  <c r="G62" i="105"/>
  <c r="J62" i="105"/>
  <c r="H169" i="104"/>
  <c r="I59" i="105"/>
  <c r="G59" i="105"/>
  <c r="J59" i="105"/>
  <c r="J64" i="105"/>
  <c r="I64" i="105"/>
  <c r="G64" i="105"/>
  <c r="G106" i="105"/>
  <c r="H153" i="103"/>
  <c r="H167" i="103"/>
  <c r="K153" i="103"/>
  <c r="G64" i="103"/>
  <c r="H55" i="103"/>
  <c r="J60" i="103"/>
  <c r="I60" i="103"/>
  <c r="I123" i="103" s="1"/>
  <c r="G60" i="103"/>
  <c r="J63" i="103"/>
  <c r="J126" i="103" s="1"/>
  <c r="I63" i="103"/>
  <c r="I126" i="103" s="1"/>
  <c r="G63" i="103"/>
  <c r="J59" i="103"/>
  <c r="I59" i="103"/>
  <c r="G59" i="103"/>
  <c r="H168" i="103"/>
  <c r="I55" i="103"/>
  <c r="H169" i="103"/>
  <c r="M25" i="100"/>
  <c r="E17" i="117" s="1"/>
  <c r="M15" i="100"/>
  <c r="M17" i="100"/>
  <c r="I36" i="35"/>
  <c r="E17" i="116"/>
  <c r="K7" i="35"/>
  <c r="J7" i="35"/>
  <c r="I7" i="35"/>
  <c r="K52" i="35"/>
  <c r="J128" i="35" l="1"/>
  <c r="J123" i="35"/>
  <c r="J124" i="35"/>
  <c r="I128" i="35"/>
  <c r="I124" i="35"/>
  <c r="K126" i="35"/>
  <c r="K125" i="35"/>
  <c r="K128" i="35"/>
  <c r="K124" i="35"/>
  <c r="K122" i="35"/>
  <c r="K123" i="35"/>
  <c r="J181" i="104"/>
  <c r="K183" i="107"/>
  <c r="I122" i="103"/>
  <c r="J122" i="103"/>
  <c r="H186" i="107"/>
  <c r="J128" i="103"/>
  <c r="I125" i="103"/>
  <c r="I128" i="103"/>
  <c r="H182" i="105"/>
  <c r="J126" i="104"/>
  <c r="G113" i="108"/>
  <c r="K122" i="108"/>
  <c r="K126" i="108"/>
  <c r="K128" i="108"/>
  <c r="K123" i="108"/>
  <c r="K125" i="108"/>
  <c r="J124" i="108"/>
  <c r="I124" i="108"/>
  <c r="K124" i="108"/>
  <c r="H185" i="107"/>
  <c r="K182" i="107"/>
  <c r="H181" i="107"/>
  <c r="H183" i="104"/>
  <c r="K122" i="104"/>
  <c r="I124" i="104"/>
  <c r="K123" i="104"/>
  <c r="J124" i="104"/>
  <c r="K124" i="104"/>
  <c r="K125" i="104"/>
  <c r="K126" i="104"/>
  <c r="K128" i="104"/>
  <c r="H182" i="107"/>
  <c r="H181" i="108"/>
  <c r="H182" i="104"/>
  <c r="J125" i="108"/>
  <c r="H183" i="107"/>
  <c r="J126" i="105"/>
  <c r="G126" i="105"/>
  <c r="K128" i="105"/>
  <c r="K124" i="105"/>
  <c r="K126" i="105"/>
  <c r="K122" i="105"/>
  <c r="K123" i="105"/>
  <c r="K125" i="105"/>
  <c r="H185" i="105"/>
  <c r="H179" i="107"/>
  <c r="I125" i="108"/>
  <c r="H181" i="105"/>
  <c r="J128" i="108"/>
  <c r="I128" i="108"/>
  <c r="I181" i="104"/>
  <c r="H186" i="105"/>
  <c r="J123" i="108"/>
  <c r="I126" i="105"/>
  <c r="H184" i="107"/>
  <c r="K125" i="107"/>
  <c r="K122" i="107"/>
  <c r="K126" i="107"/>
  <c r="K128" i="107"/>
  <c r="K124" i="107"/>
  <c r="I124" i="107"/>
  <c r="J124" i="107"/>
  <c r="K123" i="107"/>
  <c r="H186" i="104"/>
  <c r="K185" i="107"/>
  <c r="I123" i="108"/>
  <c r="H183" i="105"/>
  <c r="I122" i="108"/>
  <c r="J181" i="103"/>
  <c r="J124" i="103"/>
  <c r="K125" i="103"/>
  <c r="K123" i="103"/>
  <c r="K124" i="103"/>
  <c r="K126" i="103"/>
  <c r="K122" i="103"/>
  <c r="K128" i="103"/>
  <c r="K182" i="108"/>
  <c r="K181" i="107"/>
  <c r="I123" i="104"/>
  <c r="J125" i="103"/>
  <c r="J183" i="108"/>
  <c r="J126" i="108"/>
  <c r="I183" i="108"/>
  <c r="I126" i="108"/>
  <c r="J185" i="107"/>
  <c r="J128" i="107"/>
  <c r="I185" i="107"/>
  <c r="I128" i="107"/>
  <c r="I183" i="107"/>
  <c r="I126" i="107"/>
  <c r="J183" i="107"/>
  <c r="J126" i="107"/>
  <c r="I182" i="107"/>
  <c r="I125" i="107"/>
  <c r="J182" i="107"/>
  <c r="J125" i="107"/>
  <c r="I179" i="107"/>
  <c r="I122" i="107"/>
  <c r="J179" i="107"/>
  <c r="J122" i="107"/>
  <c r="J185" i="105"/>
  <c r="J128" i="105"/>
  <c r="I185" i="105"/>
  <c r="I128" i="105"/>
  <c r="J182" i="105"/>
  <c r="J125" i="105"/>
  <c r="I182" i="105"/>
  <c r="I125" i="105"/>
  <c r="J181" i="105"/>
  <c r="J124" i="105"/>
  <c r="I181" i="105"/>
  <c r="I124" i="105"/>
  <c r="I179" i="105"/>
  <c r="I122" i="105"/>
  <c r="J179" i="105"/>
  <c r="J122" i="105"/>
  <c r="J185" i="104"/>
  <c r="J128" i="104"/>
  <c r="I185" i="104"/>
  <c r="I128" i="104"/>
  <c r="I182" i="104"/>
  <c r="I125" i="104"/>
  <c r="J182" i="104"/>
  <c r="J125" i="104"/>
  <c r="I179" i="104"/>
  <c r="I122" i="104"/>
  <c r="J179" i="104"/>
  <c r="J122" i="104"/>
  <c r="J180" i="103"/>
  <c r="J123" i="103"/>
  <c r="K66" i="103"/>
  <c r="J184" i="108"/>
  <c r="I184" i="108"/>
  <c r="J180" i="107"/>
  <c r="J123" i="107"/>
  <c r="I180" i="107"/>
  <c r="I123" i="107"/>
  <c r="K66" i="107"/>
  <c r="I180" i="105"/>
  <c r="I123" i="105"/>
  <c r="I184" i="105"/>
  <c r="J184" i="105"/>
  <c r="I64" i="103"/>
  <c r="J64" i="103"/>
  <c r="J66" i="103" s="1"/>
  <c r="K184" i="107"/>
  <c r="K179" i="103"/>
  <c r="K183" i="108"/>
  <c r="K181" i="103"/>
  <c r="H186" i="108"/>
  <c r="I183" i="105"/>
  <c r="I180" i="104"/>
  <c r="K179" i="108"/>
  <c r="K182" i="103"/>
  <c r="H182" i="108"/>
  <c r="J180" i="108"/>
  <c r="H185" i="104"/>
  <c r="I182" i="108"/>
  <c r="J182" i="108"/>
  <c r="H180" i="105"/>
  <c r="K185" i="104"/>
  <c r="K184" i="105"/>
  <c r="J183" i="104"/>
  <c r="J182" i="103"/>
  <c r="K180" i="104"/>
  <c r="K181" i="105"/>
  <c r="H179" i="104"/>
  <c r="H179" i="103"/>
  <c r="J185" i="103"/>
  <c r="I185" i="108"/>
  <c r="H179" i="105"/>
  <c r="K182" i="104"/>
  <c r="K182" i="105"/>
  <c r="H184" i="103"/>
  <c r="I180" i="108"/>
  <c r="H180" i="104"/>
  <c r="I185" i="103"/>
  <c r="I181" i="103"/>
  <c r="H184" i="105"/>
  <c r="K181" i="104"/>
  <c r="K180" i="105"/>
  <c r="K183" i="105"/>
  <c r="H183" i="108"/>
  <c r="H185" i="103"/>
  <c r="I183" i="103"/>
  <c r="K180" i="108"/>
  <c r="K180" i="107"/>
  <c r="K183" i="104"/>
  <c r="K180" i="103"/>
  <c r="K179" i="105"/>
  <c r="H179" i="108"/>
  <c r="H181" i="103"/>
  <c r="K64" i="106"/>
  <c r="K185" i="105"/>
  <c r="K186" i="103"/>
  <c r="J183" i="103"/>
  <c r="J179" i="108"/>
  <c r="I182" i="103"/>
  <c r="K179" i="104"/>
  <c r="I181" i="107"/>
  <c r="K181" i="108"/>
  <c r="H184" i="108"/>
  <c r="H182" i="103"/>
  <c r="J181" i="107"/>
  <c r="H184" i="104"/>
  <c r="J179" i="103"/>
  <c r="H186" i="103"/>
  <c r="I181" i="108"/>
  <c r="J183" i="105"/>
  <c r="K185" i="103"/>
  <c r="K184" i="103"/>
  <c r="I183" i="104"/>
  <c r="H180" i="108"/>
  <c r="H180" i="103"/>
  <c r="J180" i="105"/>
  <c r="K185" i="108"/>
  <c r="I179" i="103"/>
  <c r="I180" i="103"/>
  <c r="J181" i="108"/>
  <c r="I179" i="108"/>
  <c r="K184" i="108"/>
  <c r="K183" i="103"/>
  <c r="H185" i="108"/>
  <c r="J185" i="108"/>
  <c r="H183" i="103"/>
  <c r="H181" i="104"/>
  <c r="I64" i="107"/>
  <c r="J64" i="107"/>
  <c r="K64" i="104"/>
  <c r="J60" i="104"/>
  <c r="I181" i="35"/>
  <c r="K183" i="35"/>
  <c r="K179" i="35"/>
  <c r="K182" i="35"/>
  <c r="K185" i="35"/>
  <c r="K181" i="35"/>
  <c r="I82" i="103"/>
  <c r="I112" i="103" s="1"/>
  <c r="I83" i="103"/>
  <c r="I113" i="103" s="1"/>
  <c r="I84" i="103"/>
  <c r="I114" i="103" s="1"/>
  <c r="I85" i="103"/>
  <c r="I115" i="103" s="1"/>
  <c r="I86" i="103"/>
  <c r="I87" i="103"/>
  <c r="I117" i="103" s="1"/>
  <c r="I81" i="103"/>
  <c r="I82" i="108"/>
  <c r="I81" i="108"/>
  <c r="I83" i="108"/>
  <c r="I113" i="108" s="1"/>
  <c r="I84" i="108"/>
  <c r="I114" i="108" s="1"/>
  <c r="I85" i="108"/>
  <c r="I115" i="108" s="1"/>
  <c r="I86" i="108"/>
  <c r="I116" i="108" s="1"/>
  <c r="I87" i="108"/>
  <c r="I117" i="108" s="1"/>
  <c r="I82" i="107"/>
  <c r="I112" i="107" s="1"/>
  <c r="I83" i="107"/>
  <c r="I113" i="107" s="1"/>
  <c r="I84" i="107"/>
  <c r="I114" i="107" s="1"/>
  <c r="I81" i="107"/>
  <c r="I111" i="107" s="1"/>
  <c r="I85" i="107"/>
  <c r="I115" i="107" s="1"/>
  <c r="I86" i="107"/>
  <c r="I87" i="107"/>
  <c r="I117" i="107" s="1"/>
  <c r="I82" i="106"/>
  <c r="I81" i="106"/>
  <c r="I83" i="106"/>
  <c r="I84" i="106"/>
  <c r="I85" i="106"/>
  <c r="I86" i="106"/>
  <c r="I87" i="106"/>
  <c r="I82" i="105"/>
  <c r="I112" i="105" s="1"/>
  <c r="I83" i="105"/>
  <c r="I113" i="105" s="1"/>
  <c r="I86" i="105"/>
  <c r="I116" i="105" s="1"/>
  <c r="I81" i="105"/>
  <c r="I84" i="105"/>
  <c r="I114" i="105" s="1"/>
  <c r="I85" i="105"/>
  <c r="I115" i="105" s="1"/>
  <c r="I87" i="105"/>
  <c r="I117" i="105" s="1"/>
  <c r="I81" i="104"/>
  <c r="I82" i="104"/>
  <c r="I112" i="104" s="1"/>
  <c r="I83" i="104"/>
  <c r="I113" i="104" s="1"/>
  <c r="I84" i="104"/>
  <c r="I114" i="104" s="1"/>
  <c r="I85" i="104"/>
  <c r="I115" i="104" s="1"/>
  <c r="I86" i="104"/>
  <c r="I116" i="104" s="1"/>
  <c r="I87" i="104"/>
  <c r="I117" i="104" s="1"/>
  <c r="K9" i="35"/>
  <c r="F10" i="101" s="1"/>
  <c r="F24" i="101" s="1"/>
  <c r="I9" i="35"/>
  <c r="D10" i="101" s="1"/>
  <c r="D24" i="101" s="1"/>
  <c r="J9" i="35"/>
  <c r="E10" i="101" s="1"/>
  <c r="E24" i="101" s="1"/>
  <c r="G124" i="107"/>
  <c r="M28" i="100"/>
  <c r="F17" i="117" s="1"/>
  <c r="G122" i="108"/>
  <c r="K185" i="113"/>
  <c r="H184" i="113"/>
  <c r="K183" i="113"/>
  <c r="H186" i="113"/>
  <c r="K182" i="113"/>
  <c r="J181" i="113"/>
  <c r="I181" i="113"/>
  <c r="J187" i="113"/>
  <c r="I187" i="113"/>
  <c r="H183" i="113"/>
  <c r="J183" i="113"/>
  <c r="I183" i="113"/>
  <c r="J182" i="113"/>
  <c r="I182" i="113"/>
  <c r="H181" i="113"/>
  <c r="H187" i="113"/>
  <c r="H185" i="113"/>
  <c r="K181" i="113"/>
  <c r="H182" i="113"/>
  <c r="K187" i="113"/>
  <c r="K184" i="113"/>
  <c r="I185" i="113"/>
  <c r="J185" i="113"/>
  <c r="J184" i="113"/>
  <c r="J186" i="113"/>
  <c r="K186" i="113"/>
  <c r="I184" i="113"/>
  <c r="I186" i="113"/>
  <c r="H184" i="114"/>
  <c r="H181" i="114"/>
  <c r="K187" i="114"/>
  <c r="I183" i="114"/>
  <c r="I187" i="114"/>
  <c r="H185" i="114"/>
  <c r="I181" i="114"/>
  <c r="H186" i="114"/>
  <c r="H182" i="114"/>
  <c r="J184" i="114"/>
  <c r="K186" i="114"/>
  <c r="K185" i="114"/>
  <c r="K184" i="114"/>
  <c r="J181" i="114"/>
  <c r="K183" i="114"/>
  <c r="I184" i="114"/>
  <c r="H183" i="114"/>
  <c r="K182" i="114"/>
  <c r="H187" i="114"/>
  <c r="K181" i="114"/>
  <c r="I182" i="114"/>
  <c r="J182" i="114"/>
  <c r="I185" i="114"/>
  <c r="J183" i="114"/>
  <c r="J185" i="114"/>
  <c r="J187" i="114"/>
  <c r="J186" i="114"/>
  <c r="I186" i="114"/>
  <c r="H186" i="115"/>
  <c r="H181" i="115"/>
  <c r="H183" i="115"/>
  <c r="H182" i="115"/>
  <c r="I187" i="115"/>
  <c r="I185" i="115"/>
  <c r="H187" i="115"/>
  <c r="I181" i="115"/>
  <c r="K186" i="115"/>
  <c r="I183" i="115"/>
  <c r="K181" i="115"/>
  <c r="I182" i="115"/>
  <c r="K185" i="115"/>
  <c r="K184" i="115"/>
  <c r="H184" i="115"/>
  <c r="J187" i="115"/>
  <c r="K183" i="115"/>
  <c r="I184" i="115"/>
  <c r="J181" i="115"/>
  <c r="K182" i="115"/>
  <c r="J184" i="115"/>
  <c r="J183" i="115"/>
  <c r="H185" i="115"/>
  <c r="J182" i="115"/>
  <c r="K187" i="115"/>
  <c r="I186" i="115"/>
  <c r="J185" i="115"/>
  <c r="J186" i="115"/>
  <c r="H185" i="110"/>
  <c r="K183" i="110"/>
  <c r="H184" i="110"/>
  <c r="J181" i="110"/>
  <c r="K182" i="110"/>
  <c r="K184" i="110"/>
  <c r="J183" i="110"/>
  <c r="I181" i="110"/>
  <c r="H187" i="110"/>
  <c r="H186" i="110"/>
  <c r="I183" i="110"/>
  <c r="I184" i="110"/>
  <c r="H182" i="110"/>
  <c r="J184" i="110"/>
  <c r="K187" i="110"/>
  <c r="H183" i="110"/>
  <c r="I187" i="110"/>
  <c r="H181" i="110"/>
  <c r="K186" i="110"/>
  <c r="J187" i="110"/>
  <c r="K181" i="110"/>
  <c r="K185" i="110"/>
  <c r="I182" i="110"/>
  <c r="I185" i="110"/>
  <c r="I186" i="110"/>
  <c r="J185" i="110"/>
  <c r="J182" i="110"/>
  <c r="J186" i="110"/>
  <c r="H182" i="111"/>
  <c r="I181" i="111"/>
  <c r="K182" i="111"/>
  <c r="J182" i="111"/>
  <c r="J181" i="111"/>
  <c r="J185" i="111"/>
  <c r="J183" i="111"/>
  <c r="K184" i="111"/>
  <c r="K186" i="111"/>
  <c r="I182" i="111"/>
  <c r="H185" i="111"/>
  <c r="I183" i="111"/>
  <c r="H184" i="111"/>
  <c r="H181" i="111"/>
  <c r="H183" i="111"/>
  <c r="I184" i="111"/>
  <c r="H186" i="111"/>
  <c r="I185" i="111"/>
  <c r="J184" i="111"/>
  <c r="K183" i="111"/>
  <c r="K181" i="111"/>
  <c r="H187" i="111"/>
  <c r="K187" i="111"/>
  <c r="K185" i="111"/>
  <c r="I186" i="111"/>
  <c r="J186" i="111"/>
  <c r="J187" i="111"/>
  <c r="I187" i="111"/>
  <c r="G115" i="107"/>
  <c r="G126" i="107"/>
  <c r="H125" i="107"/>
  <c r="G123" i="107"/>
  <c r="G112" i="107"/>
  <c r="G117" i="105"/>
  <c r="J73" i="106"/>
  <c r="I122" i="106" s="1"/>
  <c r="H127" i="113"/>
  <c r="H117" i="113"/>
  <c r="H124" i="113"/>
  <c r="H123" i="113"/>
  <c r="H113" i="113"/>
  <c r="H116" i="113"/>
  <c r="H112" i="113"/>
  <c r="H126" i="113"/>
  <c r="H115" i="113"/>
  <c r="H122" i="113"/>
  <c r="H111" i="113"/>
  <c r="H128" i="113"/>
  <c r="H125" i="113"/>
  <c r="H114" i="113"/>
  <c r="H122" i="114"/>
  <c r="H114" i="114"/>
  <c r="H117" i="114"/>
  <c r="H115" i="114"/>
  <c r="H113" i="114"/>
  <c r="H116" i="114"/>
  <c r="H124" i="114"/>
  <c r="H111" i="114"/>
  <c r="H112" i="114"/>
  <c r="H127" i="114"/>
  <c r="H125" i="114"/>
  <c r="H123" i="114"/>
  <c r="H128" i="114"/>
  <c r="H126" i="114"/>
  <c r="H126" i="115"/>
  <c r="H111" i="115"/>
  <c r="H116" i="115"/>
  <c r="H123" i="115"/>
  <c r="H127" i="115"/>
  <c r="H113" i="115"/>
  <c r="H124" i="115"/>
  <c r="H112" i="115"/>
  <c r="H115" i="115"/>
  <c r="H114" i="115"/>
  <c r="H117" i="115"/>
  <c r="H122" i="115"/>
  <c r="H125" i="115"/>
  <c r="H128" i="115"/>
  <c r="H73" i="112"/>
  <c r="H125" i="105"/>
  <c r="H125" i="108"/>
  <c r="H69" i="105"/>
  <c r="G66" i="106"/>
  <c r="G123" i="103"/>
  <c r="G125" i="107"/>
  <c r="G127" i="107"/>
  <c r="G113" i="104"/>
  <c r="G111" i="108"/>
  <c r="H127" i="108"/>
  <c r="G124" i="108"/>
  <c r="H127" i="105"/>
  <c r="H114" i="105"/>
  <c r="H116" i="105"/>
  <c r="H128" i="105"/>
  <c r="G116" i="104"/>
  <c r="G127" i="105"/>
  <c r="G123" i="104"/>
  <c r="H115" i="105"/>
  <c r="G127" i="104"/>
  <c r="G128" i="104"/>
  <c r="H117" i="105"/>
  <c r="G124" i="104"/>
  <c r="H122" i="105"/>
  <c r="G122" i="104"/>
  <c r="H126" i="105"/>
  <c r="G111" i="105"/>
  <c r="G113" i="105"/>
  <c r="G112" i="104"/>
  <c r="G125" i="105"/>
  <c r="H113" i="110"/>
  <c r="H127" i="110"/>
  <c r="H111" i="110"/>
  <c r="H125" i="110"/>
  <c r="H123" i="110"/>
  <c r="H116" i="110"/>
  <c r="H114" i="110"/>
  <c r="H112" i="110"/>
  <c r="H124" i="110"/>
  <c r="H128" i="110"/>
  <c r="H126" i="110"/>
  <c r="H117" i="110"/>
  <c r="H115" i="110"/>
  <c r="H122" i="110"/>
  <c r="H116" i="111"/>
  <c r="H112" i="111"/>
  <c r="H128" i="111"/>
  <c r="H124" i="111"/>
  <c r="H122" i="111"/>
  <c r="H117" i="111"/>
  <c r="H115" i="111"/>
  <c r="H113" i="111"/>
  <c r="H114" i="111"/>
  <c r="H123" i="111"/>
  <c r="H111" i="111"/>
  <c r="H126" i="111"/>
  <c r="H127" i="111"/>
  <c r="H125" i="111"/>
  <c r="H112" i="105"/>
  <c r="H124" i="105"/>
  <c r="H123" i="105"/>
  <c r="G124" i="105"/>
  <c r="G122" i="105"/>
  <c r="G116" i="105"/>
  <c r="G123" i="105"/>
  <c r="G128" i="105"/>
  <c r="H111" i="105"/>
  <c r="G114" i="105"/>
  <c r="H113" i="105"/>
  <c r="H111" i="108"/>
  <c r="G123" i="108"/>
  <c r="G114" i="108"/>
  <c r="H113" i="108"/>
  <c r="G125" i="108"/>
  <c r="H115" i="108"/>
  <c r="H127" i="103"/>
  <c r="H117" i="108"/>
  <c r="H122" i="108"/>
  <c r="G116" i="108"/>
  <c r="H112" i="108"/>
  <c r="H124" i="108"/>
  <c r="G127" i="108"/>
  <c r="H114" i="108"/>
  <c r="H126" i="108"/>
  <c r="H116" i="108"/>
  <c r="H128" i="108"/>
  <c r="G117" i="108"/>
  <c r="G112" i="103"/>
  <c r="H123" i="108"/>
  <c r="G128" i="108"/>
  <c r="G126" i="103"/>
  <c r="G126" i="104"/>
  <c r="G115" i="105"/>
  <c r="G112" i="105"/>
  <c r="G115" i="108"/>
  <c r="G112" i="108"/>
  <c r="H113" i="104"/>
  <c r="H124" i="104"/>
  <c r="H114" i="104"/>
  <c r="H125" i="104"/>
  <c r="H122" i="104"/>
  <c r="G125" i="104"/>
  <c r="H112" i="104"/>
  <c r="G114" i="104"/>
  <c r="G111" i="104"/>
  <c r="H115" i="104"/>
  <c r="H127" i="104"/>
  <c r="H123" i="104"/>
  <c r="G115" i="104"/>
  <c r="H128" i="104"/>
  <c r="G117" i="104"/>
  <c r="H111" i="104"/>
  <c r="H116" i="104"/>
  <c r="H126" i="104"/>
  <c r="H117" i="104"/>
  <c r="G117" i="103"/>
  <c r="H126" i="103"/>
  <c r="G127" i="103"/>
  <c r="H112" i="103"/>
  <c r="G113" i="103"/>
  <c r="H117" i="103"/>
  <c r="G125" i="103"/>
  <c r="G116" i="103"/>
  <c r="H111" i="103"/>
  <c r="G114" i="103"/>
  <c r="H123" i="103"/>
  <c r="G128" i="103"/>
  <c r="H114" i="103"/>
  <c r="G111" i="103"/>
  <c r="H122" i="103"/>
  <c r="G122" i="103"/>
  <c r="H113" i="103"/>
  <c r="H128" i="103"/>
  <c r="H124" i="103"/>
  <c r="H125" i="103"/>
  <c r="G115" i="103"/>
  <c r="H115" i="103"/>
  <c r="H116" i="103"/>
  <c r="G124" i="103"/>
  <c r="G126" i="108"/>
  <c r="G111" i="107"/>
  <c r="H117" i="107"/>
  <c r="H115" i="107"/>
  <c r="G113" i="107"/>
  <c r="H111" i="107"/>
  <c r="H113" i="107"/>
  <c r="H127" i="107"/>
  <c r="G116" i="107"/>
  <c r="G114" i="107"/>
  <c r="H123" i="107"/>
  <c r="H116" i="107"/>
  <c r="G128" i="107"/>
  <c r="H114" i="107"/>
  <c r="G117" i="107"/>
  <c r="H122" i="107"/>
  <c r="H112" i="107"/>
  <c r="H128" i="107"/>
  <c r="H126" i="107"/>
  <c r="H124" i="107"/>
  <c r="H174" i="108"/>
  <c r="I153" i="105"/>
  <c r="G66" i="103"/>
  <c r="I69" i="108"/>
  <c r="H69" i="108"/>
  <c r="H69" i="106"/>
  <c r="I112" i="108"/>
  <c r="H69" i="107"/>
  <c r="G122" i="107"/>
  <c r="H174" i="107"/>
  <c r="J66" i="108"/>
  <c r="I153" i="108"/>
  <c r="G66" i="108"/>
  <c r="I66" i="108"/>
  <c r="G66" i="107"/>
  <c r="I66" i="107"/>
  <c r="I69" i="107"/>
  <c r="J66" i="107"/>
  <c r="I116" i="107"/>
  <c r="I153" i="106"/>
  <c r="H174" i="104"/>
  <c r="G66" i="104"/>
  <c r="I153" i="104"/>
  <c r="J66" i="105"/>
  <c r="G66" i="105"/>
  <c r="I66" i="105"/>
  <c r="I69" i="105"/>
  <c r="H69" i="104"/>
  <c r="I153" i="103"/>
  <c r="J153" i="103"/>
  <c r="H174" i="103"/>
  <c r="I116" i="103"/>
  <c r="H69" i="103"/>
  <c r="M27" i="100"/>
  <c r="F17" i="116" s="1"/>
  <c r="E87" i="117" l="1"/>
  <c r="F87" i="117"/>
  <c r="D87" i="117"/>
  <c r="G87" i="117"/>
  <c r="I87" i="117"/>
  <c r="H87" i="117"/>
  <c r="J48" i="117"/>
  <c r="J51" i="117" s="1"/>
  <c r="E69" i="117" s="1"/>
  <c r="H22" i="117"/>
  <c r="H25" i="117" s="1"/>
  <c r="H48" i="117"/>
  <c r="H51" i="117" s="1"/>
  <c r="J22" i="117"/>
  <c r="J25" i="117" s="1"/>
  <c r="H114" i="106"/>
  <c r="I128" i="106"/>
  <c r="J126" i="106"/>
  <c r="K122" i="106"/>
  <c r="K123" i="106"/>
  <c r="J124" i="106"/>
  <c r="I124" i="106"/>
  <c r="K124" i="106"/>
  <c r="K125" i="106"/>
  <c r="K128" i="106"/>
  <c r="K126" i="106"/>
  <c r="J125" i="106"/>
  <c r="I125" i="106"/>
  <c r="J122" i="106"/>
  <c r="J128" i="106"/>
  <c r="I126" i="106"/>
  <c r="J123" i="106"/>
  <c r="J183" i="106"/>
  <c r="I123" i="106"/>
  <c r="I184" i="103"/>
  <c r="I69" i="103"/>
  <c r="I66" i="103"/>
  <c r="J184" i="103"/>
  <c r="J184" i="107"/>
  <c r="I184" i="107"/>
  <c r="K66" i="106"/>
  <c r="K186" i="106" s="1"/>
  <c r="J180" i="104"/>
  <c r="J123" i="104"/>
  <c r="K66" i="104"/>
  <c r="G125" i="106"/>
  <c r="H182" i="106"/>
  <c r="J181" i="106"/>
  <c r="I181" i="106"/>
  <c r="H180" i="106"/>
  <c r="K182" i="106"/>
  <c r="L159" i="101" s="1"/>
  <c r="K185" i="106"/>
  <c r="L162" i="101" s="1"/>
  <c r="I182" i="106"/>
  <c r="J179" i="106"/>
  <c r="K179" i="106"/>
  <c r="L156" i="101" s="1"/>
  <c r="H184" i="106"/>
  <c r="K181" i="106"/>
  <c r="L158" i="101" s="1"/>
  <c r="K183" i="106"/>
  <c r="K184" i="106"/>
  <c r="H185" i="106"/>
  <c r="H181" i="106"/>
  <c r="J185" i="106"/>
  <c r="H186" i="106"/>
  <c r="K180" i="106"/>
  <c r="J182" i="106"/>
  <c r="H179" i="106"/>
  <c r="H183" i="106"/>
  <c r="I185" i="106"/>
  <c r="J180" i="106"/>
  <c r="J64" i="106"/>
  <c r="I64" i="106"/>
  <c r="I183" i="106"/>
  <c r="L160" i="101"/>
  <c r="I179" i="106"/>
  <c r="I180" i="106"/>
  <c r="J158" i="101"/>
  <c r="G91" i="116"/>
  <c r="I91" i="116"/>
  <c r="F91" i="116"/>
  <c r="D91" i="116"/>
  <c r="H91" i="116"/>
  <c r="E58" i="116"/>
  <c r="I58" i="116"/>
  <c r="G58" i="116"/>
  <c r="F58" i="116"/>
  <c r="D58" i="116"/>
  <c r="H58" i="116"/>
  <c r="E29" i="116"/>
  <c r="J42" i="116" s="1"/>
  <c r="G29" i="116"/>
  <c r="J44" i="116" s="1"/>
  <c r="I29" i="116"/>
  <c r="J46" i="116" s="1"/>
  <c r="D29" i="116"/>
  <c r="J41" i="116" s="1"/>
  <c r="F29" i="116"/>
  <c r="J43" i="116" s="1"/>
  <c r="H29" i="116"/>
  <c r="J45" i="116" s="1"/>
  <c r="K184" i="104"/>
  <c r="J186" i="103"/>
  <c r="I186" i="103"/>
  <c r="I186" i="108"/>
  <c r="I186" i="107"/>
  <c r="I186" i="105"/>
  <c r="I114" i="106"/>
  <c r="G113" i="106"/>
  <c r="H124" i="106"/>
  <c r="H128" i="106"/>
  <c r="F22" i="117"/>
  <c r="F25" i="117" s="1"/>
  <c r="F48" i="117"/>
  <c r="H188" i="111"/>
  <c r="H188" i="110"/>
  <c r="H188" i="114"/>
  <c r="K188" i="114"/>
  <c r="K188" i="113"/>
  <c r="J188" i="111"/>
  <c r="K188" i="110"/>
  <c r="I188" i="110"/>
  <c r="K188" i="115"/>
  <c r="I188" i="113"/>
  <c r="I188" i="111"/>
  <c r="J188" i="114"/>
  <c r="J188" i="113"/>
  <c r="J188" i="110"/>
  <c r="I188" i="115"/>
  <c r="J188" i="115"/>
  <c r="H188" i="113"/>
  <c r="K188" i="111"/>
  <c r="I188" i="114"/>
  <c r="H188" i="115"/>
  <c r="H136" i="107"/>
  <c r="H16" i="107" s="1"/>
  <c r="H136" i="105"/>
  <c r="H16" i="105" s="1"/>
  <c r="G117" i="106"/>
  <c r="I117" i="106"/>
  <c r="H187" i="112"/>
  <c r="Y161" i="101" s="1"/>
  <c r="P34" i="117" s="1"/>
  <c r="H184" i="112"/>
  <c r="Y158" i="101" s="1"/>
  <c r="P31" i="117" s="1"/>
  <c r="H186" i="112"/>
  <c r="Y160" i="101" s="1"/>
  <c r="P33" i="117" s="1"/>
  <c r="J182" i="112"/>
  <c r="AA156" i="101" s="1"/>
  <c r="I181" i="112"/>
  <c r="H181" i="112"/>
  <c r="J181" i="112"/>
  <c r="K187" i="112"/>
  <c r="AB161" i="101" s="1"/>
  <c r="H185" i="112"/>
  <c r="Y159" i="101" s="1"/>
  <c r="P32" i="117" s="1"/>
  <c r="K185" i="112"/>
  <c r="AB159" i="101" s="1"/>
  <c r="K183" i="112"/>
  <c r="AB157" i="101" s="1"/>
  <c r="K182" i="112"/>
  <c r="AB156" i="101" s="1"/>
  <c r="H182" i="112"/>
  <c r="Y156" i="101" s="1"/>
  <c r="P29" i="117" s="1"/>
  <c r="K181" i="112"/>
  <c r="H183" i="112"/>
  <c r="Y157" i="101" s="1"/>
  <c r="P30" i="117" s="1"/>
  <c r="I185" i="112"/>
  <c r="Z159" i="101" s="1"/>
  <c r="J183" i="112"/>
  <c r="AA157" i="101" s="1"/>
  <c r="J185" i="112"/>
  <c r="AA159" i="101" s="1"/>
  <c r="I183" i="112"/>
  <c r="Z157" i="101" s="1"/>
  <c r="I182" i="112"/>
  <c r="Z156" i="101" s="1"/>
  <c r="I184" i="112"/>
  <c r="Z158" i="101" s="1"/>
  <c r="J184" i="112"/>
  <c r="AA158" i="101" s="1"/>
  <c r="I187" i="112"/>
  <c r="Z161" i="101" s="1"/>
  <c r="J187" i="112"/>
  <c r="AA161" i="101" s="1"/>
  <c r="I186" i="112"/>
  <c r="Z160" i="101" s="1"/>
  <c r="J186" i="112"/>
  <c r="AA160" i="101" s="1"/>
  <c r="K184" i="112"/>
  <c r="AB158" i="101" s="1"/>
  <c r="K186" i="112"/>
  <c r="AB160" i="101" s="1"/>
  <c r="H136" i="115"/>
  <c r="H16" i="115" s="1"/>
  <c r="H134" i="114"/>
  <c r="H14" i="114" s="1"/>
  <c r="H137" i="113"/>
  <c r="H17" i="113" s="1"/>
  <c r="H136" i="113"/>
  <c r="H16" i="113" s="1"/>
  <c r="H138" i="113"/>
  <c r="H18" i="113" s="1"/>
  <c r="H137" i="115"/>
  <c r="H17" i="115" s="1"/>
  <c r="H139" i="115"/>
  <c r="H19" i="115" s="1"/>
  <c r="H134" i="115"/>
  <c r="H14" i="115" s="1"/>
  <c r="I116" i="106"/>
  <c r="H126" i="106"/>
  <c r="I113" i="106"/>
  <c r="H113" i="106"/>
  <c r="G111" i="106"/>
  <c r="I112" i="106"/>
  <c r="H125" i="106"/>
  <c r="H136" i="106" s="1"/>
  <c r="H16" i="106" s="1"/>
  <c r="H111" i="106"/>
  <c r="H112" i="106"/>
  <c r="H116" i="106"/>
  <c r="G128" i="106"/>
  <c r="H127" i="106"/>
  <c r="G116" i="106"/>
  <c r="G126" i="106"/>
  <c r="G122" i="106"/>
  <c r="H115" i="106"/>
  <c r="G115" i="106"/>
  <c r="G124" i="106"/>
  <c r="I115" i="106"/>
  <c r="H117" i="106"/>
  <c r="G123" i="106"/>
  <c r="H123" i="106"/>
  <c r="H136" i="108"/>
  <c r="H16" i="108" s="1"/>
  <c r="G127" i="106"/>
  <c r="I111" i="106"/>
  <c r="H122" i="106"/>
  <c r="G112" i="106"/>
  <c r="H118" i="114"/>
  <c r="H133" i="114"/>
  <c r="H133" i="113"/>
  <c r="H118" i="113"/>
  <c r="H134" i="113"/>
  <c r="H14" i="113" s="1"/>
  <c r="H135" i="115"/>
  <c r="H15" i="115" s="1"/>
  <c r="H138" i="114"/>
  <c r="H18" i="114" s="1"/>
  <c r="H129" i="113"/>
  <c r="H124" i="112"/>
  <c r="Y95" i="101" s="1"/>
  <c r="H112" i="112"/>
  <c r="Y82" i="101" s="1"/>
  <c r="H127" i="112"/>
  <c r="Y98" i="101" s="1"/>
  <c r="H117" i="112"/>
  <c r="Y87" i="101" s="1"/>
  <c r="H128" i="112"/>
  <c r="Y99" i="101" s="1"/>
  <c r="H125" i="112"/>
  <c r="Y96" i="101" s="1"/>
  <c r="H116" i="112"/>
  <c r="Y86" i="101" s="1"/>
  <c r="H111" i="112"/>
  <c r="Y81" i="101" s="1"/>
  <c r="H123" i="112"/>
  <c r="Y94" i="101" s="1"/>
  <c r="H113" i="112"/>
  <c r="Y83" i="101" s="1"/>
  <c r="H122" i="112"/>
  <c r="Y93" i="101" s="1"/>
  <c r="H115" i="112"/>
  <c r="Y85" i="101" s="1"/>
  <c r="H114" i="112"/>
  <c r="Y84" i="101" s="1"/>
  <c r="H126" i="112"/>
  <c r="Y97" i="101" s="1"/>
  <c r="H135" i="114"/>
  <c r="H15" i="114" s="1"/>
  <c r="H137" i="114"/>
  <c r="H17" i="114" s="1"/>
  <c r="H139" i="113"/>
  <c r="H19" i="113" s="1"/>
  <c r="H138" i="115"/>
  <c r="H18" i="115" s="1"/>
  <c r="H139" i="114"/>
  <c r="H19" i="114" s="1"/>
  <c r="H133" i="115"/>
  <c r="H118" i="115"/>
  <c r="H136" i="114"/>
  <c r="H16" i="114" s="1"/>
  <c r="H129" i="114"/>
  <c r="G114" i="106"/>
  <c r="H129" i="115"/>
  <c r="H135" i="113"/>
  <c r="H15" i="113" s="1"/>
  <c r="H139" i="105"/>
  <c r="H19" i="105" s="1"/>
  <c r="H129" i="105"/>
  <c r="H133" i="105"/>
  <c r="H13" i="105" s="1"/>
  <c r="H134" i="111"/>
  <c r="H14" i="111" s="1"/>
  <c r="H137" i="105"/>
  <c r="H17" i="105" s="1"/>
  <c r="H137" i="108"/>
  <c r="H17" i="108" s="1"/>
  <c r="H138" i="103"/>
  <c r="H18" i="103" s="1"/>
  <c r="H135" i="111"/>
  <c r="H15" i="111" s="1"/>
  <c r="H135" i="108"/>
  <c r="H15" i="108" s="1"/>
  <c r="H138" i="105"/>
  <c r="H18" i="105" s="1"/>
  <c r="H137" i="103"/>
  <c r="H17" i="103" s="1"/>
  <c r="H138" i="108"/>
  <c r="H18" i="108" s="1"/>
  <c r="H118" i="108"/>
  <c r="H134" i="108"/>
  <c r="H14" i="108" s="1"/>
  <c r="G118" i="108"/>
  <c r="G129" i="103"/>
  <c r="G129" i="105"/>
  <c r="H137" i="107"/>
  <c r="H17" i="107" s="1"/>
  <c r="H139" i="108"/>
  <c r="H19" i="108" s="1"/>
  <c r="H129" i="108"/>
  <c r="H118" i="105"/>
  <c r="H135" i="105"/>
  <c r="H15" i="105" s="1"/>
  <c r="H138" i="111"/>
  <c r="H18" i="111" s="1"/>
  <c r="H139" i="111"/>
  <c r="H19" i="111" s="1"/>
  <c r="G118" i="104"/>
  <c r="H134" i="105"/>
  <c r="H14" i="105" s="1"/>
  <c r="G118" i="105"/>
  <c r="G129" i="104"/>
  <c r="H129" i="111"/>
  <c r="H134" i="110"/>
  <c r="H14" i="110" s="1"/>
  <c r="H133" i="111"/>
  <c r="H118" i="111"/>
  <c r="H136" i="110"/>
  <c r="H16" i="110" s="1"/>
  <c r="H138" i="110"/>
  <c r="H18" i="110" s="1"/>
  <c r="H136" i="111"/>
  <c r="H16" i="111" s="1"/>
  <c r="H137" i="111"/>
  <c r="H17" i="111" s="1"/>
  <c r="H129" i="110"/>
  <c r="H137" i="110"/>
  <c r="H17" i="110" s="1"/>
  <c r="H139" i="110"/>
  <c r="H19" i="110" s="1"/>
  <c r="H118" i="110"/>
  <c r="H133" i="110"/>
  <c r="H135" i="110"/>
  <c r="H15" i="110" s="1"/>
  <c r="H139" i="104"/>
  <c r="H19" i="104" s="1"/>
  <c r="H134" i="104"/>
  <c r="H14" i="104" s="1"/>
  <c r="G129" i="107"/>
  <c r="H133" i="108"/>
  <c r="H13" i="108" s="1"/>
  <c r="G129" i="108"/>
  <c r="H134" i="107"/>
  <c r="H14" i="107" s="1"/>
  <c r="G118" i="107"/>
  <c r="H138" i="107"/>
  <c r="H18" i="107" s="1"/>
  <c r="H135" i="103"/>
  <c r="H15" i="103" s="1"/>
  <c r="H129" i="103"/>
  <c r="H135" i="104"/>
  <c r="H15" i="104" s="1"/>
  <c r="G118" i="103"/>
  <c r="H129" i="107"/>
  <c r="H135" i="107"/>
  <c r="H15" i="107" s="1"/>
  <c r="H137" i="104"/>
  <c r="H17" i="104" s="1"/>
  <c r="H118" i="107"/>
  <c r="H133" i="107"/>
  <c r="H136" i="103"/>
  <c r="H16" i="103" s="1"/>
  <c r="H133" i="103"/>
  <c r="H13" i="103" s="1"/>
  <c r="H118" i="103"/>
  <c r="H139" i="107"/>
  <c r="H19" i="107" s="1"/>
  <c r="H138" i="104"/>
  <c r="H18" i="104" s="1"/>
  <c r="H129" i="104"/>
  <c r="H118" i="104"/>
  <c r="H133" i="104"/>
  <c r="H139" i="103"/>
  <c r="H19" i="103" s="1"/>
  <c r="H136" i="104"/>
  <c r="H16" i="104" s="1"/>
  <c r="H134" i="103"/>
  <c r="H14" i="103" s="1"/>
  <c r="J153" i="108"/>
  <c r="J186" i="108" s="1"/>
  <c r="J55" i="108"/>
  <c r="I111" i="108"/>
  <c r="I118" i="107"/>
  <c r="J55" i="107"/>
  <c r="J55" i="106"/>
  <c r="J153" i="107"/>
  <c r="J186" i="107" s="1"/>
  <c r="J153" i="106"/>
  <c r="J55" i="104"/>
  <c r="I111" i="104"/>
  <c r="K153" i="104"/>
  <c r="K186" i="104" s="1"/>
  <c r="J153" i="104"/>
  <c r="J55" i="105"/>
  <c r="I111" i="105"/>
  <c r="J153" i="105"/>
  <c r="J186" i="105" s="1"/>
  <c r="J55" i="103"/>
  <c r="I111" i="103"/>
  <c r="R31" i="117" l="1"/>
  <c r="AA170" i="101"/>
  <c r="S32" i="117"/>
  <c r="AB171" i="101"/>
  <c r="S29" i="117"/>
  <c r="AB168" i="101"/>
  <c r="Q31" i="117"/>
  <c r="Z170" i="101"/>
  <c r="R32" i="117"/>
  <c r="AA171" i="101"/>
  <c r="Q32" i="117"/>
  <c r="Z171" i="101"/>
  <c r="R29" i="117"/>
  <c r="AA168" i="101"/>
  <c r="S31" i="117"/>
  <c r="AB170" i="101"/>
  <c r="Q29" i="117"/>
  <c r="Z168" i="101"/>
  <c r="R34" i="117"/>
  <c r="AA173" i="101"/>
  <c r="Q34" i="117"/>
  <c r="Z173" i="101"/>
  <c r="Q30" i="117"/>
  <c r="Z169" i="101"/>
  <c r="Q33" i="117"/>
  <c r="Z172" i="101"/>
  <c r="S34" i="117"/>
  <c r="AB173" i="101"/>
  <c r="S30" i="117"/>
  <c r="AB169" i="101"/>
  <c r="S33" i="117"/>
  <c r="AB172" i="101"/>
  <c r="R30" i="117"/>
  <c r="AA169" i="101"/>
  <c r="R33" i="117"/>
  <c r="AA172" i="101"/>
  <c r="E22" i="117"/>
  <c r="E25" i="117" s="1"/>
  <c r="I184" i="106"/>
  <c r="I69" i="106"/>
  <c r="I66" i="106"/>
  <c r="I186" i="106" s="1"/>
  <c r="J184" i="106"/>
  <c r="J66" i="106"/>
  <c r="J186" i="106" s="1"/>
  <c r="H139" i="106"/>
  <c r="H19" i="106" s="1"/>
  <c r="D69" i="117"/>
  <c r="F69" i="117"/>
  <c r="G69" i="117"/>
  <c r="H69" i="117"/>
  <c r="D45" i="116"/>
  <c r="F45" i="116"/>
  <c r="E45" i="116"/>
  <c r="G45" i="116"/>
  <c r="H45" i="116"/>
  <c r="I45" i="116"/>
  <c r="D43" i="116"/>
  <c r="E43" i="116"/>
  <c r="F43" i="116"/>
  <c r="I43" i="116"/>
  <c r="G43" i="116"/>
  <c r="H43" i="116"/>
  <c r="F41" i="116"/>
  <c r="H41" i="116"/>
  <c r="I41" i="116"/>
  <c r="D41" i="116"/>
  <c r="G41" i="116"/>
  <c r="E41" i="116"/>
  <c r="I46" i="116"/>
  <c r="H10" i="116" s="1"/>
  <c r="E118" i="101" s="1"/>
  <c r="G46" i="116"/>
  <c r="D46" i="116"/>
  <c r="E46" i="116"/>
  <c r="H46" i="116"/>
  <c r="F46" i="116"/>
  <c r="E44" i="116"/>
  <c r="G44" i="116"/>
  <c r="H44" i="116"/>
  <c r="I44" i="116"/>
  <c r="G10" i="116" s="1"/>
  <c r="D118" i="101" s="1"/>
  <c r="F44" i="116"/>
  <c r="D44" i="116"/>
  <c r="E42" i="116"/>
  <c r="H42" i="116"/>
  <c r="G42" i="116"/>
  <c r="I42" i="116"/>
  <c r="F10" i="116" s="1"/>
  <c r="C118" i="101" s="1"/>
  <c r="D42" i="116"/>
  <c r="F42" i="116"/>
  <c r="AD158" i="101"/>
  <c r="G22" i="117"/>
  <c r="G25" i="117" s="1"/>
  <c r="H39" i="117" s="1"/>
  <c r="I22" i="117"/>
  <c r="I25" i="117" s="1"/>
  <c r="G42" i="117"/>
  <c r="H42" i="117"/>
  <c r="F42" i="117"/>
  <c r="I184" i="104"/>
  <c r="I69" i="104"/>
  <c r="I66" i="104"/>
  <c r="I186" i="104" s="1"/>
  <c r="J184" i="104"/>
  <c r="J66" i="104"/>
  <c r="J186" i="104" s="1"/>
  <c r="F87" i="111"/>
  <c r="G87" i="111" s="1"/>
  <c r="F86" i="110"/>
  <c r="G86" i="110" s="1"/>
  <c r="F87" i="114"/>
  <c r="G87" i="114" s="1"/>
  <c r="F86" i="111"/>
  <c r="G86" i="111" s="1"/>
  <c r="F87" i="113"/>
  <c r="G87" i="113" s="1"/>
  <c r="F86" i="109"/>
  <c r="G86" i="109" s="1"/>
  <c r="F86" i="113"/>
  <c r="G86" i="113" s="1"/>
  <c r="F87" i="115"/>
  <c r="G87" i="115" s="1"/>
  <c r="F86" i="115"/>
  <c r="G86" i="115" s="1"/>
  <c r="F87" i="109"/>
  <c r="G87" i="109" s="1"/>
  <c r="F87" i="112"/>
  <c r="G87" i="112" s="1"/>
  <c r="F87" i="110"/>
  <c r="G87" i="110" s="1"/>
  <c r="F86" i="112"/>
  <c r="G86" i="112" s="1"/>
  <c r="F86" i="114"/>
  <c r="G86" i="114" s="1"/>
  <c r="F81" i="109"/>
  <c r="G81" i="109" s="1"/>
  <c r="F81" i="112"/>
  <c r="G81" i="112" s="1"/>
  <c r="F81" i="115"/>
  <c r="G81" i="115" s="1"/>
  <c r="F81" i="114"/>
  <c r="G81" i="114" s="1"/>
  <c r="F81" i="110"/>
  <c r="G81" i="110" s="1"/>
  <c r="F81" i="111"/>
  <c r="G81" i="111" s="1"/>
  <c r="F81" i="113"/>
  <c r="G81" i="113" s="1"/>
  <c r="F82" i="112"/>
  <c r="G82" i="112" s="1"/>
  <c r="F82" i="114"/>
  <c r="G82" i="114" s="1"/>
  <c r="F82" i="110"/>
  <c r="G82" i="110" s="1"/>
  <c r="F82" i="111"/>
  <c r="G82" i="111" s="1"/>
  <c r="F82" i="113"/>
  <c r="G82" i="113" s="1"/>
  <c r="F82" i="115"/>
  <c r="G82" i="115" s="1"/>
  <c r="F82" i="109"/>
  <c r="G82" i="109" s="1"/>
  <c r="AD159" i="101"/>
  <c r="F84" i="114"/>
  <c r="G84" i="114" s="1"/>
  <c r="F83" i="114"/>
  <c r="G83" i="114" s="1"/>
  <c r="F85" i="110"/>
  <c r="G85" i="110" s="1"/>
  <c r="F85" i="111"/>
  <c r="G85" i="111" s="1"/>
  <c r="F84" i="110"/>
  <c r="G84" i="110" s="1"/>
  <c r="F85" i="109"/>
  <c r="G85" i="109" s="1"/>
  <c r="F83" i="112"/>
  <c r="G83" i="112" s="1"/>
  <c r="F84" i="111"/>
  <c r="G84" i="111" s="1"/>
  <c r="F83" i="110"/>
  <c r="G83" i="110" s="1"/>
  <c r="F85" i="115"/>
  <c r="G85" i="115" s="1"/>
  <c r="F83" i="111"/>
  <c r="G83" i="111" s="1"/>
  <c r="F85" i="113"/>
  <c r="G85" i="113" s="1"/>
  <c r="F84" i="113"/>
  <c r="G84" i="113" s="1"/>
  <c r="F83" i="113"/>
  <c r="G83" i="113" s="1"/>
  <c r="F83" i="109"/>
  <c r="G83" i="109" s="1"/>
  <c r="F84" i="115"/>
  <c r="G84" i="115" s="1"/>
  <c r="F83" i="115"/>
  <c r="G83" i="115" s="1"/>
  <c r="F84" i="109"/>
  <c r="G84" i="109" s="1"/>
  <c r="F85" i="114"/>
  <c r="G85" i="114" s="1"/>
  <c r="F85" i="112"/>
  <c r="G85" i="112" s="1"/>
  <c r="F84" i="112"/>
  <c r="G84" i="112" s="1"/>
  <c r="H135" i="106"/>
  <c r="H15" i="106" s="1"/>
  <c r="J84" i="106"/>
  <c r="J114" i="106" s="1"/>
  <c r="J85" i="106"/>
  <c r="J115" i="106" s="1"/>
  <c r="J81" i="106"/>
  <c r="J82" i="106"/>
  <c r="J112" i="106" s="1"/>
  <c r="J86" i="106"/>
  <c r="J116" i="106" s="1"/>
  <c r="J83" i="106"/>
  <c r="J113" i="106" s="1"/>
  <c r="J87" i="106"/>
  <c r="J117" i="106" s="1"/>
  <c r="J82" i="107"/>
  <c r="J112" i="107" s="1"/>
  <c r="J86" i="107"/>
  <c r="J116" i="107" s="1"/>
  <c r="J83" i="107"/>
  <c r="J113" i="107" s="1"/>
  <c r="J87" i="107"/>
  <c r="J117" i="107" s="1"/>
  <c r="J84" i="107"/>
  <c r="J114" i="107" s="1"/>
  <c r="J81" i="107"/>
  <c r="J85" i="107"/>
  <c r="J115" i="107" s="1"/>
  <c r="J86" i="103"/>
  <c r="J116" i="103" s="1"/>
  <c r="J83" i="103"/>
  <c r="J113" i="103" s="1"/>
  <c r="J87" i="103"/>
  <c r="J117" i="103" s="1"/>
  <c r="J84" i="103"/>
  <c r="J114" i="103" s="1"/>
  <c r="J85" i="103"/>
  <c r="J115" i="103" s="1"/>
  <c r="J81" i="103"/>
  <c r="J82" i="103"/>
  <c r="J112" i="103" s="1"/>
  <c r="J84" i="108"/>
  <c r="J114" i="108" s="1"/>
  <c r="J85" i="108"/>
  <c r="J115" i="108" s="1"/>
  <c r="J82" i="108"/>
  <c r="J112" i="108" s="1"/>
  <c r="J86" i="108"/>
  <c r="J116" i="108" s="1"/>
  <c r="J83" i="108"/>
  <c r="J113" i="108" s="1"/>
  <c r="J87" i="108"/>
  <c r="J117" i="108" s="1"/>
  <c r="J81" i="108"/>
  <c r="J82" i="105"/>
  <c r="J112" i="105" s="1"/>
  <c r="J86" i="105"/>
  <c r="J116" i="105" s="1"/>
  <c r="J83" i="105"/>
  <c r="J113" i="105" s="1"/>
  <c r="J87" i="105"/>
  <c r="J117" i="105" s="1"/>
  <c r="J81" i="105"/>
  <c r="J84" i="105"/>
  <c r="J114" i="105" s="1"/>
  <c r="J85" i="105"/>
  <c r="J115" i="105" s="1"/>
  <c r="J85" i="104"/>
  <c r="J115" i="104" s="1"/>
  <c r="J86" i="104"/>
  <c r="J116" i="104" s="1"/>
  <c r="J82" i="104"/>
  <c r="J112" i="104" s="1"/>
  <c r="J83" i="104"/>
  <c r="J113" i="104" s="1"/>
  <c r="J87" i="104"/>
  <c r="J117" i="104" s="1"/>
  <c r="J81" i="104"/>
  <c r="J84" i="104"/>
  <c r="J114" i="104" s="1"/>
  <c r="AD161" i="101"/>
  <c r="AD156" i="101"/>
  <c r="AD157" i="101"/>
  <c r="I48" i="117"/>
  <c r="I51" i="117" s="1"/>
  <c r="D68" i="117" s="1"/>
  <c r="AD160" i="101"/>
  <c r="G48" i="117"/>
  <c r="G51" i="117" s="1"/>
  <c r="D66" i="117" s="1"/>
  <c r="E48" i="117"/>
  <c r="E51" i="117" s="1"/>
  <c r="F51" i="117"/>
  <c r="E65" i="117" s="1"/>
  <c r="AA155" i="101"/>
  <c r="AA167" i="101" s="1"/>
  <c r="J188" i="112"/>
  <c r="Y155" i="101"/>
  <c r="H188" i="112"/>
  <c r="Z155" i="101"/>
  <c r="I188" i="112"/>
  <c r="AB155" i="101"/>
  <c r="AB167" i="101" s="1"/>
  <c r="K188" i="112"/>
  <c r="G118" i="106"/>
  <c r="H137" i="106"/>
  <c r="H17" i="106" s="1"/>
  <c r="H138" i="112"/>
  <c r="H18" i="112" s="1"/>
  <c r="Y62" i="101" s="1"/>
  <c r="Y88" i="101"/>
  <c r="Y89" i="101" s="1"/>
  <c r="I118" i="106"/>
  <c r="H134" i="112"/>
  <c r="H14" i="112" s="1"/>
  <c r="Y58" i="101" s="1"/>
  <c r="H136" i="112"/>
  <c r="H16" i="112" s="1"/>
  <c r="H134" i="106"/>
  <c r="H14" i="106" s="1"/>
  <c r="H133" i="106"/>
  <c r="H13" i="106" s="1"/>
  <c r="H137" i="112"/>
  <c r="H17" i="112" s="1"/>
  <c r="Y61" i="101" s="1"/>
  <c r="H139" i="112"/>
  <c r="H19" i="112" s="1"/>
  <c r="Y63" i="101" s="1"/>
  <c r="H135" i="112"/>
  <c r="H15" i="112" s="1"/>
  <c r="G129" i="106"/>
  <c r="H129" i="106"/>
  <c r="H138" i="106"/>
  <c r="H18" i="106" s="1"/>
  <c r="H118" i="106"/>
  <c r="H13" i="114"/>
  <c r="H20" i="114" s="1"/>
  <c r="H140" i="114"/>
  <c r="H133" i="112"/>
  <c r="H129" i="112"/>
  <c r="H118" i="112"/>
  <c r="H140" i="113"/>
  <c r="H13" i="113"/>
  <c r="H20" i="113" s="1"/>
  <c r="H13" i="115"/>
  <c r="H20" i="115" s="1"/>
  <c r="H140" i="115"/>
  <c r="E67" i="117"/>
  <c r="F67" i="117"/>
  <c r="H67" i="117"/>
  <c r="D67" i="117"/>
  <c r="G67" i="117"/>
  <c r="H40" i="117"/>
  <c r="G40" i="117"/>
  <c r="F40" i="117"/>
  <c r="H38" i="117"/>
  <c r="F38" i="117"/>
  <c r="H37" i="117"/>
  <c r="F37" i="117"/>
  <c r="H20" i="108"/>
  <c r="H20" i="105"/>
  <c r="H140" i="108"/>
  <c r="I23" i="107"/>
  <c r="H140" i="105"/>
  <c r="Y100" i="101"/>
  <c r="Y101" i="101" s="1"/>
  <c r="H140" i="110"/>
  <c r="H13" i="110"/>
  <c r="H140" i="111"/>
  <c r="H13" i="111"/>
  <c r="H20" i="111" s="1"/>
  <c r="H20" i="103"/>
  <c r="H13" i="107"/>
  <c r="H20" i="107" s="1"/>
  <c r="H140" i="107"/>
  <c r="H140" i="103"/>
  <c r="H13" i="104"/>
  <c r="H20" i="104" s="1"/>
  <c r="H140" i="104"/>
  <c r="K153" i="108"/>
  <c r="K186" i="108" s="1"/>
  <c r="I118" i="108"/>
  <c r="I23" i="108" s="1"/>
  <c r="K186" i="107"/>
  <c r="I118" i="105"/>
  <c r="I23" i="105" s="1"/>
  <c r="I118" i="104"/>
  <c r="I23" i="104" s="1"/>
  <c r="K153" i="105"/>
  <c r="K186" i="105" s="1"/>
  <c r="I118" i="103"/>
  <c r="I23" i="103" s="1"/>
  <c r="H82" i="35"/>
  <c r="H102" i="35" s="1"/>
  <c r="H83" i="35"/>
  <c r="H103" i="35" s="1"/>
  <c r="H84" i="35"/>
  <c r="H104" i="35" s="1"/>
  <c r="H85" i="35"/>
  <c r="H105" i="35" s="1"/>
  <c r="H86" i="35"/>
  <c r="H106" i="35" s="1"/>
  <c r="H87" i="35"/>
  <c r="H107" i="35" s="1"/>
  <c r="H81" i="35"/>
  <c r="G81" i="35" s="1"/>
  <c r="Q28" i="117" l="1"/>
  <c r="Z167" i="101"/>
  <c r="Z175" i="101" s="1"/>
  <c r="AB175" i="101"/>
  <c r="AA175" i="101"/>
  <c r="AA163" i="101"/>
  <c r="R36" i="117" s="1"/>
  <c r="R44" i="117" s="1"/>
  <c r="R28" i="117"/>
  <c r="AB163" i="101"/>
  <c r="S36" i="117" s="1"/>
  <c r="S44" i="117" s="1"/>
  <c r="S28" i="117"/>
  <c r="Y163" i="101"/>
  <c r="P36" i="117" s="1"/>
  <c r="P28" i="117"/>
  <c r="R47" i="117"/>
  <c r="R46" i="117" s="1"/>
  <c r="D32" i="117" s="1"/>
  <c r="F39" i="117"/>
  <c r="H8" i="117"/>
  <c r="H9" i="117"/>
  <c r="G41" i="117"/>
  <c r="H65" i="117"/>
  <c r="F9" i="117" s="1"/>
  <c r="D65" i="117"/>
  <c r="F66" i="117"/>
  <c r="H41" i="117"/>
  <c r="F41" i="117"/>
  <c r="G66" i="117"/>
  <c r="H66" i="117"/>
  <c r="E66" i="117"/>
  <c r="G104" i="112"/>
  <c r="G125" i="112" s="1"/>
  <c r="I114" i="112"/>
  <c r="G114" i="112"/>
  <c r="G103" i="110"/>
  <c r="G124" i="110" s="1"/>
  <c r="I113" i="110"/>
  <c r="G113" i="110"/>
  <c r="G102" i="109"/>
  <c r="G123" i="109" s="1"/>
  <c r="G112" i="109"/>
  <c r="I112" i="109"/>
  <c r="G101" i="115"/>
  <c r="G122" i="115" s="1"/>
  <c r="H55" i="115"/>
  <c r="G111" i="115"/>
  <c r="G116" i="109"/>
  <c r="G106" i="109"/>
  <c r="G127" i="109" s="1"/>
  <c r="I116" i="109"/>
  <c r="F94" i="110"/>
  <c r="G94" i="110" s="1"/>
  <c r="F95" i="112"/>
  <c r="G95" i="112" s="1"/>
  <c r="F94" i="103"/>
  <c r="G94" i="103" s="1"/>
  <c r="F94" i="115"/>
  <c r="G94" i="115" s="1"/>
  <c r="F95" i="104"/>
  <c r="G95" i="104" s="1"/>
  <c r="F95" i="108"/>
  <c r="G95" i="108" s="1"/>
  <c r="F95" i="114"/>
  <c r="G95" i="114" s="1"/>
  <c r="F94" i="104"/>
  <c r="G94" i="104" s="1"/>
  <c r="F94" i="105"/>
  <c r="G94" i="105" s="1"/>
  <c r="F93" i="110"/>
  <c r="G93" i="110" s="1"/>
  <c r="F93" i="104"/>
  <c r="G93" i="104" s="1"/>
  <c r="F93" i="103"/>
  <c r="G93" i="103" s="1"/>
  <c r="F95" i="113"/>
  <c r="G95" i="113" s="1"/>
  <c r="F93" i="115"/>
  <c r="G93" i="115" s="1"/>
  <c r="F95" i="106"/>
  <c r="G95" i="106" s="1"/>
  <c r="F94" i="108"/>
  <c r="G94" i="108" s="1"/>
  <c r="F93" i="112"/>
  <c r="G93" i="112" s="1"/>
  <c r="F94" i="114"/>
  <c r="G94" i="114" s="1"/>
  <c r="F94" i="106"/>
  <c r="G94" i="106" s="1"/>
  <c r="F93" i="105"/>
  <c r="G93" i="105" s="1"/>
  <c r="F94" i="111"/>
  <c r="G94" i="111" s="1"/>
  <c r="F93" i="114"/>
  <c r="G93" i="114" s="1"/>
  <c r="F95" i="107"/>
  <c r="G95" i="107" s="1"/>
  <c r="F93" i="108"/>
  <c r="G93" i="108" s="1"/>
  <c r="F94" i="113"/>
  <c r="G94" i="113" s="1"/>
  <c r="F95" i="111"/>
  <c r="G95" i="111" s="1"/>
  <c r="F93" i="106"/>
  <c r="G93" i="106" s="1"/>
  <c r="F93" i="111"/>
  <c r="G93" i="111" s="1"/>
  <c r="F95" i="109"/>
  <c r="G95" i="109" s="1"/>
  <c r="F94" i="107"/>
  <c r="G94" i="107" s="1"/>
  <c r="F93" i="35"/>
  <c r="G93" i="35" s="1"/>
  <c r="F95" i="110"/>
  <c r="G95" i="110" s="1"/>
  <c r="F94" i="112"/>
  <c r="G94" i="112" s="1"/>
  <c r="F95" i="103"/>
  <c r="G95" i="103" s="1"/>
  <c r="F94" i="35"/>
  <c r="G94" i="35" s="1"/>
  <c r="K104" i="35" s="1"/>
  <c r="F95" i="115"/>
  <c r="G95" i="115" s="1"/>
  <c r="F94" i="109"/>
  <c r="G94" i="109" s="1"/>
  <c r="F93" i="107"/>
  <c r="G93" i="107" s="1"/>
  <c r="F95" i="35"/>
  <c r="G95" i="35" s="1"/>
  <c r="F93" i="113"/>
  <c r="G93" i="113" s="1"/>
  <c r="F93" i="109"/>
  <c r="G93" i="109" s="1"/>
  <c r="F95" i="105"/>
  <c r="G95" i="105" s="1"/>
  <c r="G105" i="112"/>
  <c r="G126" i="112" s="1"/>
  <c r="I115" i="112"/>
  <c r="G115" i="112"/>
  <c r="G104" i="111"/>
  <c r="G125" i="111" s="1"/>
  <c r="I114" i="111"/>
  <c r="G114" i="111"/>
  <c r="G102" i="115"/>
  <c r="G123" i="115" s="1"/>
  <c r="I112" i="115"/>
  <c r="G112" i="115"/>
  <c r="G101" i="112"/>
  <c r="H55" i="112"/>
  <c r="G111" i="112"/>
  <c r="G107" i="113"/>
  <c r="G128" i="113" s="1"/>
  <c r="I117" i="113"/>
  <c r="G117" i="113"/>
  <c r="G105" i="115"/>
  <c r="G126" i="115" s="1"/>
  <c r="I115" i="115"/>
  <c r="G115" i="115"/>
  <c r="G105" i="114"/>
  <c r="G126" i="114" s="1"/>
  <c r="I115" i="114"/>
  <c r="G115" i="114"/>
  <c r="G103" i="112"/>
  <c r="G124" i="112" s="1"/>
  <c r="I113" i="112"/>
  <c r="G113" i="112"/>
  <c r="G102" i="113"/>
  <c r="G123" i="113" s="1"/>
  <c r="I112" i="113"/>
  <c r="G112" i="113"/>
  <c r="G101" i="109"/>
  <c r="G111" i="109"/>
  <c r="H55" i="109"/>
  <c r="G106" i="111"/>
  <c r="G127" i="111" s="1"/>
  <c r="I116" i="111"/>
  <c r="G116" i="111"/>
  <c r="G106" i="113"/>
  <c r="G127" i="113" s="1"/>
  <c r="I116" i="113"/>
  <c r="G116" i="113"/>
  <c r="G114" i="109"/>
  <c r="G104" i="109"/>
  <c r="G125" i="109" s="1"/>
  <c r="I114" i="109"/>
  <c r="G115" i="109"/>
  <c r="G105" i="109"/>
  <c r="G126" i="109" s="1"/>
  <c r="I115" i="109"/>
  <c r="G102" i="111"/>
  <c r="G123" i="111" s="1"/>
  <c r="I112" i="111"/>
  <c r="G112" i="111"/>
  <c r="F96" i="115"/>
  <c r="F96" i="35"/>
  <c r="F96" i="114"/>
  <c r="F96" i="109"/>
  <c r="F96" i="113"/>
  <c r="F96" i="112"/>
  <c r="F96" i="111"/>
  <c r="F96" i="106"/>
  <c r="F96" i="107"/>
  <c r="F96" i="103"/>
  <c r="F96" i="105"/>
  <c r="F96" i="108"/>
  <c r="F96" i="110"/>
  <c r="F96" i="104"/>
  <c r="G107" i="114"/>
  <c r="G128" i="114" s="1"/>
  <c r="I117" i="114"/>
  <c r="G117" i="114"/>
  <c r="G103" i="115"/>
  <c r="G124" i="115" s="1"/>
  <c r="I113" i="115"/>
  <c r="G113" i="115"/>
  <c r="G104" i="110"/>
  <c r="G125" i="110" s="1"/>
  <c r="I114" i="110"/>
  <c r="G114" i="110"/>
  <c r="G102" i="110"/>
  <c r="G123" i="110" s="1"/>
  <c r="I112" i="110"/>
  <c r="G112" i="110"/>
  <c r="G106" i="114"/>
  <c r="G127" i="114" s="1"/>
  <c r="I116" i="114"/>
  <c r="G116" i="114"/>
  <c r="G106" i="110"/>
  <c r="G127" i="110" s="1"/>
  <c r="I116" i="110"/>
  <c r="G116" i="110"/>
  <c r="G101" i="114"/>
  <c r="H55" i="114"/>
  <c r="G111" i="114"/>
  <c r="G104" i="115"/>
  <c r="G125" i="115" s="1"/>
  <c r="I114" i="115"/>
  <c r="G114" i="115"/>
  <c r="G105" i="111"/>
  <c r="G126" i="111" s="1"/>
  <c r="I115" i="111"/>
  <c r="G115" i="111"/>
  <c r="G102" i="114"/>
  <c r="G123" i="114" s="1"/>
  <c r="I112" i="114"/>
  <c r="G112" i="114"/>
  <c r="G106" i="112"/>
  <c r="G127" i="112" s="1"/>
  <c r="I116" i="112"/>
  <c r="G116" i="112"/>
  <c r="G107" i="111"/>
  <c r="G128" i="111" s="1"/>
  <c r="I117" i="111"/>
  <c r="G117" i="111"/>
  <c r="F68" i="117"/>
  <c r="G113" i="109"/>
  <c r="G103" i="109"/>
  <c r="G124" i="109" s="1"/>
  <c r="I113" i="109"/>
  <c r="G105" i="110"/>
  <c r="G126" i="110" s="1"/>
  <c r="I115" i="110"/>
  <c r="G115" i="110"/>
  <c r="G102" i="112"/>
  <c r="G123" i="112" s="1"/>
  <c r="I112" i="112"/>
  <c r="G112" i="112"/>
  <c r="G107" i="110"/>
  <c r="G128" i="110" s="1"/>
  <c r="I117" i="110"/>
  <c r="G117" i="110"/>
  <c r="E68" i="117"/>
  <c r="G103" i="113"/>
  <c r="G124" i="113" s="1"/>
  <c r="I113" i="113"/>
  <c r="G113" i="113"/>
  <c r="G103" i="114"/>
  <c r="G124" i="114" s="1"/>
  <c r="I113" i="114"/>
  <c r="G113" i="114"/>
  <c r="F91" i="104"/>
  <c r="G91" i="104" s="1"/>
  <c r="F91" i="35"/>
  <c r="G91" i="35" s="1"/>
  <c r="F91" i="106"/>
  <c r="G91" i="106" s="1"/>
  <c r="F91" i="112"/>
  <c r="G91" i="112" s="1"/>
  <c r="F91" i="107"/>
  <c r="G91" i="107" s="1"/>
  <c r="F91" i="111"/>
  <c r="G91" i="111" s="1"/>
  <c r="F91" i="113"/>
  <c r="G91" i="113" s="1"/>
  <c r="F91" i="110"/>
  <c r="G91" i="110" s="1"/>
  <c r="F91" i="115"/>
  <c r="G91" i="115" s="1"/>
  <c r="F91" i="114"/>
  <c r="G91" i="114" s="1"/>
  <c r="F91" i="109"/>
  <c r="G91" i="109" s="1"/>
  <c r="F91" i="108"/>
  <c r="G91" i="108" s="1"/>
  <c r="F91" i="103"/>
  <c r="G91" i="103" s="1"/>
  <c r="F91" i="105"/>
  <c r="G91" i="105" s="1"/>
  <c r="G107" i="112"/>
  <c r="G128" i="112" s="1"/>
  <c r="I117" i="112"/>
  <c r="G117" i="112"/>
  <c r="H68" i="117"/>
  <c r="G104" i="113"/>
  <c r="G125" i="113" s="1"/>
  <c r="I114" i="113"/>
  <c r="G114" i="113"/>
  <c r="G104" i="114"/>
  <c r="G125" i="114" s="1"/>
  <c r="I114" i="114"/>
  <c r="G114" i="114"/>
  <c r="G101" i="113"/>
  <c r="H55" i="113"/>
  <c r="G111" i="113"/>
  <c r="G107" i="109"/>
  <c r="G128" i="109" s="1"/>
  <c r="G117" i="109"/>
  <c r="I117" i="109"/>
  <c r="G68" i="117"/>
  <c r="G105" i="113"/>
  <c r="G126" i="113" s="1"/>
  <c r="I115" i="113"/>
  <c r="G115" i="113"/>
  <c r="F92" i="108"/>
  <c r="G92" i="108" s="1"/>
  <c r="F92" i="106"/>
  <c r="G92" i="106" s="1"/>
  <c r="F92" i="107"/>
  <c r="G92" i="107" s="1"/>
  <c r="F92" i="112"/>
  <c r="G92" i="112" s="1"/>
  <c r="F92" i="105"/>
  <c r="G92" i="105" s="1"/>
  <c r="F92" i="111"/>
  <c r="G92" i="111" s="1"/>
  <c r="F92" i="113"/>
  <c r="G92" i="113" s="1"/>
  <c r="F92" i="110"/>
  <c r="G92" i="110" s="1"/>
  <c r="F92" i="115"/>
  <c r="G92" i="115" s="1"/>
  <c r="F92" i="35"/>
  <c r="G92" i="35" s="1"/>
  <c r="F92" i="114"/>
  <c r="G92" i="114" s="1"/>
  <c r="F92" i="109"/>
  <c r="G92" i="109" s="1"/>
  <c r="F92" i="103"/>
  <c r="G92" i="103" s="1"/>
  <c r="F92" i="104"/>
  <c r="G92" i="104" s="1"/>
  <c r="G101" i="111"/>
  <c r="H55" i="111"/>
  <c r="G111" i="111"/>
  <c r="G106" i="115"/>
  <c r="I116" i="115"/>
  <c r="G116" i="115"/>
  <c r="G103" i="111"/>
  <c r="G124" i="111" s="1"/>
  <c r="I113" i="111"/>
  <c r="G113" i="111"/>
  <c r="G101" i="110"/>
  <c r="H55" i="110"/>
  <c r="G111" i="110"/>
  <c r="G107" i="115"/>
  <c r="G128" i="115" s="1"/>
  <c r="I117" i="115"/>
  <c r="G117" i="115"/>
  <c r="Z163" i="101"/>
  <c r="AD155" i="101"/>
  <c r="H64" i="117"/>
  <c r="F64" i="117"/>
  <c r="G64" i="117"/>
  <c r="E64" i="117"/>
  <c r="D64" i="117"/>
  <c r="F65" i="117"/>
  <c r="G65" i="117"/>
  <c r="I23" i="106"/>
  <c r="Y36" i="101"/>
  <c r="Y59" i="101"/>
  <c r="Y37" i="101" s="1"/>
  <c r="Y60" i="101"/>
  <c r="Y38" i="101" s="1"/>
  <c r="O38" i="98" s="1"/>
  <c r="Y39" i="101"/>
  <c r="O39" i="98" s="1"/>
  <c r="P39" i="98" s="1"/>
  <c r="R39" i="98" s="1"/>
  <c r="Y40" i="101"/>
  <c r="H20" i="106"/>
  <c r="H140" i="106"/>
  <c r="H13" i="112"/>
  <c r="H20" i="112" s="1"/>
  <c r="H140" i="112"/>
  <c r="G9" i="117"/>
  <c r="G8" i="117"/>
  <c r="H20" i="110"/>
  <c r="K55" i="107"/>
  <c r="J111" i="107"/>
  <c r="K55" i="108"/>
  <c r="J111" i="108"/>
  <c r="K55" i="106"/>
  <c r="J111" i="106"/>
  <c r="K55" i="104"/>
  <c r="J111" i="104"/>
  <c r="K55" i="105"/>
  <c r="J111" i="105"/>
  <c r="K55" i="103"/>
  <c r="J111" i="103"/>
  <c r="G82" i="35"/>
  <c r="J105" i="35"/>
  <c r="G86" i="35"/>
  <c r="G85" i="35"/>
  <c r="G84" i="35"/>
  <c r="G83" i="35"/>
  <c r="I105" i="35"/>
  <c r="H101" i="35"/>
  <c r="G87" i="35"/>
  <c r="K105" i="35"/>
  <c r="Z117" i="101" l="1"/>
  <c r="Z117" i="119"/>
  <c r="AA116" i="101"/>
  <c r="AA116" i="119"/>
  <c r="AA35" i="119" s="1"/>
  <c r="AA132" i="119" s="1"/>
  <c r="AB117" i="101"/>
  <c r="AB117" i="119"/>
  <c r="AA117" i="101"/>
  <c r="AA117" i="119"/>
  <c r="AB116" i="101"/>
  <c r="AB116" i="119"/>
  <c r="AB35" i="119" s="1"/>
  <c r="AB132" i="119" s="1"/>
  <c r="P39" i="117"/>
  <c r="R45" i="117"/>
  <c r="R42" i="117"/>
  <c r="R41" i="117"/>
  <c r="S42" i="117"/>
  <c r="S45" i="117"/>
  <c r="S39" i="117"/>
  <c r="S47" i="117"/>
  <c r="S46" i="117" s="1"/>
  <c r="D34" i="117" s="1"/>
  <c r="D33" i="117" s="1"/>
  <c r="S43" i="117"/>
  <c r="R43" i="117"/>
  <c r="R39" i="117"/>
  <c r="S40" i="117"/>
  <c r="E34" i="117" s="1"/>
  <c r="E42" i="117" s="1"/>
  <c r="H7" i="117" s="1"/>
  <c r="S41" i="117"/>
  <c r="P44" i="117"/>
  <c r="P47" i="117"/>
  <c r="P46" i="117" s="1"/>
  <c r="P43" i="117"/>
  <c r="P41" i="117"/>
  <c r="P42" i="117"/>
  <c r="P40" i="117"/>
  <c r="P45" i="117"/>
  <c r="R40" i="117"/>
  <c r="E32" i="117" s="1"/>
  <c r="E40" i="117" s="1"/>
  <c r="G7" i="117" s="1"/>
  <c r="D40" i="117"/>
  <c r="G6" i="117" s="1"/>
  <c r="AA114" i="119" s="1"/>
  <c r="AA40" i="119" s="1"/>
  <c r="AA137" i="119" s="1"/>
  <c r="I40" i="117"/>
  <c r="G10" i="117" s="1"/>
  <c r="D42" i="117"/>
  <c r="H6" i="117" s="1"/>
  <c r="AB114" i="119" s="1"/>
  <c r="AB40" i="119" s="1"/>
  <c r="AB137" i="119" s="1"/>
  <c r="AD163" i="101"/>
  <c r="Q36" i="117"/>
  <c r="I104" i="35"/>
  <c r="J104" i="35"/>
  <c r="G118" i="110"/>
  <c r="Z82" i="101"/>
  <c r="J55" i="113"/>
  <c r="I111" i="113"/>
  <c r="I118" i="113" s="1"/>
  <c r="I101" i="110"/>
  <c r="I122" i="110" s="1"/>
  <c r="J101" i="110"/>
  <c r="J122" i="110" s="1"/>
  <c r="K101" i="110"/>
  <c r="K122" i="110" s="1"/>
  <c r="Z86" i="101"/>
  <c r="G96" i="114"/>
  <c r="F97" i="114"/>
  <c r="G97" i="114" s="1"/>
  <c r="J55" i="112"/>
  <c r="I111" i="112"/>
  <c r="J105" i="107"/>
  <c r="J137" i="107" s="1"/>
  <c r="I105" i="107"/>
  <c r="I137" i="107" s="1"/>
  <c r="K105" i="107"/>
  <c r="K103" i="104"/>
  <c r="J103" i="104"/>
  <c r="J135" i="104" s="1"/>
  <c r="I103" i="104"/>
  <c r="I135" i="104" s="1"/>
  <c r="K102" i="115"/>
  <c r="K123" i="115" s="1"/>
  <c r="I102" i="115"/>
  <c r="J102" i="115"/>
  <c r="J123" i="115" s="1"/>
  <c r="I101" i="113"/>
  <c r="J101" i="113"/>
  <c r="J122" i="113" s="1"/>
  <c r="K101" i="113"/>
  <c r="K122" i="113" s="1"/>
  <c r="G118" i="114"/>
  <c r="F97" i="104"/>
  <c r="G97" i="104" s="1"/>
  <c r="G96" i="104"/>
  <c r="F97" i="35"/>
  <c r="G97" i="35" s="1"/>
  <c r="G96" i="35"/>
  <c r="J105" i="103"/>
  <c r="J137" i="103" s="1"/>
  <c r="K105" i="103"/>
  <c r="I105" i="103"/>
  <c r="I137" i="103" s="1"/>
  <c r="J103" i="114"/>
  <c r="J124" i="114" s="1"/>
  <c r="I103" i="114"/>
  <c r="K103" i="114"/>
  <c r="K124" i="114" s="1"/>
  <c r="I103" i="110"/>
  <c r="J103" i="110"/>
  <c r="J124" i="110" s="1"/>
  <c r="K103" i="110"/>
  <c r="K124" i="110" s="1"/>
  <c r="J55" i="110"/>
  <c r="I111" i="110"/>
  <c r="I118" i="110" s="1"/>
  <c r="H69" i="115"/>
  <c r="G127" i="115"/>
  <c r="G129" i="115" s="1"/>
  <c r="I102" i="110"/>
  <c r="K102" i="110"/>
  <c r="K123" i="110" s="1"/>
  <c r="J102" i="110"/>
  <c r="J123" i="110" s="1"/>
  <c r="H69" i="113"/>
  <c r="G122" i="113"/>
  <c r="G129" i="113" s="1"/>
  <c r="I101" i="111"/>
  <c r="I122" i="111" s="1"/>
  <c r="K101" i="111"/>
  <c r="K122" i="111" s="1"/>
  <c r="J101" i="111"/>
  <c r="J122" i="111" s="1"/>
  <c r="G96" i="110"/>
  <c r="F97" i="110"/>
  <c r="G97" i="110" s="1"/>
  <c r="F97" i="115"/>
  <c r="G97" i="115" s="1"/>
  <c r="G96" i="115"/>
  <c r="H69" i="112"/>
  <c r="G122" i="112"/>
  <c r="G129" i="112" s="1"/>
  <c r="I104" i="112"/>
  <c r="J104" i="112"/>
  <c r="J125" i="112" s="1"/>
  <c r="K104" i="112"/>
  <c r="K125" i="112" s="1"/>
  <c r="J104" i="111"/>
  <c r="J125" i="111" s="1"/>
  <c r="K104" i="111"/>
  <c r="K125" i="111" s="1"/>
  <c r="I104" i="111"/>
  <c r="K104" i="105"/>
  <c r="J104" i="105"/>
  <c r="J136" i="105" s="1"/>
  <c r="I104" i="105"/>
  <c r="I136" i="105" s="1"/>
  <c r="G118" i="111"/>
  <c r="K102" i="113"/>
  <c r="K123" i="113" s="1"/>
  <c r="J102" i="113"/>
  <c r="J123" i="113" s="1"/>
  <c r="I102" i="113"/>
  <c r="I101" i="107"/>
  <c r="I133" i="107" s="1"/>
  <c r="K101" i="107"/>
  <c r="J101" i="107"/>
  <c r="J133" i="107" s="1"/>
  <c r="G96" i="108"/>
  <c r="F97" i="108"/>
  <c r="G97" i="108" s="1"/>
  <c r="Z85" i="101"/>
  <c r="K105" i="110"/>
  <c r="K126" i="110" s="1"/>
  <c r="I105" i="110"/>
  <c r="J105" i="110"/>
  <c r="J126" i="110" s="1"/>
  <c r="K103" i="105"/>
  <c r="J103" i="105"/>
  <c r="J135" i="105" s="1"/>
  <c r="I103" i="105"/>
  <c r="I135" i="105" s="1"/>
  <c r="I104" i="104"/>
  <c r="I136" i="104" s="1"/>
  <c r="J104" i="104"/>
  <c r="J136" i="104" s="1"/>
  <c r="K104" i="104"/>
  <c r="H69" i="110"/>
  <c r="G122" i="110"/>
  <c r="G129" i="110" s="1"/>
  <c r="K102" i="111"/>
  <c r="K123" i="111" s="1"/>
  <c r="J102" i="111"/>
  <c r="J123" i="111" s="1"/>
  <c r="I102" i="111"/>
  <c r="Z87" i="101"/>
  <c r="I101" i="112"/>
  <c r="I122" i="112" s="1"/>
  <c r="J101" i="112"/>
  <c r="J122" i="112" s="1"/>
  <c r="K101" i="112"/>
  <c r="K122" i="112" s="1"/>
  <c r="J55" i="114"/>
  <c r="I111" i="114"/>
  <c r="I118" i="114" s="1"/>
  <c r="F97" i="105"/>
  <c r="G97" i="105" s="1"/>
  <c r="G96" i="105"/>
  <c r="I104" i="106"/>
  <c r="I136" i="106" s="1"/>
  <c r="J104" i="106"/>
  <c r="J136" i="106" s="1"/>
  <c r="K104" i="106"/>
  <c r="K105" i="114"/>
  <c r="K126" i="114" s="1"/>
  <c r="J105" i="114"/>
  <c r="J126" i="114" s="1"/>
  <c r="I105" i="114"/>
  <c r="G118" i="115"/>
  <c r="J55" i="111"/>
  <c r="I111" i="111"/>
  <c r="I118" i="111" s="1"/>
  <c r="K102" i="105"/>
  <c r="J102" i="105"/>
  <c r="J134" i="105" s="1"/>
  <c r="I102" i="105"/>
  <c r="I134" i="105" s="1"/>
  <c r="J101" i="106"/>
  <c r="I101" i="106"/>
  <c r="K101" i="106"/>
  <c r="F97" i="103"/>
  <c r="G97" i="103" s="1"/>
  <c r="G96" i="103"/>
  <c r="I111" i="109"/>
  <c r="I118" i="109" s="1"/>
  <c r="J55" i="109"/>
  <c r="Z83" i="101"/>
  <c r="I105" i="105"/>
  <c r="I137" i="105" s="1"/>
  <c r="J105" i="105"/>
  <c r="J137" i="105" s="1"/>
  <c r="K105" i="105"/>
  <c r="J104" i="107"/>
  <c r="J136" i="107" s="1"/>
  <c r="I104" i="107"/>
  <c r="I136" i="107" s="1"/>
  <c r="K104" i="107"/>
  <c r="K104" i="114"/>
  <c r="K125" i="114" s="1"/>
  <c r="J104" i="114"/>
  <c r="J125" i="114" s="1"/>
  <c r="I104" i="114"/>
  <c r="I105" i="108"/>
  <c r="I137" i="108" s="1"/>
  <c r="J105" i="108"/>
  <c r="J137" i="108" s="1"/>
  <c r="K105" i="108"/>
  <c r="I102" i="112"/>
  <c r="J102" i="112"/>
  <c r="J123" i="112" s="1"/>
  <c r="K102" i="112"/>
  <c r="K123" i="112" s="1"/>
  <c r="I101" i="105"/>
  <c r="J101" i="105"/>
  <c r="J133" i="105" s="1"/>
  <c r="K101" i="105"/>
  <c r="H69" i="114"/>
  <c r="G122" i="114"/>
  <c r="G129" i="114" s="1"/>
  <c r="F97" i="107"/>
  <c r="G97" i="107" s="1"/>
  <c r="G96" i="107"/>
  <c r="I103" i="109"/>
  <c r="I124" i="109" s="1"/>
  <c r="J103" i="109"/>
  <c r="J124" i="109" s="1"/>
  <c r="K103" i="109"/>
  <c r="K124" i="109" s="1"/>
  <c r="I105" i="109"/>
  <c r="I126" i="109" s="1"/>
  <c r="K105" i="109"/>
  <c r="K126" i="109" s="1"/>
  <c r="J105" i="109"/>
  <c r="J126" i="109" s="1"/>
  <c r="J103" i="112"/>
  <c r="J124" i="112" s="1"/>
  <c r="I103" i="112"/>
  <c r="K103" i="112"/>
  <c r="K124" i="112" s="1"/>
  <c r="K105" i="104"/>
  <c r="J105" i="104"/>
  <c r="J137" i="104" s="1"/>
  <c r="I105" i="104"/>
  <c r="I137" i="104" s="1"/>
  <c r="H69" i="111"/>
  <c r="G122" i="111"/>
  <c r="G129" i="111" s="1"/>
  <c r="K102" i="107"/>
  <c r="J102" i="107"/>
  <c r="J134" i="107" s="1"/>
  <c r="I102" i="107"/>
  <c r="I134" i="107" s="1"/>
  <c r="I101" i="103"/>
  <c r="I133" i="103" s="1"/>
  <c r="K101" i="103"/>
  <c r="J101" i="103"/>
  <c r="J133" i="103" s="1"/>
  <c r="J101" i="104"/>
  <c r="J133" i="104" s="1"/>
  <c r="I101" i="104"/>
  <c r="I133" i="104" s="1"/>
  <c r="K101" i="104"/>
  <c r="F97" i="106"/>
  <c r="G97" i="106" s="1"/>
  <c r="G96" i="106"/>
  <c r="G118" i="109"/>
  <c r="K103" i="113"/>
  <c r="K124" i="113" s="1"/>
  <c r="I103" i="113"/>
  <c r="J103" i="113"/>
  <c r="J124" i="113" s="1"/>
  <c r="J103" i="111"/>
  <c r="J124" i="111" s="1"/>
  <c r="K103" i="111"/>
  <c r="K124" i="111" s="1"/>
  <c r="I103" i="111"/>
  <c r="K104" i="108"/>
  <c r="J104" i="108"/>
  <c r="J136" i="108" s="1"/>
  <c r="I104" i="108"/>
  <c r="I136" i="108" s="1"/>
  <c r="K104" i="115"/>
  <c r="K125" i="115" s="1"/>
  <c r="J104" i="115"/>
  <c r="J125" i="115" s="1"/>
  <c r="I104" i="115"/>
  <c r="J55" i="115"/>
  <c r="I111" i="115"/>
  <c r="I118" i="115" s="1"/>
  <c r="K102" i="104"/>
  <c r="I102" i="104"/>
  <c r="I134" i="104" s="1"/>
  <c r="J102" i="104"/>
  <c r="J134" i="104" s="1"/>
  <c r="J102" i="106"/>
  <c r="J134" i="106" s="1"/>
  <c r="I102" i="106"/>
  <c r="I134" i="106" s="1"/>
  <c r="K102" i="106"/>
  <c r="K101" i="108"/>
  <c r="J101" i="108"/>
  <c r="J133" i="108" s="1"/>
  <c r="I101" i="108"/>
  <c r="I133" i="108" s="1"/>
  <c r="F97" i="111"/>
  <c r="G97" i="111" s="1"/>
  <c r="G96" i="111"/>
  <c r="G122" i="109"/>
  <c r="G129" i="109" s="1"/>
  <c r="H69" i="109"/>
  <c r="J103" i="106"/>
  <c r="J135" i="106" s="1"/>
  <c r="I103" i="106"/>
  <c r="I135" i="106" s="1"/>
  <c r="K103" i="106"/>
  <c r="I105" i="106"/>
  <c r="I137" i="106" s="1"/>
  <c r="K105" i="106"/>
  <c r="J105" i="106"/>
  <c r="J137" i="106" s="1"/>
  <c r="I104" i="103"/>
  <c r="I136" i="103" s="1"/>
  <c r="J104" i="103"/>
  <c r="J136" i="103" s="1"/>
  <c r="K104" i="103"/>
  <c r="J102" i="103"/>
  <c r="J134" i="103" s="1"/>
  <c r="I102" i="103"/>
  <c r="I134" i="103" s="1"/>
  <c r="K102" i="103"/>
  <c r="J102" i="108"/>
  <c r="J134" i="108" s="1"/>
  <c r="I102" i="108"/>
  <c r="I134" i="108" s="1"/>
  <c r="K102" i="108"/>
  <c r="G118" i="113"/>
  <c r="I101" i="109"/>
  <c r="I122" i="109" s="1"/>
  <c r="K101" i="109"/>
  <c r="K122" i="109" s="1"/>
  <c r="J101" i="109"/>
  <c r="J122" i="109" s="1"/>
  <c r="F97" i="112"/>
  <c r="G97" i="112" s="1"/>
  <c r="G96" i="112"/>
  <c r="J103" i="107"/>
  <c r="J135" i="107" s="1"/>
  <c r="I103" i="107"/>
  <c r="I135" i="107" s="1"/>
  <c r="K103" i="107"/>
  <c r="J105" i="111"/>
  <c r="J126" i="111" s="1"/>
  <c r="K105" i="111"/>
  <c r="K126" i="111" s="1"/>
  <c r="I105" i="111"/>
  <c r="J103" i="115"/>
  <c r="J124" i="115" s="1"/>
  <c r="I103" i="115"/>
  <c r="K103" i="115"/>
  <c r="K124" i="115" s="1"/>
  <c r="J105" i="112"/>
  <c r="J126" i="112" s="1"/>
  <c r="K105" i="112"/>
  <c r="K126" i="112" s="1"/>
  <c r="I105" i="112"/>
  <c r="I102" i="109"/>
  <c r="I123" i="109" s="1"/>
  <c r="K102" i="109"/>
  <c r="K123" i="109" s="1"/>
  <c r="J102" i="109"/>
  <c r="J123" i="109" s="1"/>
  <c r="I101" i="114"/>
  <c r="I122" i="114" s="1"/>
  <c r="J101" i="114"/>
  <c r="J122" i="114" s="1"/>
  <c r="K101" i="114"/>
  <c r="K122" i="114" s="1"/>
  <c r="G96" i="113"/>
  <c r="F97" i="113"/>
  <c r="G97" i="113" s="1"/>
  <c r="G118" i="112"/>
  <c r="J104" i="109"/>
  <c r="J125" i="109" s="1"/>
  <c r="I104" i="109"/>
  <c r="I125" i="109" s="1"/>
  <c r="K104" i="109"/>
  <c r="K125" i="109" s="1"/>
  <c r="K104" i="113"/>
  <c r="K125" i="113" s="1"/>
  <c r="J104" i="113"/>
  <c r="J125" i="113" s="1"/>
  <c r="I104" i="113"/>
  <c r="K105" i="113"/>
  <c r="K126" i="113" s="1"/>
  <c r="I105" i="113"/>
  <c r="J105" i="113"/>
  <c r="J126" i="113" s="1"/>
  <c r="K104" i="110"/>
  <c r="K125" i="110" s="1"/>
  <c r="I104" i="110"/>
  <c r="J104" i="110"/>
  <c r="J125" i="110" s="1"/>
  <c r="Z84" i="101"/>
  <c r="K102" i="114"/>
  <c r="K123" i="114" s="1"/>
  <c r="J102" i="114"/>
  <c r="J123" i="114" s="1"/>
  <c r="I102" i="114"/>
  <c r="I101" i="115"/>
  <c r="I122" i="115" s="1"/>
  <c r="K101" i="115"/>
  <c r="K122" i="115" s="1"/>
  <c r="J101" i="115"/>
  <c r="J122" i="115" s="1"/>
  <c r="F97" i="109"/>
  <c r="G97" i="109" s="1"/>
  <c r="G96" i="109"/>
  <c r="K105" i="115"/>
  <c r="K126" i="115" s="1"/>
  <c r="I105" i="115"/>
  <c r="J105" i="115"/>
  <c r="J126" i="115" s="1"/>
  <c r="J103" i="108"/>
  <c r="J135" i="108" s="1"/>
  <c r="K103" i="108"/>
  <c r="I103" i="108"/>
  <c r="I135" i="108" s="1"/>
  <c r="J103" i="103"/>
  <c r="J135" i="103" s="1"/>
  <c r="K103" i="103"/>
  <c r="I103" i="103"/>
  <c r="I135" i="103" s="1"/>
  <c r="G102" i="35"/>
  <c r="K85" i="107"/>
  <c r="K81" i="107"/>
  <c r="K82" i="107"/>
  <c r="K86" i="107"/>
  <c r="K83" i="107"/>
  <c r="K87" i="107"/>
  <c r="K84" i="107"/>
  <c r="K82" i="108"/>
  <c r="K86" i="108"/>
  <c r="K83" i="108"/>
  <c r="K87" i="108"/>
  <c r="K84" i="108"/>
  <c r="K81" i="108"/>
  <c r="K85" i="108"/>
  <c r="K85" i="103"/>
  <c r="K82" i="103"/>
  <c r="K86" i="103"/>
  <c r="K81" i="103"/>
  <c r="K84" i="103"/>
  <c r="K83" i="103"/>
  <c r="K87" i="103"/>
  <c r="K82" i="104"/>
  <c r="K85" i="104"/>
  <c r="K81" i="104"/>
  <c r="K86" i="104"/>
  <c r="K83" i="104"/>
  <c r="K87" i="104"/>
  <c r="K84" i="104"/>
  <c r="K86" i="105"/>
  <c r="K83" i="105"/>
  <c r="K87" i="105"/>
  <c r="K84" i="105"/>
  <c r="K81" i="105"/>
  <c r="K85" i="105"/>
  <c r="K82" i="105"/>
  <c r="K87" i="106"/>
  <c r="K84" i="106"/>
  <c r="K81" i="106"/>
  <c r="K85" i="106"/>
  <c r="K82" i="106"/>
  <c r="K86" i="106"/>
  <c r="K83" i="106"/>
  <c r="O37" i="98"/>
  <c r="P37" i="98" s="1"/>
  <c r="R37" i="98" s="1"/>
  <c r="Y134" i="101"/>
  <c r="O36" i="98"/>
  <c r="P36" i="98" s="1"/>
  <c r="R36" i="98" s="1"/>
  <c r="Y133" i="101"/>
  <c r="O40" i="98"/>
  <c r="P40" i="98" s="1"/>
  <c r="R40" i="98" s="1"/>
  <c r="Y57" i="101"/>
  <c r="Y64" i="101" s="1"/>
  <c r="I133" i="106"/>
  <c r="J118" i="106"/>
  <c r="J23" i="106" s="1"/>
  <c r="J133" i="106"/>
  <c r="J118" i="107"/>
  <c r="J23" i="107" s="1"/>
  <c r="J118" i="108"/>
  <c r="J23" i="108" s="1"/>
  <c r="J118" i="104"/>
  <c r="J23" i="104" s="1"/>
  <c r="J118" i="105"/>
  <c r="J23" i="105" s="1"/>
  <c r="J118" i="103"/>
  <c r="J23" i="103" s="1"/>
  <c r="G106" i="35"/>
  <c r="G103" i="35"/>
  <c r="G101" i="35"/>
  <c r="G105" i="35"/>
  <c r="M105" i="35" s="1"/>
  <c r="G107" i="35"/>
  <c r="G104" i="35"/>
  <c r="M104" i="35" s="1"/>
  <c r="P28" i="99"/>
  <c r="P29" i="99" s="1"/>
  <c r="P30" i="99" s="1"/>
  <c r="AB115" i="101" l="1"/>
  <c r="AB115" i="119"/>
  <c r="AB36" i="119" s="1"/>
  <c r="AB133" i="119" s="1"/>
  <c r="AA118" i="101"/>
  <c r="AA118" i="119"/>
  <c r="AA37" i="119" s="1"/>
  <c r="AA134" i="119" s="1"/>
  <c r="AA115" i="101"/>
  <c r="AA115" i="119"/>
  <c r="AA36" i="119" s="1"/>
  <c r="AA133" i="119" s="1"/>
  <c r="I34" i="117"/>
  <c r="I42" i="117" s="1"/>
  <c r="H10" i="117" s="1"/>
  <c r="AB114" i="101"/>
  <c r="AA114" i="101"/>
  <c r="J32" i="117"/>
  <c r="L32" i="117" s="1"/>
  <c r="J34" i="117"/>
  <c r="J42" i="117" s="1"/>
  <c r="E33" i="117"/>
  <c r="E41" i="117" s="1"/>
  <c r="D41" i="117"/>
  <c r="Q43" i="117"/>
  <c r="Q45" i="117"/>
  <c r="Q39" i="117"/>
  <c r="G30" i="117" s="1"/>
  <c r="Q47" i="117"/>
  <c r="Q46" i="117" s="1"/>
  <c r="D30" i="117" s="1"/>
  <c r="Q42" i="117"/>
  <c r="Q40" i="117"/>
  <c r="E30" i="117" s="1"/>
  <c r="Q41" i="117"/>
  <c r="Q44" i="117"/>
  <c r="J82" i="110"/>
  <c r="J81" i="110"/>
  <c r="J83" i="110"/>
  <c r="J113" i="110" s="1"/>
  <c r="J135" i="110" s="1"/>
  <c r="J84" i="110"/>
  <c r="J114" i="110" s="1"/>
  <c r="J136" i="110" s="1"/>
  <c r="J85" i="110"/>
  <c r="J115" i="110" s="1"/>
  <c r="J137" i="110" s="1"/>
  <c r="J86" i="110"/>
  <c r="J116" i="110" s="1"/>
  <c r="J87" i="110"/>
  <c r="J117" i="110" s="1"/>
  <c r="J82" i="113"/>
  <c r="J112" i="113" s="1"/>
  <c r="J134" i="113" s="1"/>
  <c r="J83" i="113"/>
  <c r="J113" i="113" s="1"/>
  <c r="J135" i="113" s="1"/>
  <c r="J84" i="113"/>
  <c r="J114" i="113" s="1"/>
  <c r="J136" i="113" s="1"/>
  <c r="J85" i="113"/>
  <c r="J115" i="113" s="1"/>
  <c r="J137" i="113" s="1"/>
  <c r="J86" i="113"/>
  <c r="J116" i="113" s="1"/>
  <c r="J87" i="113"/>
  <c r="J81" i="113"/>
  <c r="J81" i="112"/>
  <c r="J83" i="112"/>
  <c r="J113" i="112" s="1"/>
  <c r="J82" i="112"/>
  <c r="J112" i="112" s="1"/>
  <c r="J134" i="112" s="1"/>
  <c r="J84" i="112"/>
  <c r="J85" i="112"/>
  <c r="J115" i="112" s="1"/>
  <c r="J137" i="112" s="1"/>
  <c r="J86" i="112"/>
  <c r="J116" i="112" s="1"/>
  <c r="J87" i="112"/>
  <c r="J117" i="112" s="1"/>
  <c r="J82" i="115"/>
  <c r="J112" i="115" s="1"/>
  <c r="J134" i="115" s="1"/>
  <c r="J83" i="115"/>
  <c r="J113" i="115" s="1"/>
  <c r="J135" i="115" s="1"/>
  <c r="J84" i="115"/>
  <c r="J114" i="115" s="1"/>
  <c r="J136" i="115" s="1"/>
  <c r="J85" i="115"/>
  <c r="J115" i="115" s="1"/>
  <c r="J137" i="115" s="1"/>
  <c r="J86" i="115"/>
  <c r="J116" i="115" s="1"/>
  <c r="J87" i="115"/>
  <c r="J117" i="115" s="1"/>
  <c r="J81" i="115"/>
  <c r="J83" i="114"/>
  <c r="J113" i="114" s="1"/>
  <c r="J135" i="114" s="1"/>
  <c r="J82" i="114"/>
  <c r="J112" i="114" s="1"/>
  <c r="J134" i="114" s="1"/>
  <c r="J84" i="114"/>
  <c r="J114" i="114" s="1"/>
  <c r="J136" i="114" s="1"/>
  <c r="J85" i="114"/>
  <c r="J115" i="114" s="1"/>
  <c r="J137" i="114" s="1"/>
  <c r="J86" i="114"/>
  <c r="J116" i="114" s="1"/>
  <c r="J81" i="114"/>
  <c r="J87" i="114"/>
  <c r="J117" i="114" s="1"/>
  <c r="J82" i="111"/>
  <c r="J112" i="111" s="1"/>
  <c r="J134" i="111" s="1"/>
  <c r="J83" i="111"/>
  <c r="J84" i="111"/>
  <c r="J114" i="111" s="1"/>
  <c r="J136" i="111" s="1"/>
  <c r="J85" i="111"/>
  <c r="J115" i="111" s="1"/>
  <c r="J137" i="111" s="1"/>
  <c r="J86" i="111"/>
  <c r="J116" i="111" s="1"/>
  <c r="J87" i="111"/>
  <c r="J117" i="111" s="1"/>
  <c r="J81" i="111"/>
  <c r="J86" i="109"/>
  <c r="J116" i="109" s="1"/>
  <c r="J87" i="109"/>
  <c r="J117" i="109" s="1"/>
  <c r="J83" i="109"/>
  <c r="J113" i="109" s="1"/>
  <c r="J135" i="109" s="1"/>
  <c r="J84" i="109"/>
  <c r="J114" i="109" s="1"/>
  <c r="J136" i="109" s="1"/>
  <c r="J85" i="109"/>
  <c r="J115" i="109" s="1"/>
  <c r="J137" i="109" s="1"/>
  <c r="J82" i="109"/>
  <c r="J112" i="109" s="1"/>
  <c r="J134" i="109" s="1"/>
  <c r="J81" i="109"/>
  <c r="I123" i="112"/>
  <c r="I134" i="112" s="1"/>
  <c r="I125" i="112"/>
  <c r="I136" i="112" s="1"/>
  <c r="I123" i="115"/>
  <c r="I134" i="115" s="1"/>
  <c r="I126" i="112"/>
  <c r="I125" i="110"/>
  <c r="I136" i="110" s="1"/>
  <c r="I125" i="114"/>
  <c r="I136" i="114" s="1"/>
  <c r="I124" i="114"/>
  <c r="I135" i="114" s="1"/>
  <c r="I124" i="115"/>
  <c r="I123" i="111"/>
  <c r="I126" i="110"/>
  <c r="I137" i="110" s="1"/>
  <c r="I126" i="113"/>
  <c r="I137" i="113" s="1"/>
  <c r="I126" i="111"/>
  <c r="I137" i="111" s="1"/>
  <c r="I124" i="111"/>
  <c r="I135" i="111" s="1"/>
  <c r="I124" i="112"/>
  <c r="I135" i="112" s="1"/>
  <c r="I125" i="115"/>
  <c r="I136" i="115" s="1"/>
  <c r="I125" i="111"/>
  <c r="I136" i="111" s="1"/>
  <c r="I123" i="110"/>
  <c r="I125" i="113"/>
  <c r="I136" i="113" s="1"/>
  <c r="I124" i="110"/>
  <c r="I135" i="110" s="1"/>
  <c r="I122" i="113"/>
  <c r="Z93" i="101" s="1"/>
  <c r="I123" i="113"/>
  <c r="I134" i="113" s="1"/>
  <c r="I126" i="114"/>
  <c r="I137" i="114" s="1"/>
  <c r="I126" i="115"/>
  <c r="I137" i="115" s="1"/>
  <c r="I123" i="114"/>
  <c r="I134" i="114" s="1"/>
  <c r="I124" i="113"/>
  <c r="I135" i="113" s="1"/>
  <c r="I23" i="111"/>
  <c r="I133" i="110"/>
  <c r="I23" i="110"/>
  <c r="I133" i="109"/>
  <c r="I23" i="115"/>
  <c r="I133" i="111"/>
  <c r="I133" i="115"/>
  <c r="I133" i="114"/>
  <c r="AA93" i="101"/>
  <c r="M103" i="111"/>
  <c r="M124" i="111"/>
  <c r="M101" i="103"/>
  <c r="M122" i="103"/>
  <c r="K107" i="108"/>
  <c r="J107" i="108"/>
  <c r="J139" i="108" s="1"/>
  <c r="I107" i="108"/>
  <c r="I139" i="108" s="1"/>
  <c r="M103" i="110"/>
  <c r="M124" i="110"/>
  <c r="K107" i="104"/>
  <c r="J107" i="104"/>
  <c r="J139" i="104" s="1"/>
  <c r="I107" i="104"/>
  <c r="I139" i="104" s="1"/>
  <c r="M102" i="109"/>
  <c r="M105" i="109"/>
  <c r="M101" i="113"/>
  <c r="M122" i="113"/>
  <c r="Z81" i="101"/>
  <c r="Z88" i="101" s="1"/>
  <c r="Z89" i="101" s="1"/>
  <c r="I118" i="112"/>
  <c r="I23" i="112" s="1"/>
  <c r="I133" i="105"/>
  <c r="M104" i="113"/>
  <c r="M125" i="113"/>
  <c r="I134" i="109"/>
  <c r="I137" i="109"/>
  <c r="M102" i="105"/>
  <c r="M123" i="105"/>
  <c r="I23" i="114"/>
  <c r="M122" i="107"/>
  <c r="M101" i="107"/>
  <c r="M104" i="112"/>
  <c r="M125" i="112"/>
  <c r="M103" i="114"/>
  <c r="M124" i="114"/>
  <c r="J114" i="112"/>
  <c r="J136" i="112" s="1"/>
  <c r="I106" i="105"/>
  <c r="K106" i="105"/>
  <c r="K127" i="105" s="1"/>
  <c r="J106" i="105"/>
  <c r="J127" i="105" s="1"/>
  <c r="I136" i="109"/>
  <c r="I106" i="112"/>
  <c r="K106" i="112"/>
  <c r="K127" i="112" s="1"/>
  <c r="J106" i="112"/>
  <c r="J127" i="112" s="1"/>
  <c r="M104" i="103"/>
  <c r="M125" i="103"/>
  <c r="I107" i="111"/>
  <c r="K107" i="111"/>
  <c r="K128" i="111" s="1"/>
  <c r="J107" i="111"/>
  <c r="J128" i="111" s="1"/>
  <c r="AA95" i="101"/>
  <c r="M105" i="108"/>
  <c r="M126" i="108"/>
  <c r="J113" i="111"/>
  <c r="J135" i="111" s="1"/>
  <c r="M101" i="112"/>
  <c r="M122" i="112"/>
  <c r="J106" i="114"/>
  <c r="J127" i="114" s="1"/>
  <c r="I106" i="114"/>
  <c r="K106" i="114"/>
  <c r="K127" i="114" s="1"/>
  <c r="K106" i="108"/>
  <c r="K127" i="108" s="1"/>
  <c r="J106" i="108"/>
  <c r="I106" i="108"/>
  <c r="M103" i="107"/>
  <c r="M124" i="107"/>
  <c r="M105" i="105"/>
  <c r="M126" i="105"/>
  <c r="AA96" i="101"/>
  <c r="M105" i="112"/>
  <c r="M126" i="112"/>
  <c r="J107" i="112"/>
  <c r="J128" i="112" s="1"/>
  <c r="K107" i="112"/>
  <c r="K128" i="112" s="1"/>
  <c r="I107" i="112"/>
  <c r="I106" i="106"/>
  <c r="J106" i="106"/>
  <c r="J127" i="106" s="1"/>
  <c r="K106" i="106"/>
  <c r="K127" i="106" s="1"/>
  <c r="I135" i="109"/>
  <c r="M102" i="110"/>
  <c r="M123" i="110"/>
  <c r="M105" i="111"/>
  <c r="M126" i="111"/>
  <c r="M102" i="103"/>
  <c r="M123" i="103"/>
  <c r="M102" i="112"/>
  <c r="M123" i="112"/>
  <c r="K107" i="105"/>
  <c r="J107" i="105"/>
  <c r="J139" i="105" s="1"/>
  <c r="I107" i="105"/>
  <c r="I139" i="105" s="1"/>
  <c r="M103" i="108"/>
  <c r="M124" i="108"/>
  <c r="M104" i="115"/>
  <c r="M125" i="115"/>
  <c r="J107" i="106"/>
  <c r="J139" i="106" s="1"/>
  <c r="I107" i="106"/>
  <c r="I139" i="106" s="1"/>
  <c r="K107" i="106"/>
  <c r="J106" i="107"/>
  <c r="I106" i="107"/>
  <c r="K106" i="107"/>
  <c r="K127" i="107" s="1"/>
  <c r="I23" i="109"/>
  <c r="M103" i="105"/>
  <c r="M124" i="105"/>
  <c r="M102" i="113"/>
  <c r="M123" i="113"/>
  <c r="M105" i="103"/>
  <c r="M126" i="103"/>
  <c r="M102" i="115"/>
  <c r="M123" i="115"/>
  <c r="M101" i="110"/>
  <c r="M122" i="110"/>
  <c r="M105" i="113"/>
  <c r="M126" i="113"/>
  <c r="AA94" i="101"/>
  <c r="AA97" i="101"/>
  <c r="J106" i="111"/>
  <c r="J127" i="111" s="1"/>
  <c r="I106" i="111"/>
  <c r="K106" i="111"/>
  <c r="K127" i="111" s="1"/>
  <c r="M102" i="107"/>
  <c r="M123" i="107"/>
  <c r="J107" i="113"/>
  <c r="J128" i="113" s="1"/>
  <c r="K107" i="113"/>
  <c r="K128" i="113" s="1"/>
  <c r="I107" i="113"/>
  <c r="M103" i="115"/>
  <c r="M124" i="115"/>
  <c r="M101" i="109"/>
  <c r="M101" i="108"/>
  <c r="M122" i="108"/>
  <c r="M101" i="104"/>
  <c r="M122" i="104"/>
  <c r="I107" i="107"/>
  <c r="I139" i="107" s="1"/>
  <c r="K107" i="107"/>
  <c r="J107" i="107"/>
  <c r="J139" i="107" s="1"/>
  <c r="K106" i="103"/>
  <c r="K127" i="103" s="1"/>
  <c r="J106" i="103"/>
  <c r="J127" i="103" s="1"/>
  <c r="I106" i="103"/>
  <c r="J106" i="115"/>
  <c r="J127" i="115" s="1"/>
  <c r="I106" i="115"/>
  <c r="K106" i="115"/>
  <c r="K127" i="115" s="1"/>
  <c r="M104" i="111"/>
  <c r="M125" i="111"/>
  <c r="M102" i="104"/>
  <c r="M123" i="104"/>
  <c r="M103" i="113"/>
  <c r="M124" i="113"/>
  <c r="M103" i="109"/>
  <c r="I107" i="114"/>
  <c r="K107" i="114"/>
  <c r="K128" i="114" s="1"/>
  <c r="J107" i="114"/>
  <c r="J128" i="114" s="1"/>
  <c r="M105" i="115"/>
  <c r="M126" i="115"/>
  <c r="M104" i="110"/>
  <c r="M125" i="110"/>
  <c r="K106" i="113"/>
  <c r="K127" i="113" s="1"/>
  <c r="J106" i="113"/>
  <c r="J127" i="113" s="1"/>
  <c r="I106" i="113"/>
  <c r="M105" i="106"/>
  <c r="M126" i="106"/>
  <c r="M102" i="106"/>
  <c r="M123" i="106"/>
  <c r="M105" i="104"/>
  <c r="M126" i="104"/>
  <c r="J107" i="103"/>
  <c r="J139" i="103" s="1"/>
  <c r="I107" i="103"/>
  <c r="I139" i="103" s="1"/>
  <c r="K107" i="103"/>
  <c r="M105" i="114"/>
  <c r="M126" i="114"/>
  <c r="K107" i="115"/>
  <c r="K128" i="115" s="1"/>
  <c r="J107" i="115"/>
  <c r="J128" i="115" s="1"/>
  <c r="I107" i="115"/>
  <c r="M104" i="109"/>
  <c r="M102" i="114"/>
  <c r="M123" i="114"/>
  <c r="I133" i="112"/>
  <c r="J106" i="109"/>
  <c r="J127" i="109" s="1"/>
  <c r="K106" i="109"/>
  <c r="K127" i="109" s="1"/>
  <c r="I106" i="109"/>
  <c r="I127" i="109" s="1"/>
  <c r="M101" i="114"/>
  <c r="M122" i="114"/>
  <c r="M104" i="108"/>
  <c r="M125" i="108"/>
  <c r="M103" i="112"/>
  <c r="M124" i="112"/>
  <c r="M104" i="114"/>
  <c r="M125" i="114"/>
  <c r="M101" i="106"/>
  <c r="M122" i="106"/>
  <c r="M104" i="106"/>
  <c r="M125" i="106"/>
  <c r="M105" i="110"/>
  <c r="M126" i="110"/>
  <c r="I107" i="110"/>
  <c r="J107" i="110"/>
  <c r="J128" i="110" s="1"/>
  <c r="K107" i="110"/>
  <c r="K128" i="110" s="1"/>
  <c r="M103" i="104"/>
  <c r="M124" i="104"/>
  <c r="I23" i="113"/>
  <c r="M101" i="115"/>
  <c r="M122" i="115"/>
  <c r="M101" i="111"/>
  <c r="M122" i="111"/>
  <c r="M103" i="103"/>
  <c r="M124" i="103"/>
  <c r="M125" i="104"/>
  <c r="M104" i="104"/>
  <c r="K107" i="109"/>
  <c r="K128" i="109" s="1"/>
  <c r="J107" i="109"/>
  <c r="J128" i="109" s="1"/>
  <c r="I107" i="109"/>
  <c r="I128" i="109" s="1"/>
  <c r="M102" i="108"/>
  <c r="M123" i="108"/>
  <c r="M103" i="106"/>
  <c r="M124" i="106"/>
  <c r="M101" i="105"/>
  <c r="M122" i="105"/>
  <c r="M104" i="107"/>
  <c r="M125" i="107"/>
  <c r="M102" i="111"/>
  <c r="M123" i="111"/>
  <c r="M104" i="105"/>
  <c r="M125" i="105"/>
  <c r="I106" i="110"/>
  <c r="K106" i="110"/>
  <c r="K127" i="110" s="1"/>
  <c r="J106" i="110"/>
  <c r="J127" i="110" s="1"/>
  <c r="J112" i="110"/>
  <c r="J134" i="110" s="1"/>
  <c r="K106" i="104"/>
  <c r="K127" i="104" s="1"/>
  <c r="J106" i="104"/>
  <c r="I106" i="104"/>
  <c r="M105" i="107"/>
  <c r="M126" i="107"/>
  <c r="J117" i="113"/>
  <c r="Y35" i="101"/>
  <c r="O35" i="98" s="1"/>
  <c r="O41" i="98" s="1"/>
  <c r="K159" i="107"/>
  <c r="K113" i="107"/>
  <c r="K157" i="107"/>
  <c r="K111" i="107"/>
  <c r="K163" i="107"/>
  <c r="K117" i="107"/>
  <c r="K160" i="107"/>
  <c r="K114" i="107"/>
  <c r="K162" i="108"/>
  <c r="K116" i="108"/>
  <c r="K163" i="106"/>
  <c r="K117" i="106"/>
  <c r="K157" i="106"/>
  <c r="K111" i="106"/>
  <c r="K161" i="108"/>
  <c r="K115" i="108"/>
  <c r="K161" i="106"/>
  <c r="K115" i="106"/>
  <c r="K158" i="106"/>
  <c r="K112" i="106"/>
  <c r="K158" i="108"/>
  <c r="K112" i="108"/>
  <c r="K160" i="106"/>
  <c r="K114" i="106"/>
  <c r="K162" i="106"/>
  <c r="K116" i="106"/>
  <c r="K159" i="106"/>
  <c r="K113" i="106"/>
  <c r="K163" i="108"/>
  <c r="K117" i="108"/>
  <c r="K159" i="108"/>
  <c r="K113" i="108"/>
  <c r="K158" i="107"/>
  <c r="K112" i="107"/>
  <c r="K160" i="108"/>
  <c r="K114" i="108"/>
  <c r="K162" i="107"/>
  <c r="K116" i="107"/>
  <c r="K161" i="107"/>
  <c r="K115" i="107"/>
  <c r="K157" i="108"/>
  <c r="K111" i="108"/>
  <c r="K158" i="104"/>
  <c r="K112" i="104"/>
  <c r="K162" i="105"/>
  <c r="K116" i="105"/>
  <c r="K161" i="104"/>
  <c r="K115" i="104"/>
  <c r="K157" i="104"/>
  <c r="K111" i="104"/>
  <c r="K163" i="105"/>
  <c r="K117" i="105"/>
  <c r="K159" i="105"/>
  <c r="K113" i="105"/>
  <c r="K162" i="104"/>
  <c r="K116" i="104"/>
  <c r="K158" i="105"/>
  <c r="K112" i="105"/>
  <c r="K160" i="104"/>
  <c r="K114" i="104"/>
  <c r="K159" i="104"/>
  <c r="K113" i="104"/>
  <c r="K161" i="105"/>
  <c r="K115" i="105"/>
  <c r="K163" i="104"/>
  <c r="K117" i="104"/>
  <c r="K160" i="105"/>
  <c r="K114" i="105"/>
  <c r="K157" i="105"/>
  <c r="K111" i="105"/>
  <c r="K161" i="103"/>
  <c r="K115" i="103"/>
  <c r="K158" i="103"/>
  <c r="K112" i="103"/>
  <c r="K163" i="103"/>
  <c r="K117" i="103"/>
  <c r="K162" i="103"/>
  <c r="K116" i="103"/>
  <c r="K160" i="103"/>
  <c r="K114" i="103"/>
  <c r="K159" i="103"/>
  <c r="K113" i="103"/>
  <c r="K157" i="103"/>
  <c r="K111" i="103"/>
  <c r="O28" i="99"/>
  <c r="O29" i="99" s="1"/>
  <c r="O30" i="99" s="1"/>
  <c r="H11" i="117" l="1"/>
  <c r="AB119" i="119" s="1"/>
  <c r="AB39" i="119" s="1"/>
  <c r="AB136" i="119" s="1"/>
  <c r="AB140" i="119" s="1"/>
  <c r="AB118" i="101"/>
  <c r="AB118" i="119"/>
  <c r="AB37" i="119" s="1"/>
  <c r="AB134" i="119" s="1"/>
  <c r="I33" i="117"/>
  <c r="I41" i="117" s="1"/>
  <c r="J40" i="117"/>
  <c r="G11" i="117" s="1"/>
  <c r="J33" i="117"/>
  <c r="J41" i="117" s="1"/>
  <c r="H5" i="117"/>
  <c r="AB120" i="119" s="1"/>
  <c r="L34" i="117"/>
  <c r="D29" i="117"/>
  <c r="J30" i="117"/>
  <c r="L30" i="117" s="1"/>
  <c r="D31" i="117"/>
  <c r="D38" i="117"/>
  <c r="F6" i="117" s="1"/>
  <c r="Z114" i="119" s="1"/>
  <c r="Z40" i="119" s="1"/>
  <c r="G29" i="117"/>
  <c r="G37" i="117" s="1"/>
  <c r="G31" i="117"/>
  <c r="G39" i="117" s="1"/>
  <c r="G38" i="117"/>
  <c r="F8" i="117" s="1"/>
  <c r="I29" i="117"/>
  <c r="I37" i="117" s="1"/>
  <c r="I31" i="117"/>
  <c r="I39" i="117" s="1"/>
  <c r="I38" i="117"/>
  <c r="F10" i="117" s="1"/>
  <c r="E29" i="117"/>
  <c r="E37" i="117" s="1"/>
  <c r="E31" i="117"/>
  <c r="E39" i="117" s="1"/>
  <c r="E38" i="117"/>
  <c r="F7" i="117" s="1"/>
  <c r="J129" i="111"/>
  <c r="J24" i="111" s="1"/>
  <c r="K129" i="109"/>
  <c r="K129" i="111"/>
  <c r="J129" i="115"/>
  <c r="J24" i="115" s="1"/>
  <c r="K129" i="114"/>
  <c r="J129" i="114"/>
  <c r="J129" i="113"/>
  <c r="J24" i="113" s="1"/>
  <c r="K129" i="113"/>
  <c r="Z97" i="101"/>
  <c r="I129" i="109"/>
  <c r="J129" i="112"/>
  <c r="J24" i="112" s="1"/>
  <c r="K129" i="112"/>
  <c r="J129" i="110"/>
  <c r="J24" i="110" s="1"/>
  <c r="J129" i="109"/>
  <c r="J24" i="109" s="1"/>
  <c r="K129" i="115"/>
  <c r="K129" i="110"/>
  <c r="I134" i="110"/>
  <c r="I127" i="111"/>
  <c r="I135" i="115"/>
  <c r="I137" i="112"/>
  <c r="I134" i="111"/>
  <c r="I127" i="115"/>
  <c r="I127" i="112"/>
  <c r="I138" i="112" s="1"/>
  <c r="Z94" i="101"/>
  <c r="I127" i="110"/>
  <c r="I128" i="112"/>
  <c r="I139" i="112" s="1"/>
  <c r="Z96" i="101"/>
  <c r="Z95" i="101"/>
  <c r="I128" i="111"/>
  <c r="I139" i="111" s="1"/>
  <c r="I128" i="115"/>
  <c r="I139" i="115" s="1"/>
  <c r="I128" i="114"/>
  <c r="I139" i="114" s="1"/>
  <c r="I128" i="113"/>
  <c r="I139" i="113" s="1"/>
  <c r="I127" i="114"/>
  <c r="I138" i="114" s="1"/>
  <c r="I133" i="113"/>
  <c r="I128" i="110"/>
  <c r="I127" i="113"/>
  <c r="I138" i="113" s="1"/>
  <c r="I127" i="103"/>
  <c r="I138" i="103" s="1"/>
  <c r="I140" i="103" s="1"/>
  <c r="J127" i="108"/>
  <c r="J129" i="108" s="1"/>
  <c r="J24" i="108" s="1"/>
  <c r="I127" i="108"/>
  <c r="I138" i="108" s="1"/>
  <c r="I140" i="108" s="1"/>
  <c r="I127" i="107"/>
  <c r="I138" i="107" s="1"/>
  <c r="I140" i="107" s="1"/>
  <c r="J127" i="107"/>
  <c r="J138" i="107" s="1"/>
  <c r="J140" i="107" s="1"/>
  <c r="I127" i="106"/>
  <c r="I138" i="106" s="1"/>
  <c r="I140" i="106" s="1"/>
  <c r="I127" i="105"/>
  <c r="I138" i="105" s="1"/>
  <c r="I140" i="105" s="1"/>
  <c r="I127" i="104"/>
  <c r="I138" i="104" s="1"/>
  <c r="I140" i="104" s="1"/>
  <c r="J127" i="104"/>
  <c r="J138" i="104" s="1"/>
  <c r="J140" i="104" s="1"/>
  <c r="E96" i="101"/>
  <c r="E97" i="101"/>
  <c r="K69" i="107"/>
  <c r="K69" i="105"/>
  <c r="J139" i="115"/>
  <c r="J69" i="112"/>
  <c r="J69" i="105"/>
  <c r="J69" i="106"/>
  <c r="J69" i="114"/>
  <c r="K69" i="108"/>
  <c r="J138" i="111"/>
  <c r="K69" i="112"/>
  <c r="P35" i="98"/>
  <c r="P41" i="98" s="1"/>
  <c r="R41" i="98" s="1"/>
  <c r="J69" i="111"/>
  <c r="K69" i="106"/>
  <c r="I129" i="103"/>
  <c r="I24" i="103" s="1"/>
  <c r="J139" i="114"/>
  <c r="K69" i="111"/>
  <c r="J69" i="113"/>
  <c r="K69" i="113"/>
  <c r="J69" i="115"/>
  <c r="J138" i="115"/>
  <c r="J69" i="108"/>
  <c r="J139" i="109"/>
  <c r="AA99" i="101"/>
  <c r="J139" i="110"/>
  <c r="M124" i="109"/>
  <c r="AB95" i="101"/>
  <c r="K69" i="110"/>
  <c r="K138" i="107"/>
  <c r="M106" i="107"/>
  <c r="AA83" i="101"/>
  <c r="AB94" i="101"/>
  <c r="M123" i="109"/>
  <c r="M106" i="104"/>
  <c r="M127" i="104"/>
  <c r="J69" i="110"/>
  <c r="J138" i="105"/>
  <c r="J140" i="105" s="1"/>
  <c r="J129" i="105"/>
  <c r="J24" i="105" s="1"/>
  <c r="AA84" i="101"/>
  <c r="K55" i="110"/>
  <c r="J111" i="110"/>
  <c r="K69" i="115"/>
  <c r="J69" i="104"/>
  <c r="AB93" i="101"/>
  <c r="M122" i="109"/>
  <c r="K69" i="104"/>
  <c r="M107" i="106"/>
  <c r="M128" i="106"/>
  <c r="K138" i="106"/>
  <c r="M106" i="106"/>
  <c r="J139" i="111"/>
  <c r="M106" i="105"/>
  <c r="M127" i="105"/>
  <c r="J69" i="107"/>
  <c r="J138" i="110"/>
  <c r="M107" i="115"/>
  <c r="M128" i="115"/>
  <c r="K55" i="115"/>
  <c r="J111" i="115"/>
  <c r="J69" i="103"/>
  <c r="J111" i="109"/>
  <c r="K55" i="109"/>
  <c r="J138" i="106"/>
  <c r="J140" i="106" s="1"/>
  <c r="J129" i="106"/>
  <c r="J24" i="106" s="1"/>
  <c r="M107" i="111"/>
  <c r="M128" i="111"/>
  <c r="AA86" i="101"/>
  <c r="J138" i="112"/>
  <c r="M107" i="104"/>
  <c r="M128" i="104"/>
  <c r="M106" i="110"/>
  <c r="M127" i="110"/>
  <c r="K69" i="103"/>
  <c r="M127" i="103"/>
  <c r="M106" i="103"/>
  <c r="K55" i="112"/>
  <c r="J111" i="112"/>
  <c r="AA98" i="101"/>
  <c r="K69" i="114"/>
  <c r="K55" i="113"/>
  <c r="J111" i="113"/>
  <c r="J69" i="109"/>
  <c r="M127" i="111"/>
  <c r="M106" i="111"/>
  <c r="J129" i="107"/>
  <c r="J24" i="107" s="1"/>
  <c r="M106" i="109"/>
  <c r="M107" i="113"/>
  <c r="M128" i="113"/>
  <c r="M107" i="112"/>
  <c r="M128" i="112"/>
  <c r="M106" i="108"/>
  <c r="M127" i="108"/>
  <c r="AA82" i="101"/>
  <c r="M107" i="109"/>
  <c r="J138" i="109"/>
  <c r="M107" i="103"/>
  <c r="M128" i="103"/>
  <c r="J138" i="113"/>
  <c r="M107" i="107"/>
  <c r="M128" i="107"/>
  <c r="J139" i="113"/>
  <c r="M106" i="112"/>
  <c r="AA85" i="101"/>
  <c r="M106" i="113"/>
  <c r="M107" i="114"/>
  <c r="M128" i="114"/>
  <c r="K55" i="114"/>
  <c r="J111" i="114"/>
  <c r="K55" i="111"/>
  <c r="J111" i="111"/>
  <c r="AA87" i="101"/>
  <c r="J139" i="112"/>
  <c r="M126" i="109"/>
  <c r="AB97" i="101"/>
  <c r="M128" i="108"/>
  <c r="M107" i="108"/>
  <c r="I139" i="109"/>
  <c r="M128" i="110"/>
  <c r="M107" i="110"/>
  <c r="M125" i="109"/>
  <c r="AB96" i="101"/>
  <c r="M127" i="115"/>
  <c r="M106" i="115"/>
  <c r="I129" i="107"/>
  <c r="I24" i="107" s="1"/>
  <c r="K69" i="109"/>
  <c r="M107" i="105"/>
  <c r="M128" i="105"/>
  <c r="M106" i="114"/>
  <c r="J135" i="112"/>
  <c r="Y41" i="101"/>
  <c r="Y42" i="101" s="1"/>
  <c r="Y29" i="101"/>
  <c r="Y31" i="101" s="1"/>
  <c r="Y65" i="101"/>
  <c r="K133" i="108"/>
  <c r="K118" i="108"/>
  <c r="M111" i="108"/>
  <c r="J162" i="108"/>
  <c r="K172" i="108"/>
  <c r="K136" i="107"/>
  <c r="M114" i="107"/>
  <c r="J161" i="107"/>
  <c r="K171" i="107"/>
  <c r="J159" i="108"/>
  <c r="K169" i="108"/>
  <c r="J158" i="106"/>
  <c r="K168" i="106"/>
  <c r="J160" i="107"/>
  <c r="K170" i="107"/>
  <c r="M117" i="108"/>
  <c r="K137" i="106"/>
  <c r="M115" i="106"/>
  <c r="K134" i="106"/>
  <c r="M112" i="106"/>
  <c r="J163" i="108"/>
  <c r="K173" i="108"/>
  <c r="J161" i="106"/>
  <c r="K171" i="106"/>
  <c r="K137" i="108"/>
  <c r="M115" i="108"/>
  <c r="M117" i="107"/>
  <c r="M116" i="108"/>
  <c r="J157" i="108"/>
  <c r="K167" i="108"/>
  <c r="M116" i="107"/>
  <c r="J162" i="107"/>
  <c r="K172" i="107"/>
  <c r="J159" i="106"/>
  <c r="K169" i="106"/>
  <c r="J161" i="108"/>
  <c r="K171" i="108"/>
  <c r="J163" i="107"/>
  <c r="K173" i="107"/>
  <c r="M112" i="108"/>
  <c r="K134" i="108"/>
  <c r="M115" i="107"/>
  <c r="K137" i="107"/>
  <c r="K135" i="106"/>
  <c r="M113" i="106"/>
  <c r="M114" i="108"/>
  <c r="K136" i="108"/>
  <c r="M116" i="106"/>
  <c r="K118" i="106"/>
  <c r="K133" i="106"/>
  <c r="M111" i="106"/>
  <c r="M111" i="107"/>
  <c r="K133" i="107"/>
  <c r="K118" i="107"/>
  <c r="K135" i="108"/>
  <c r="M113" i="108"/>
  <c r="J160" i="108"/>
  <c r="K170" i="108"/>
  <c r="J162" i="106"/>
  <c r="K172" i="106"/>
  <c r="J157" i="106"/>
  <c r="K167" i="106"/>
  <c r="J157" i="107"/>
  <c r="K167" i="107"/>
  <c r="J158" i="108"/>
  <c r="K168" i="108"/>
  <c r="K134" i="107"/>
  <c r="M112" i="107"/>
  <c r="M114" i="106"/>
  <c r="K136" i="106"/>
  <c r="M117" i="106"/>
  <c r="M113" i="107"/>
  <c r="K135" i="107"/>
  <c r="J158" i="107"/>
  <c r="K168" i="107"/>
  <c r="J160" i="106"/>
  <c r="K170" i="106"/>
  <c r="J163" i="106"/>
  <c r="K173" i="106"/>
  <c r="J159" i="107"/>
  <c r="K169" i="107"/>
  <c r="M111" i="104"/>
  <c r="K133" i="104"/>
  <c r="K118" i="104"/>
  <c r="M117" i="105"/>
  <c r="M113" i="104"/>
  <c r="K135" i="104"/>
  <c r="J157" i="104"/>
  <c r="K167" i="104"/>
  <c r="M112" i="105"/>
  <c r="K134" i="105"/>
  <c r="J158" i="105"/>
  <c r="K168" i="105"/>
  <c r="J161" i="104"/>
  <c r="K171" i="104"/>
  <c r="J161" i="105"/>
  <c r="K171" i="105"/>
  <c r="K137" i="105"/>
  <c r="M115" i="105"/>
  <c r="J163" i="105"/>
  <c r="K173" i="105"/>
  <c r="J159" i="104"/>
  <c r="K169" i="104"/>
  <c r="K133" i="105"/>
  <c r="K118" i="105"/>
  <c r="M111" i="105"/>
  <c r="K136" i="104"/>
  <c r="M114" i="104"/>
  <c r="J157" i="105"/>
  <c r="K167" i="105"/>
  <c r="J160" i="104"/>
  <c r="K170" i="104"/>
  <c r="M115" i="104"/>
  <c r="K137" i="104"/>
  <c r="M114" i="105"/>
  <c r="K136" i="105"/>
  <c r="M116" i="104"/>
  <c r="M116" i="105"/>
  <c r="J160" i="105"/>
  <c r="K170" i="105"/>
  <c r="J162" i="104"/>
  <c r="K172" i="104"/>
  <c r="J162" i="105"/>
  <c r="K172" i="105"/>
  <c r="K134" i="104"/>
  <c r="M112" i="104"/>
  <c r="M117" i="104"/>
  <c r="K135" i="105"/>
  <c r="M113" i="105"/>
  <c r="J163" i="104"/>
  <c r="K173" i="104"/>
  <c r="J159" i="105"/>
  <c r="K169" i="105"/>
  <c r="J158" i="104"/>
  <c r="K168" i="104"/>
  <c r="K134" i="103"/>
  <c r="M112" i="103"/>
  <c r="M113" i="103"/>
  <c r="K135" i="103"/>
  <c r="J159" i="103"/>
  <c r="K169" i="103"/>
  <c r="K136" i="103"/>
  <c r="M114" i="103"/>
  <c r="J160" i="103"/>
  <c r="K170" i="103"/>
  <c r="K138" i="103"/>
  <c r="M116" i="103"/>
  <c r="J162" i="103"/>
  <c r="K172" i="103"/>
  <c r="M117" i="103"/>
  <c r="J163" i="103"/>
  <c r="K173" i="103"/>
  <c r="J158" i="103"/>
  <c r="K168" i="103"/>
  <c r="M111" i="103"/>
  <c r="K133" i="103"/>
  <c r="K118" i="103"/>
  <c r="M115" i="103"/>
  <c r="K137" i="103"/>
  <c r="J157" i="103"/>
  <c r="K167" i="103"/>
  <c r="J161" i="103"/>
  <c r="K171" i="103"/>
  <c r="H51" i="35"/>
  <c r="H50" i="35"/>
  <c r="J50" i="35" s="1"/>
  <c r="H49" i="35"/>
  <c r="H48" i="35"/>
  <c r="H47" i="35"/>
  <c r="H46" i="35"/>
  <c r="H45" i="35"/>
  <c r="AB30" i="119" l="1"/>
  <c r="AB31" i="119" s="1"/>
  <c r="AB41" i="119"/>
  <c r="AB42" i="119" s="1"/>
  <c r="AB123" i="119"/>
  <c r="Z118" i="101"/>
  <c r="Z118" i="119"/>
  <c r="Z37" i="119" s="1"/>
  <c r="AA119" i="101"/>
  <c r="AA119" i="119"/>
  <c r="AA39" i="119" s="1"/>
  <c r="AA136" i="119" s="1"/>
  <c r="Z116" i="101"/>
  <c r="Z116" i="119"/>
  <c r="Z35" i="119" s="1"/>
  <c r="AB139" i="119"/>
  <c r="AB143" i="119" s="1"/>
  <c r="AB138" i="119"/>
  <c r="Z115" i="101"/>
  <c r="Z115" i="119"/>
  <c r="Z36" i="119" s="1"/>
  <c r="Z137" i="119"/>
  <c r="AC40" i="119"/>
  <c r="AB119" i="101"/>
  <c r="G5" i="117"/>
  <c r="L33" i="117"/>
  <c r="AB120" i="101"/>
  <c r="H14" i="117"/>
  <c r="I129" i="115"/>
  <c r="I24" i="115" s="1"/>
  <c r="Z114" i="101"/>
  <c r="J29" i="117"/>
  <c r="J37" i="117" s="1"/>
  <c r="J31" i="117"/>
  <c r="J39" i="117" s="1"/>
  <c r="J38" i="117"/>
  <c r="F11" i="117" s="1"/>
  <c r="D39" i="117"/>
  <c r="D37" i="117"/>
  <c r="I140" i="114"/>
  <c r="K82" i="112"/>
  <c r="K86" i="112"/>
  <c r="K83" i="112"/>
  <c r="K84" i="112"/>
  <c r="K81" i="112"/>
  <c r="K85" i="112"/>
  <c r="K87" i="112"/>
  <c r="K82" i="115"/>
  <c r="K83" i="115"/>
  <c r="K84" i="115"/>
  <c r="K85" i="115"/>
  <c r="K87" i="115"/>
  <c r="K86" i="115"/>
  <c r="K81" i="115"/>
  <c r="K85" i="113"/>
  <c r="K82" i="113"/>
  <c r="K86" i="113"/>
  <c r="K87" i="113"/>
  <c r="K81" i="113"/>
  <c r="K83" i="113"/>
  <c r="K84" i="113"/>
  <c r="K86" i="114"/>
  <c r="K81" i="114"/>
  <c r="K83" i="114"/>
  <c r="K84" i="114"/>
  <c r="K87" i="114"/>
  <c r="K82" i="114"/>
  <c r="K85" i="114"/>
  <c r="K82" i="110"/>
  <c r="K81" i="110"/>
  <c r="K83" i="110"/>
  <c r="K84" i="110"/>
  <c r="K85" i="110"/>
  <c r="K86" i="110"/>
  <c r="K87" i="110"/>
  <c r="K86" i="111"/>
  <c r="K82" i="111"/>
  <c r="K85" i="111"/>
  <c r="K83" i="111"/>
  <c r="K84" i="111"/>
  <c r="K81" i="111"/>
  <c r="K87" i="111"/>
  <c r="K85" i="109"/>
  <c r="K86" i="109"/>
  <c r="K87" i="109"/>
  <c r="K82" i="109"/>
  <c r="K81" i="109"/>
  <c r="K83" i="109"/>
  <c r="K84" i="109"/>
  <c r="I140" i="112"/>
  <c r="I140" i="113"/>
  <c r="I129" i="110"/>
  <c r="I24" i="110" s="1"/>
  <c r="Z99" i="101"/>
  <c r="I138" i="115"/>
  <c r="I140" i="115" s="1"/>
  <c r="I129" i="114"/>
  <c r="I24" i="114" s="1"/>
  <c r="I129" i="111"/>
  <c r="I24" i="111" s="1"/>
  <c r="I138" i="110"/>
  <c r="I138" i="111"/>
  <c r="I140" i="111" s="1"/>
  <c r="I129" i="113"/>
  <c r="I24" i="113" s="1"/>
  <c r="I139" i="110"/>
  <c r="I129" i="112"/>
  <c r="I24" i="112" s="1"/>
  <c r="I129" i="108"/>
  <c r="I24" i="108" s="1"/>
  <c r="I129" i="106"/>
  <c r="I24" i="106" s="1"/>
  <c r="I129" i="104"/>
  <c r="I24" i="104" s="1"/>
  <c r="J129" i="104"/>
  <c r="J24" i="104" s="1"/>
  <c r="J138" i="108"/>
  <c r="J140" i="108" s="1"/>
  <c r="I129" i="105"/>
  <c r="I24" i="105" s="1"/>
  <c r="K138" i="104"/>
  <c r="K139" i="105"/>
  <c r="K19" i="105" s="1"/>
  <c r="K139" i="103"/>
  <c r="K140" i="103" s="1"/>
  <c r="M140" i="103" s="1"/>
  <c r="R35" i="98"/>
  <c r="K139" i="106"/>
  <c r="K140" i="106" s="1"/>
  <c r="M140" i="106" s="1"/>
  <c r="AA100" i="101"/>
  <c r="AA101" i="101" s="1"/>
  <c r="K139" i="104"/>
  <c r="K19" i="104" s="1"/>
  <c r="K139" i="108"/>
  <c r="M139" i="108" s="1"/>
  <c r="K138" i="105"/>
  <c r="K18" i="105" s="1"/>
  <c r="K139" i="107"/>
  <c r="K140" i="107" s="1"/>
  <c r="M140" i="107" s="1"/>
  <c r="K24" i="111"/>
  <c r="K129" i="103"/>
  <c r="J138" i="114"/>
  <c r="J24" i="114"/>
  <c r="K129" i="104"/>
  <c r="M127" i="113"/>
  <c r="M127" i="106"/>
  <c r="K129" i="106"/>
  <c r="J118" i="115"/>
  <c r="J23" i="115" s="1"/>
  <c r="J133" i="115"/>
  <c r="AA81" i="101"/>
  <c r="AA88" i="101" s="1"/>
  <c r="AA89" i="101" s="1"/>
  <c r="J118" i="112"/>
  <c r="J23" i="112" s="1"/>
  <c r="J133" i="112"/>
  <c r="K129" i="105"/>
  <c r="J138" i="103"/>
  <c r="J140" i="103" s="1"/>
  <c r="J129" i="103"/>
  <c r="J24" i="103" s="1"/>
  <c r="J118" i="114"/>
  <c r="J23" i="114" s="1"/>
  <c r="J133" i="114"/>
  <c r="M127" i="112"/>
  <c r="M127" i="114"/>
  <c r="K129" i="108"/>
  <c r="I138" i="109"/>
  <c r="Z98" i="101"/>
  <c r="I24" i="109"/>
  <c r="J118" i="111"/>
  <c r="J23" i="111" s="1"/>
  <c r="J133" i="111"/>
  <c r="J118" i="113"/>
  <c r="J23" i="113" s="1"/>
  <c r="J133" i="113"/>
  <c r="M128" i="109"/>
  <c r="AB99" i="101"/>
  <c r="M127" i="109"/>
  <c r="AB98" i="101"/>
  <c r="K138" i="108"/>
  <c r="K18" i="108" s="1"/>
  <c r="J118" i="109"/>
  <c r="J23" i="109" s="1"/>
  <c r="J133" i="109"/>
  <c r="J118" i="110"/>
  <c r="J23" i="110" s="1"/>
  <c r="J133" i="110"/>
  <c r="M127" i="107"/>
  <c r="K129" i="107"/>
  <c r="H62" i="35"/>
  <c r="H182" i="35" s="1"/>
  <c r="I159" i="101" s="1"/>
  <c r="H60" i="35"/>
  <c r="H63" i="35"/>
  <c r="H183" i="35" s="1"/>
  <c r="I160" i="101" s="1"/>
  <c r="H64" i="35"/>
  <c r="H61" i="35"/>
  <c r="H181" i="35" s="1"/>
  <c r="I158" i="101" s="1"/>
  <c r="H65" i="35"/>
  <c r="G65" i="35" s="1"/>
  <c r="I163" i="106"/>
  <c r="I173" i="106" s="1"/>
  <c r="I19" i="106" s="1"/>
  <c r="J173" i="106"/>
  <c r="J19" i="106" s="1"/>
  <c r="M134" i="107"/>
  <c r="K14" i="107"/>
  <c r="M135" i="108"/>
  <c r="K15" i="108"/>
  <c r="M135" i="106"/>
  <c r="K15" i="106"/>
  <c r="I162" i="107"/>
  <c r="I172" i="107" s="1"/>
  <c r="I18" i="107" s="1"/>
  <c r="J172" i="107"/>
  <c r="J18" i="107" s="1"/>
  <c r="I161" i="106"/>
  <c r="I171" i="106" s="1"/>
  <c r="I17" i="106" s="1"/>
  <c r="J171" i="106"/>
  <c r="J17" i="106" s="1"/>
  <c r="I158" i="106"/>
  <c r="I168" i="106" s="1"/>
  <c r="I14" i="106" s="1"/>
  <c r="J168" i="106"/>
  <c r="J14" i="106" s="1"/>
  <c r="M118" i="107"/>
  <c r="K23" i="107"/>
  <c r="K17" i="107"/>
  <c r="M137" i="107"/>
  <c r="I160" i="106"/>
  <c r="I170" i="106" s="1"/>
  <c r="I16" i="106" s="1"/>
  <c r="J170" i="106"/>
  <c r="J16" i="106" s="1"/>
  <c r="I158" i="108"/>
  <c r="I168" i="108" s="1"/>
  <c r="I14" i="108" s="1"/>
  <c r="J168" i="108"/>
  <c r="J14" i="108" s="1"/>
  <c r="M133" i="107"/>
  <c r="K13" i="107"/>
  <c r="M138" i="107"/>
  <c r="K18" i="107"/>
  <c r="I163" i="108"/>
  <c r="I173" i="108" s="1"/>
  <c r="I19" i="108" s="1"/>
  <c r="J173" i="108"/>
  <c r="J19" i="108" s="1"/>
  <c r="I159" i="108"/>
  <c r="I169" i="108" s="1"/>
  <c r="I15" i="108" s="1"/>
  <c r="J169" i="108"/>
  <c r="J15" i="108" s="1"/>
  <c r="K174" i="107"/>
  <c r="K174" i="108"/>
  <c r="M134" i="108"/>
  <c r="K14" i="108"/>
  <c r="I158" i="107"/>
  <c r="I168" i="107" s="1"/>
  <c r="I14" i="107" s="1"/>
  <c r="J168" i="107"/>
  <c r="J14" i="107" s="1"/>
  <c r="I157" i="107"/>
  <c r="I167" i="107" s="1"/>
  <c r="J167" i="107"/>
  <c r="I157" i="108"/>
  <c r="I167" i="108" s="1"/>
  <c r="J167" i="108"/>
  <c r="M134" i="106"/>
  <c r="K14" i="106"/>
  <c r="I161" i="107"/>
  <c r="I171" i="107" s="1"/>
  <c r="I17" i="107" s="1"/>
  <c r="J171" i="107"/>
  <c r="J17" i="107" s="1"/>
  <c r="M133" i="106"/>
  <c r="K13" i="106"/>
  <c r="K174" i="106"/>
  <c r="I157" i="106"/>
  <c r="I167" i="106" s="1"/>
  <c r="J167" i="106"/>
  <c r="M118" i="106"/>
  <c r="K23" i="106"/>
  <c r="I163" i="107"/>
  <c r="I173" i="107" s="1"/>
  <c r="I19" i="107" s="1"/>
  <c r="J173" i="107"/>
  <c r="J19" i="107" s="1"/>
  <c r="M137" i="106"/>
  <c r="K17" i="106"/>
  <c r="M136" i="107"/>
  <c r="K16" i="107"/>
  <c r="M138" i="106"/>
  <c r="K18" i="106"/>
  <c r="I162" i="106"/>
  <c r="I172" i="106" s="1"/>
  <c r="I18" i="106" s="1"/>
  <c r="J172" i="106"/>
  <c r="J18" i="106" s="1"/>
  <c r="I161" i="108"/>
  <c r="I171" i="108" s="1"/>
  <c r="I17" i="108" s="1"/>
  <c r="J171" i="108"/>
  <c r="J17" i="108" s="1"/>
  <c r="I162" i="108"/>
  <c r="I172" i="108" s="1"/>
  <c r="I18" i="108" s="1"/>
  <c r="J172" i="108"/>
  <c r="J18" i="108" s="1"/>
  <c r="M136" i="106"/>
  <c r="K16" i="106"/>
  <c r="K16" i="108"/>
  <c r="M136" i="108"/>
  <c r="M135" i="107"/>
  <c r="K15" i="107"/>
  <c r="I159" i="107"/>
  <c r="I169" i="107" s="1"/>
  <c r="I15" i="107" s="1"/>
  <c r="J169" i="107"/>
  <c r="J15" i="107" s="1"/>
  <c r="I160" i="108"/>
  <c r="I170" i="108" s="1"/>
  <c r="I16" i="108" s="1"/>
  <c r="J170" i="108"/>
  <c r="J16" i="108" s="1"/>
  <c r="I159" i="106"/>
  <c r="I169" i="106" s="1"/>
  <c r="I15" i="106" s="1"/>
  <c r="J169" i="106"/>
  <c r="J15" i="106" s="1"/>
  <c r="M137" i="108"/>
  <c r="K17" i="108"/>
  <c r="I160" i="107"/>
  <c r="I170" i="107" s="1"/>
  <c r="I16" i="107" s="1"/>
  <c r="J170" i="107"/>
  <c r="J16" i="107" s="1"/>
  <c r="M118" i="108"/>
  <c r="K23" i="108"/>
  <c r="M133" i="108"/>
  <c r="K13" i="108"/>
  <c r="M134" i="105"/>
  <c r="K14" i="105"/>
  <c r="I158" i="105"/>
  <c r="I168" i="105" s="1"/>
  <c r="I14" i="105" s="1"/>
  <c r="J168" i="105"/>
  <c r="J14" i="105" s="1"/>
  <c r="K174" i="104"/>
  <c r="M135" i="104"/>
  <c r="K15" i="104"/>
  <c r="M134" i="104"/>
  <c r="K14" i="104"/>
  <c r="M137" i="104"/>
  <c r="K17" i="104"/>
  <c r="I157" i="104"/>
  <c r="I167" i="104" s="1"/>
  <c r="J167" i="104"/>
  <c r="I162" i="104"/>
  <c r="I172" i="104" s="1"/>
  <c r="I18" i="104" s="1"/>
  <c r="J172" i="104"/>
  <c r="J18" i="104" s="1"/>
  <c r="K174" i="105"/>
  <c r="M137" i="105"/>
  <c r="K17" i="105"/>
  <c r="I163" i="104"/>
  <c r="I173" i="104" s="1"/>
  <c r="I19" i="104" s="1"/>
  <c r="J173" i="104"/>
  <c r="J19" i="104" s="1"/>
  <c r="I160" i="105"/>
  <c r="I170" i="105" s="1"/>
  <c r="I16" i="105" s="1"/>
  <c r="J170" i="105"/>
  <c r="J16" i="105" s="1"/>
  <c r="I157" i="105"/>
  <c r="I167" i="105" s="1"/>
  <c r="J167" i="105"/>
  <c r="I159" i="105"/>
  <c r="I169" i="105" s="1"/>
  <c r="I15" i="105" s="1"/>
  <c r="J169" i="105"/>
  <c r="J15" i="105" s="1"/>
  <c r="I160" i="104"/>
  <c r="I170" i="104" s="1"/>
  <c r="I16" i="104" s="1"/>
  <c r="J170" i="104"/>
  <c r="J16" i="104" s="1"/>
  <c r="I161" i="105"/>
  <c r="I171" i="105" s="1"/>
  <c r="I17" i="105" s="1"/>
  <c r="J171" i="105"/>
  <c r="J17" i="105" s="1"/>
  <c r="M133" i="105"/>
  <c r="K13" i="105"/>
  <c r="I158" i="104"/>
  <c r="I168" i="104" s="1"/>
  <c r="I14" i="104" s="1"/>
  <c r="J168" i="104"/>
  <c r="J14" i="104" s="1"/>
  <c r="K16" i="104"/>
  <c r="M136" i="104"/>
  <c r="M118" i="104"/>
  <c r="K23" i="104"/>
  <c r="I159" i="104"/>
  <c r="I169" i="104" s="1"/>
  <c r="I15" i="104" s="1"/>
  <c r="J169" i="104"/>
  <c r="J15" i="104" s="1"/>
  <c r="M133" i="104"/>
  <c r="K13" i="104"/>
  <c r="K16" i="105"/>
  <c r="M136" i="105"/>
  <c r="I162" i="105"/>
  <c r="I172" i="105" s="1"/>
  <c r="I18" i="105" s="1"/>
  <c r="J172" i="105"/>
  <c r="J18" i="105" s="1"/>
  <c r="I163" i="105"/>
  <c r="I173" i="105" s="1"/>
  <c r="I19" i="105" s="1"/>
  <c r="J173" i="105"/>
  <c r="J19" i="105" s="1"/>
  <c r="M135" i="105"/>
  <c r="K15" i="105"/>
  <c r="I161" i="104"/>
  <c r="I171" i="104" s="1"/>
  <c r="I17" i="104" s="1"/>
  <c r="J171" i="104"/>
  <c r="J17" i="104" s="1"/>
  <c r="M138" i="104"/>
  <c r="K18" i="104"/>
  <c r="M118" i="105"/>
  <c r="K23" i="105"/>
  <c r="K15" i="103"/>
  <c r="M135" i="103"/>
  <c r="M133" i="103"/>
  <c r="K13" i="103"/>
  <c r="K23" i="103"/>
  <c r="M118" i="103"/>
  <c r="M138" i="103"/>
  <c r="K18" i="103"/>
  <c r="I160" i="103"/>
  <c r="I170" i="103" s="1"/>
  <c r="I16" i="103" s="1"/>
  <c r="J170" i="103"/>
  <c r="J16" i="103" s="1"/>
  <c r="I158" i="103"/>
  <c r="I168" i="103" s="1"/>
  <c r="I14" i="103" s="1"/>
  <c r="J168" i="103"/>
  <c r="J14" i="103" s="1"/>
  <c r="M136" i="103"/>
  <c r="K16" i="103"/>
  <c r="I163" i="103"/>
  <c r="I173" i="103" s="1"/>
  <c r="I19" i="103" s="1"/>
  <c r="J173" i="103"/>
  <c r="J19" i="103" s="1"/>
  <c r="I159" i="103"/>
  <c r="I169" i="103" s="1"/>
  <c r="I15" i="103" s="1"/>
  <c r="J169" i="103"/>
  <c r="J15" i="103" s="1"/>
  <c r="K174" i="103"/>
  <c r="I161" i="103"/>
  <c r="I171" i="103" s="1"/>
  <c r="I17" i="103" s="1"/>
  <c r="J171" i="103"/>
  <c r="J17" i="103" s="1"/>
  <c r="I157" i="103"/>
  <c r="I167" i="103" s="1"/>
  <c r="J167" i="103"/>
  <c r="K17" i="103"/>
  <c r="M137" i="103"/>
  <c r="I162" i="103"/>
  <c r="I172" i="103" s="1"/>
  <c r="I18" i="103" s="1"/>
  <c r="J172" i="103"/>
  <c r="K14" i="103"/>
  <c r="M134" i="103"/>
  <c r="H59" i="35"/>
  <c r="H179" i="35" s="1"/>
  <c r="I156" i="101" s="1"/>
  <c r="I45" i="35"/>
  <c r="J45" i="35"/>
  <c r="G45" i="35"/>
  <c r="H52" i="35"/>
  <c r="G51" i="35"/>
  <c r="J46" i="35"/>
  <c r="I46" i="35"/>
  <c r="G46" i="35"/>
  <c r="J181" i="35"/>
  <c r="K158" i="101" s="1"/>
  <c r="G47" i="35"/>
  <c r="J48" i="35"/>
  <c r="G48" i="35"/>
  <c r="I48" i="35"/>
  <c r="G49" i="35"/>
  <c r="J49" i="35"/>
  <c r="I49" i="35"/>
  <c r="G50" i="35"/>
  <c r="I50" i="35"/>
  <c r="H169" i="35"/>
  <c r="H170" i="35"/>
  <c r="H111" i="35"/>
  <c r="B81" i="101" s="1"/>
  <c r="Z132" i="119" l="1"/>
  <c r="AC35" i="119"/>
  <c r="AB30" i="101"/>
  <c r="AB123" i="101"/>
  <c r="AA140" i="119"/>
  <c r="AA139" i="119"/>
  <c r="AA143" i="119" s="1"/>
  <c r="AA138" i="119"/>
  <c r="AA120" i="101"/>
  <c r="AA30" i="101" s="1"/>
  <c r="AA120" i="119"/>
  <c r="Z134" i="119"/>
  <c r="AC37" i="119"/>
  <c r="Z119" i="101"/>
  <c r="Z119" i="119"/>
  <c r="Z39" i="119" s="1"/>
  <c r="AC36" i="119"/>
  <c r="Z133" i="119"/>
  <c r="G14" i="117"/>
  <c r="L29" i="117"/>
  <c r="L31" i="117"/>
  <c r="Z100" i="101"/>
  <c r="Z101" i="101" s="1"/>
  <c r="F5" i="117"/>
  <c r="Z120" i="119" s="1"/>
  <c r="I140" i="110"/>
  <c r="M139" i="103"/>
  <c r="K19" i="103"/>
  <c r="M139" i="105"/>
  <c r="K19" i="108"/>
  <c r="K20" i="108" s="1"/>
  <c r="K19" i="106"/>
  <c r="M139" i="106"/>
  <c r="K140" i="104"/>
  <c r="M140" i="104" s="1"/>
  <c r="M139" i="107"/>
  <c r="K140" i="105"/>
  <c r="M140" i="105" s="1"/>
  <c r="M139" i="104"/>
  <c r="G62" i="35"/>
  <c r="H180" i="35"/>
  <c r="I157" i="101" s="1"/>
  <c r="I60" i="35"/>
  <c r="I123" i="35" s="1"/>
  <c r="J180" i="35"/>
  <c r="K157" i="101" s="1"/>
  <c r="J18" i="103"/>
  <c r="K19" i="107"/>
  <c r="K20" i="107" s="1"/>
  <c r="M138" i="105"/>
  <c r="M129" i="111"/>
  <c r="G63" i="35"/>
  <c r="J62" i="35"/>
  <c r="G60" i="35"/>
  <c r="I63" i="35"/>
  <c r="J63" i="35"/>
  <c r="J126" i="35" s="1"/>
  <c r="D97" i="101" s="1"/>
  <c r="I62" i="35"/>
  <c r="K24" i="103"/>
  <c r="M129" i="103"/>
  <c r="AB100" i="101"/>
  <c r="AB101" i="101" s="1"/>
  <c r="K163" i="114"/>
  <c r="K117" i="114"/>
  <c r="J140" i="114"/>
  <c r="K162" i="111"/>
  <c r="K116" i="111"/>
  <c r="K158" i="115"/>
  <c r="K112" i="115"/>
  <c r="K157" i="110"/>
  <c r="K111" i="110"/>
  <c r="K160" i="110"/>
  <c r="K114" i="110"/>
  <c r="K140" i="108"/>
  <c r="M140" i="108" s="1"/>
  <c r="K24" i="115"/>
  <c r="M129" i="115"/>
  <c r="K157" i="113"/>
  <c r="K111" i="113"/>
  <c r="K161" i="114"/>
  <c r="K115" i="114"/>
  <c r="K158" i="111"/>
  <c r="K112" i="111"/>
  <c r="J140" i="112"/>
  <c r="K157" i="115"/>
  <c r="K111" i="115"/>
  <c r="K161" i="110"/>
  <c r="K115" i="110"/>
  <c r="K160" i="111"/>
  <c r="K114" i="111"/>
  <c r="K157" i="111"/>
  <c r="K111" i="111"/>
  <c r="K161" i="113"/>
  <c r="K115" i="113"/>
  <c r="K157" i="114"/>
  <c r="K111" i="114"/>
  <c r="K162" i="115"/>
  <c r="K116" i="115"/>
  <c r="K163" i="110"/>
  <c r="K117" i="110"/>
  <c r="M129" i="105"/>
  <c r="K24" i="105"/>
  <c r="M138" i="108"/>
  <c r="K114" i="109"/>
  <c r="K160" i="109"/>
  <c r="K159" i="113"/>
  <c r="K113" i="113"/>
  <c r="H184" i="35"/>
  <c r="I161" i="101" s="1"/>
  <c r="K160" i="114"/>
  <c r="K114" i="114"/>
  <c r="K162" i="112"/>
  <c r="K116" i="112"/>
  <c r="K161" i="115"/>
  <c r="K115" i="115"/>
  <c r="K162" i="110"/>
  <c r="K116" i="110"/>
  <c r="K163" i="113"/>
  <c r="K117" i="113"/>
  <c r="K162" i="114"/>
  <c r="K116" i="114"/>
  <c r="K157" i="109"/>
  <c r="K111" i="109"/>
  <c r="K160" i="113"/>
  <c r="K114" i="113"/>
  <c r="J140" i="111"/>
  <c r="K158" i="114"/>
  <c r="K112" i="114"/>
  <c r="K160" i="112"/>
  <c r="K114" i="112"/>
  <c r="K159" i="115"/>
  <c r="K113" i="115"/>
  <c r="K159" i="110"/>
  <c r="K113" i="110"/>
  <c r="K159" i="114"/>
  <c r="K113" i="114"/>
  <c r="H185" i="35"/>
  <c r="I162" i="101" s="1"/>
  <c r="J140" i="113"/>
  <c r="G64" i="35"/>
  <c r="M129" i="107"/>
  <c r="K24" i="107"/>
  <c r="K163" i="109"/>
  <c r="K117" i="109"/>
  <c r="M129" i="109"/>
  <c r="K24" i="109"/>
  <c r="K24" i="108"/>
  <c r="M129" i="108"/>
  <c r="K157" i="112"/>
  <c r="K111" i="112"/>
  <c r="K163" i="115"/>
  <c r="K117" i="115"/>
  <c r="M129" i="104"/>
  <c r="K24" i="104"/>
  <c r="K162" i="113"/>
  <c r="K116" i="113"/>
  <c r="K161" i="109"/>
  <c r="K115" i="109"/>
  <c r="M129" i="114"/>
  <c r="K24" i="114"/>
  <c r="K158" i="112"/>
  <c r="K112" i="112"/>
  <c r="J140" i="115"/>
  <c r="K158" i="113"/>
  <c r="K112" i="113"/>
  <c r="J140" i="110"/>
  <c r="K113" i="109"/>
  <c r="K159" i="109"/>
  <c r="K163" i="111"/>
  <c r="K117" i="111"/>
  <c r="K163" i="112"/>
  <c r="K117" i="112"/>
  <c r="K24" i="113"/>
  <c r="M129" i="113"/>
  <c r="K160" i="115"/>
  <c r="K114" i="115"/>
  <c r="K112" i="109"/>
  <c r="K158" i="109"/>
  <c r="K159" i="111"/>
  <c r="K113" i="111"/>
  <c r="K159" i="112"/>
  <c r="K113" i="112"/>
  <c r="M129" i="110"/>
  <c r="K24" i="110"/>
  <c r="J140" i="109"/>
  <c r="K158" i="110"/>
  <c r="K112" i="110"/>
  <c r="K162" i="109"/>
  <c r="K116" i="109"/>
  <c r="I140" i="109"/>
  <c r="M129" i="112"/>
  <c r="K24" i="112"/>
  <c r="K161" i="111"/>
  <c r="K115" i="111"/>
  <c r="K161" i="112"/>
  <c r="K115" i="112"/>
  <c r="K24" i="106"/>
  <c r="M129" i="106"/>
  <c r="G61" i="35"/>
  <c r="J185" i="35"/>
  <c r="K162" i="101" s="1"/>
  <c r="I185" i="35"/>
  <c r="J162" i="101" s="1"/>
  <c r="K20" i="103"/>
  <c r="K20" i="105"/>
  <c r="K20" i="106"/>
  <c r="J174" i="108"/>
  <c r="J13" i="108"/>
  <c r="J20" i="108" s="1"/>
  <c r="I174" i="108"/>
  <c r="I13" i="108"/>
  <c r="I20" i="108" s="1"/>
  <c r="J174" i="106"/>
  <c r="J13" i="106"/>
  <c r="J20" i="106" s="1"/>
  <c r="J174" i="107"/>
  <c r="J13" i="107"/>
  <c r="J20" i="107" s="1"/>
  <c r="I174" i="106"/>
  <c r="I13" i="106"/>
  <c r="I20" i="106" s="1"/>
  <c r="I174" i="107"/>
  <c r="I13" i="107"/>
  <c r="I20" i="107" s="1"/>
  <c r="J174" i="105"/>
  <c r="J13" i="105"/>
  <c r="J20" i="105" s="1"/>
  <c r="I174" i="104"/>
  <c r="I13" i="104"/>
  <c r="I174" i="105"/>
  <c r="I13" i="105"/>
  <c r="I20" i="105" s="1"/>
  <c r="K20" i="104"/>
  <c r="J174" i="104"/>
  <c r="J13" i="104"/>
  <c r="J174" i="103"/>
  <c r="J13" i="103"/>
  <c r="I174" i="103"/>
  <c r="I13" i="103"/>
  <c r="I20" i="103" s="1"/>
  <c r="H55" i="35"/>
  <c r="I55" i="35"/>
  <c r="G59" i="35"/>
  <c r="J59" i="35"/>
  <c r="I59" i="35"/>
  <c r="G116" i="35"/>
  <c r="G127" i="35"/>
  <c r="G117" i="35"/>
  <c r="G128" i="35"/>
  <c r="G115" i="35"/>
  <c r="G126" i="35"/>
  <c r="G114" i="35"/>
  <c r="G125" i="35"/>
  <c r="G111" i="35"/>
  <c r="G122" i="35"/>
  <c r="G52" i="35"/>
  <c r="G112" i="35"/>
  <c r="G123" i="35"/>
  <c r="G113" i="35"/>
  <c r="G124" i="35"/>
  <c r="H123" i="35"/>
  <c r="B94" i="101" s="1"/>
  <c r="H126" i="35"/>
  <c r="B97" i="101" s="1"/>
  <c r="H114" i="35"/>
  <c r="B84" i="101" s="1"/>
  <c r="H117" i="35"/>
  <c r="B87" i="101" s="1"/>
  <c r="H122" i="35"/>
  <c r="B93" i="101" s="1"/>
  <c r="H128" i="35"/>
  <c r="B99" i="101" s="1"/>
  <c r="H116" i="35"/>
  <c r="B86" i="101" s="1"/>
  <c r="H124" i="35"/>
  <c r="B95" i="101" s="1"/>
  <c r="H127" i="35"/>
  <c r="B98" i="101" s="1"/>
  <c r="H112" i="35"/>
  <c r="B82" i="101" s="1"/>
  <c r="H115" i="35"/>
  <c r="B85" i="101" s="1"/>
  <c r="H125" i="35"/>
  <c r="B96" i="101" s="1"/>
  <c r="H113" i="35"/>
  <c r="B83" i="101" s="1"/>
  <c r="H153" i="35"/>
  <c r="H186" i="35" s="1"/>
  <c r="AA30" i="119" l="1"/>
  <c r="AA31" i="119" s="1"/>
  <c r="AA123" i="119"/>
  <c r="AA41" i="119"/>
  <c r="AA42" i="119" s="1"/>
  <c r="Z30" i="119"/>
  <c r="Z31" i="119" s="1"/>
  <c r="Z123" i="119"/>
  <c r="Z41" i="119"/>
  <c r="Z42" i="119" s="1"/>
  <c r="AC39" i="119"/>
  <c r="Z136" i="119"/>
  <c r="Z140" i="119" s="1"/>
  <c r="Z143" i="119" s="1"/>
  <c r="F14" i="117"/>
  <c r="Z120" i="101"/>
  <c r="Z30" i="101" s="1"/>
  <c r="J183" i="35"/>
  <c r="K160" i="101" s="1"/>
  <c r="I183" i="35"/>
  <c r="J160" i="101" s="1"/>
  <c r="I126" i="35"/>
  <c r="C97" i="101" s="1"/>
  <c r="I182" i="35"/>
  <c r="J159" i="101" s="1"/>
  <c r="I125" i="35"/>
  <c r="C96" i="101" s="1"/>
  <c r="J182" i="35"/>
  <c r="K159" i="101" s="1"/>
  <c r="J125" i="35"/>
  <c r="D96" i="101" s="1"/>
  <c r="I179" i="35"/>
  <c r="J156" i="101" s="1"/>
  <c r="I122" i="35"/>
  <c r="J179" i="35"/>
  <c r="K156" i="101" s="1"/>
  <c r="J122" i="35"/>
  <c r="J20" i="103"/>
  <c r="I180" i="35"/>
  <c r="J157" i="101" s="1"/>
  <c r="K64" i="35"/>
  <c r="K180" i="35"/>
  <c r="L157" i="101" s="1"/>
  <c r="I164" i="101"/>
  <c r="J161" i="111"/>
  <c r="K171" i="111"/>
  <c r="J162" i="113"/>
  <c r="K172" i="113"/>
  <c r="J163" i="109"/>
  <c r="K173" i="109"/>
  <c r="K169" i="115"/>
  <c r="J159" i="115"/>
  <c r="J162" i="114"/>
  <c r="K172" i="114"/>
  <c r="M113" i="113"/>
  <c r="K135" i="113"/>
  <c r="J157" i="114"/>
  <c r="K167" i="114"/>
  <c r="J160" i="110"/>
  <c r="K170" i="110"/>
  <c r="AB83" i="101"/>
  <c r="M113" i="112"/>
  <c r="K135" i="112"/>
  <c r="AB84" i="101"/>
  <c r="M114" i="112"/>
  <c r="K136" i="112"/>
  <c r="J159" i="112"/>
  <c r="K169" i="112"/>
  <c r="K168" i="113"/>
  <c r="J158" i="113"/>
  <c r="J160" i="112"/>
  <c r="K170" i="112"/>
  <c r="K173" i="113"/>
  <c r="J163" i="113"/>
  <c r="J160" i="109"/>
  <c r="K170" i="109"/>
  <c r="J161" i="113"/>
  <c r="K171" i="113"/>
  <c r="K168" i="111"/>
  <c r="J158" i="111"/>
  <c r="J157" i="110"/>
  <c r="K167" i="110"/>
  <c r="M111" i="110"/>
  <c r="K118" i="110"/>
  <c r="K133" i="110"/>
  <c r="M113" i="111"/>
  <c r="K135" i="111"/>
  <c r="AB87" i="101"/>
  <c r="M117" i="112"/>
  <c r="K139" i="112"/>
  <c r="M117" i="115"/>
  <c r="K139" i="115"/>
  <c r="M112" i="114"/>
  <c r="K134" i="114"/>
  <c r="M116" i="110"/>
  <c r="K138" i="110"/>
  <c r="M114" i="109"/>
  <c r="K136" i="109"/>
  <c r="K118" i="111"/>
  <c r="M111" i="111"/>
  <c r="K133" i="111"/>
  <c r="M115" i="114"/>
  <c r="K137" i="114"/>
  <c r="M112" i="115"/>
  <c r="K134" i="115"/>
  <c r="M117" i="113"/>
  <c r="K139" i="113"/>
  <c r="J159" i="111"/>
  <c r="K169" i="111"/>
  <c r="J163" i="112"/>
  <c r="K173" i="112"/>
  <c r="K173" i="115"/>
  <c r="J163" i="115"/>
  <c r="K168" i="114"/>
  <c r="J158" i="114"/>
  <c r="K172" i="110"/>
  <c r="J162" i="110"/>
  <c r="K167" i="111"/>
  <c r="J157" i="111"/>
  <c r="J161" i="114"/>
  <c r="K171" i="114"/>
  <c r="J158" i="115"/>
  <c r="K168" i="115"/>
  <c r="M115" i="113"/>
  <c r="K137" i="113"/>
  <c r="M116" i="109"/>
  <c r="K138" i="109"/>
  <c r="K168" i="109"/>
  <c r="J158" i="109"/>
  <c r="M117" i="111"/>
  <c r="K139" i="111"/>
  <c r="AB82" i="101"/>
  <c r="M112" i="112"/>
  <c r="K134" i="112"/>
  <c r="AB81" i="101"/>
  <c r="K118" i="112"/>
  <c r="M111" i="112"/>
  <c r="K133" i="112"/>
  <c r="M115" i="115"/>
  <c r="K137" i="115"/>
  <c r="M114" i="111"/>
  <c r="K136" i="111"/>
  <c r="M111" i="113"/>
  <c r="K118" i="113"/>
  <c r="K133" i="113"/>
  <c r="M116" i="111"/>
  <c r="K138" i="111"/>
  <c r="M112" i="111"/>
  <c r="K134" i="111"/>
  <c r="K172" i="109"/>
  <c r="J162" i="109"/>
  <c r="M112" i="109"/>
  <c r="K134" i="109"/>
  <c r="J163" i="111"/>
  <c r="K173" i="111"/>
  <c r="J158" i="112"/>
  <c r="K168" i="112"/>
  <c r="K167" i="112"/>
  <c r="J157" i="112"/>
  <c r="K171" i="115"/>
  <c r="J161" i="115"/>
  <c r="J160" i="111"/>
  <c r="K170" i="111"/>
  <c r="K167" i="113"/>
  <c r="J157" i="113"/>
  <c r="J162" i="111"/>
  <c r="K172" i="111"/>
  <c r="M112" i="110"/>
  <c r="K134" i="110"/>
  <c r="J159" i="109"/>
  <c r="K169" i="109"/>
  <c r="M113" i="114"/>
  <c r="K135" i="114"/>
  <c r="M114" i="113"/>
  <c r="K136" i="113"/>
  <c r="AB86" i="101"/>
  <c r="M116" i="112"/>
  <c r="K138" i="112"/>
  <c r="M117" i="110"/>
  <c r="K139" i="110"/>
  <c r="M115" i="110"/>
  <c r="K137" i="110"/>
  <c r="J158" i="110"/>
  <c r="K168" i="110"/>
  <c r="M113" i="109"/>
  <c r="K135" i="109"/>
  <c r="J159" i="114"/>
  <c r="K169" i="114"/>
  <c r="J160" i="113"/>
  <c r="K170" i="113"/>
  <c r="K172" i="112"/>
  <c r="J162" i="112"/>
  <c r="K173" i="110"/>
  <c r="J163" i="110"/>
  <c r="J161" i="110"/>
  <c r="K171" i="110"/>
  <c r="M112" i="113"/>
  <c r="K134" i="113"/>
  <c r="AB85" i="101"/>
  <c r="M115" i="112"/>
  <c r="K137" i="112"/>
  <c r="M114" i="115"/>
  <c r="K136" i="115"/>
  <c r="M115" i="109"/>
  <c r="K137" i="109"/>
  <c r="M113" i="110"/>
  <c r="K135" i="110"/>
  <c r="M111" i="109"/>
  <c r="K118" i="109"/>
  <c r="K133" i="109"/>
  <c r="M114" i="114"/>
  <c r="K136" i="114"/>
  <c r="M116" i="115"/>
  <c r="K138" i="115"/>
  <c r="K118" i="115"/>
  <c r="M111" i="115"/>
  <c r="K133" i="115"/>
  <c r="M117" i="114"/>
  <c r="K139" i="114"/>
  <c r="K169" i="113"/>
  <c r="J159" i="113"/>
  <c r="K171" i="112"/>
  <c r="J161" i="112"/>
  <c r="J160" i="115"/>
  <c r="K170" i="115"/>
  <c r="J161" i="109"/>
  <c r="K171" i="109"/>
  <c r="J159" i="110"/>
  <c r="K169" i="110"/>
  <c r="K167" i="109"/>
  <c r="J157" i="109"/>
  <c r="J160" i="114"/>
  <c r="K170" i="114"/>
  <c r="K172" i="115"/>
  <c r="J162" i="115"/>
  <c r="J157" i="115"/>
  <c r="K167" i="115"/>
  <c r="J163" i="114"/>
  <c r="K173" i="114"/>
  <c r="M115" i="111"/>
  <c r="K137" i="111"/>
  <c r="M116" i="113"/>
  <c r="K138" i="113"/>
  <c r="M117" i="109"/>
  <c r="K139" i="109"/>
  <c r="M113" i="115"/>
  <c r="K135" i="115"/>
  <c r="M116" i="114"/>
  <c r="K138" i="114"/>
  <c r="K118" i="114"/>
  <c r="M111" i="114"/>
  <c r="K133" i="114"/>
  <c r="M114" i="110"/>
  <c r="K136" i="110"/>
  <c r="G66" i="35"/>
  <c r="I81" i="35"/>
  <c r="I86" i="35"/>
  <c r="I116" i="35" s="1"/>
  <c r="C86" i="101" s="1"/>
  <c r="I82" i="35"/>
  <c r="I87" i="35"/>
  <c r="I117" i="35" s="1"/>
  <c r="C87" i="101" s="1"/>
  <c r="I83" i="35"/>
  <c r="I84" i="35"/>
  <c r="I114" i="35" s="1"/>
  <c r="C84" i="101" s="1"/>
  <c r="I85" i="35"/>
  <c r="I115" i="35" s="1"/>
  <c r="C85" i="101" s="1"/>
  <c r="B100" i="101"/>
  <c r="B101" i="101" s="1"/>
  <c r="B88" i="101"/>
  <c r="B89" i="101" s="1"/>
  <c r="I20" i="104"/>
  <c r="J20" i="104"/>
  <c r="H69" i="35"/>
  <c r="M125" i="35"/>
  <c r="M126" i="35"/>
  <c r="G129" i="35"/>
  <c r="G118" i="35"/>
  <c r="H137" i="35"/>
  <c r="H133" i="35"/>
  <c r="H118" i="35"/>
  <c r="H138" i="35"/>
  <c r="H129" i="35"/>
  <c r="H134" i="35"/>
  <c r="H139" i="35"/>
  <c r="H136" i="35"/>
  <c r="H16" i="35" s="1"/>
  <c r="B60" i="101" s="1"/>
  <c r="H135" i="35"/>
  <c r="H15" i="35" s="1"/>
  <c r="B59" i="101" s="1"/>
  <c r="Z139" i="119" l="1"/>
  <c r="Z138" i="119"/>
  <c r="M158" i="101"/>
  <c r="M159" i="101"/>
  <c r="M160" i="101"/>
  <c r="M156" i="101"/>
  <c r="M161" i="101"/>
  <c r="M157" i="101"/>
  <c r="K66" i="35"/>
  <c r="K184" i="35"/>
  <c r="I64" i="35"/>
  <c r="J64" i="35"/>
  <c r="AB88" i="101"/>
  <c r="AB89" i="101" s="1"/>
  <c r="J168" i="111"/>
  <c r="J14" i="111" s="1"/>
  <c r="I158" i="111"/>
  <c r="I168" i="111" s="1"/>
  <c r="I14" i="111" s="1"/>
  <c r="M139" i="109"/>
  <c r="K19" i="109"/>
  <c r="I159" i="113"/>
  <c r="I169" i="113" s="1"/>
  <c r="I15" i="113" s="1"/>
  <c r="J169" i="113"/>
  <c r="K23" i="109"/>
  <c r="M118" i="109"/>
  <c r="M135" i="114"/>
  <c r="K15" i="114"/>
  <c r="J171" i="115"/>
  <c r="J17" i="115" s="1"/>
  <c r="I161" i="115"/>
  <c r="I171" i="115" s="1"/>
  <c r="I17" i="115" s="1"/>
  <c r="M133" i="112"/>
  <c r="K13" i="112"/>
  <c r="K140" i="112"/>
  <c r="M140" i="112" s="1"/>
  <c r="J168" i="114"/>
  <c r="J14" i="114" s="1"/>
  <c r="I158" i="114"/>
  <c r="I168" i="114" s="1"/>
  <c r="I14" i="114" s="1"/>
  <c r="M137" i="114"/>
  <c r="K17" i="114"/>
  <c r="J169" i="112"/>
  <c r="J15" i="112" s="1"/>
  <c r="I159" i="112"/>
  <c r="I169" i="112" s="1"/>
  <c r="I15" i="112" s="1"/>
  <c r="K18" i="109"/>
  <c r="M138" i="109"/>
  <c r="K14" i="111"/>
  <c r="M134" i="111"/>
  <c r="M139" i="112"/>
  <c r="K19" i="112"/>
  <c r="M136" i="112"/>
  <c r="K16" i="112"/>
  <c r="K15" i="113"/>
  <c r="M135" i="113"/>
  <c r="I160" i="114"/>
  <c r="I170" i="114" s="1"/>
  <c r="I16" i="114" s="1"/>
  <c r="J170" i="114"/>
  <c r="J16" i="114" s="1"/>
  <c r="M138" i="113"/>
  <c r="K18" i="113"/>
  <c r="J167" i="109"/>
  <c r="I157" i="109"/>
  <c r="I167" i="109" s="1"/>
  <c r="M139" i="114"/>
  <c r="K19" i="114"/>
  <c r="K15" i="110"/>
  <c r="M135" i="110"/>
  <c r="I161" i="110"/>
  <c r="I171" i="110" s="1"/>
  <c r="I17" i="110" s="1"/>
  <c r="J171" i="110"/>
  <c r="J17" i="110" s="1"/>
  <c r="I158" i="110"/>
  <c r="I168" i="110" s="1"/>
  <c r="I14" i="110" s="1"/>
  <c r="J168" i="110"/>
  <c r="J14" i="110" s="1"/>
  <c r="I157" i="112"/>
  <c r="I167" i="112" s="1"/>
  <c r="I13" i="112" s="1"/>
  <c r="J167" i="112"/>
  <c r="M118" i="112"/>
  <c r="K23" i="112"/>
  <c r="K17" i="113"/>
  <c r="M137" i="113"/>
  <c r="J173" i="115"/>
  <c r="J19" i="115" s="1"/>
  <c r="I163" i="115"/>
  <c r="I173" i="115" s="1"/>
  <c r="I19" i="115" s="1"/>
  <c r="M133" i="111"/>
  <c r="K13" i="111"/>
  <c r="K140" i="111"/>
  <c r="M140" i="111" s="1"/>
  <c r="I161" i="113"/>
  <c r="I171" i="113" s="1"/>
  <c r="I17" i="113" s="1"/>
  <c r="J171" i="113"/>
  <c r="J17" i="113" s="1"/>
  <c r="J172" i="114"/>
  <c r="J18" i="114" s="1"/>
  <c r="I162" i="114"/>
  <c r="I172" i="114" s="1"/>
  <c r="I18" i="114" s="1"/>
  <c r="M139" i="115"/>
  <c r="K19" i="115"/>
  <c r="K174" i="109"/>
  <c r="J173" i="110"/>
  <c r="J19" i="110" s="1"/>
  <c r="I163" i="110"/>
  <c r="I173" i="110" s="1"/>
  <c r="I19" i="110" s="1"/>
  <c r="K17" i="110"/>
  <c r="M137" i="110"/>
  <c r="I159" i="109"/>
  <c r="I169" i="109" s="1"/>
  <c r="I15" i="109" s="1"/>
  <c r="J169" i="109"/>
  <c r="J15" i="109" s="1"/>
  <c r="K174" i="112"/>
  <c r="K18" i="111"/>
  <c r="M138" i="111"/>
  <c r="J169" i="115"/>
  <c r="J15" i="115" s="1"/>
  <c r="I159" i="115"/>
  <c r="I169" i="115" s="1"/>
  <c r="I15" i="115" s="1"/>
  <c r="K16" i="110"/>
  <c r="M136" i="110"/>
  <c r="K17" i="111"/>
  <c r="M137" i="111"/>
  <c r="M133" i="115"/>
  <c r="K13" i="115"/>
  <c r="K140" i="115"/>
  <c r="M140" i="115" s="1"/>
  <c r="M137" i="109"/>
  <c r="K17" i="109"/>
  <c r="M134" i="110"/>
  <c r="K14" i="110"/>
  <c r="M134" i="112"/>
  <c r="K14" i="112"/>
  <c r="M118" i="111"/>
  <c r="K23" i="111"/>
  <c r="K15" i="111"/>
  <c r="M135" i="111"/>
  <c r="J170" i="109"/>
  <c r="J16" i="109" s="1"/>
  <c r="I160" i="109"/>
  <c r="I170" i="109" s="1"/>
  <c r="I16" i="109" s="1"/>
  <c r="K15" i="112"/>
  <c r="M135" i="112"/>
  <c r="M134" i="113"/>
  <c r="K14" i="113"/>
  <c r="K13" i="114"/>
  <c r="M133" i="114"/>
  <c r="K140" i="114"/>
  <c r="M140" i="114" s="1"/>
  <c r="I159" i="110"/>
  <c r="I169" i="110" s="1"/>
  <c r="I15" i="110" s="1"/>
  <c r="J169" i="110"/>
  <c r="J15" i="110" s="1"/>
  <c r="J172" i="112"/>
  <c r="J18" i="112" s="1"/>
  <c r="I162" i="112"/>
  <c r="I172" i="112" s="1"/>
  <c r="M139" i="110"/>
  <c r="K19" i="110"/>
  <c r="J168" i="112"/>
  <c r="J14" i="112" s="1"/>
  <c r="I158" i="112"/>
  <c r="I168" i="112" s="1"/>
  <c r="I14" i="112" s="1"/>
  <c r="K13" i="113"/>
  <c r="M133" i="113"/>
  <c r="K140" i="113"/>
  <c r="M140" i="113" s="1"/>
  <c r="J168" i="115"/>
  <c r="J14" i="115" s="1"/>
  <c r="I158" i="115"/>
  <c r="I168" i="115" s="1"/>
  <c r="I14" i="115" s="1"/>
  <c r="I163" i="112"/>
  <c r="I173" i="112" s="1"/>
  <c r="I19" i="112" s="1"/>
  <c r="J173" i="112"/>
  <c r="J19" i="112" s="1"/>
  <c r="M136" i="109"/>
  <c r="K16" i="109"/>
  <c r="I163" i="113"/>
  <c r="I173" i="113" s="1"/>
  <c r="I19" i="113" s="1"/>
  <c r="J173" i="113"/>
  <c r="J19" i="113" s="1"/>
  <c r="K13" i="109"/>
  <c r="M133" i="109"/>
  <c r="K140" i="109"/>
  <c r="M140" i="109" s="1"/>
  <c r="I160" i="111"/>
  <c r="I170" i="111" s="1"/>
  <c r="I16" i="111" s="1"/>
  <c r="J170" i="111"/>
  <c r="J16" i="111" s="1"/>
  <c r="M118" i="115"/>
  <c r="K23" i="115"/>
  <c r="M136" i="115"/>
  <c r="K16" i="115"/>
  <c r="M118" i="113"/>
  <c r="K23" i="113"/>
  <c r="K13" i="110"/>
  <c r="M133" i="110"/>
  <c r="K140" i="110"/>
  <c r="M140" i="110" s="1"/>
  <c r="J173" i="109"/>
  <c r="J19" i="109" s="1"/>
  <c r="I163" i="109"/>
  <c r="I173" i="109" s="1"/>
  <c r="I19" i="109" s="1"/>
  <c r="M135" i="109"/>
  <c r="K15" i="109"/>
  <c r="K23" i="114"/>
  <c r="M118" i="114"/>
  <c r="J173" i="114"/>
  <c r="J19" i="114" s="1"/>
  <c r="I163" i="114"/>
  <c r="I173" i="114" s="1"/>
  <c r="I19" i="114" s="1"/>
  <c r="I161" i="109"/>
  <c r="I171" i="109" s="1"/>
  <c r="I17" i="109" s="1"/>
  <c r="J171" i="109"/>
  <c r="J17" i="109" s="1"/>
  <c r="M138" i="115"/>
  <c r="K18" i="115"/>
  <c r="K18" i="112"/>
  <c r="M138" i="112"/>
  <c r="J172" i="111"/>
  <c r="J18" i="111" s="1"/>
  <c r="I162" i="111"/>
  <c r="I172" i="111" s="1"/>
  <c r="I18" i="111" s="1"/>
  <c r="I163" i="111"/>
  <c r="I173" i="111" s="1"/>
  <c r="I19" i="111" s="1"/>
  <c r="J173" i="111"/>
  <c r="J19" i="111" s="1"/>
  <c r="K19" i="111"/>
  <c r="M139" i="111"/>
  <c r="I161" i="114"/>
  <c r="I171" i="114" s="1"/>
  <c r="I17" i="114" s="1"/>
  <c r="J171" i="114"/>
  <c r="J17" i="114" s="1"/>
  <c r="I159" i="111"/>
  <c r="I169" i="111" s="1"/>
  <c r="I15" i="111" s="1"/>
  <c r="J169" i="111"/>
  <c r="J15" i="111" s="1"/>
  <c r="M138" i="110"/>
  <c r="K18" i="110"/>
  <c r="K23" i="110"/>
  <c r="M118" i="110"/>
  <c r="K174" i="115"/>
  <c r="M137" i="112"/>
  <c r="K17" i="112"/>
  <c r="I160" i="113"/>
  <c r="I170" i="113" s="1"/>
  <c r="I16" i="113" s="1"/>
  <c r="J170" i="113"/>
  <c r="J16" i="113" s="1"/>
  <c r="J167" i="113"/>
  <c r="J13" i="113" s="1"/>
  <c r="I157" i="113"/>
  <c r="I167" i="113" s="1"/>
  <c r="K14" i="109"/>
  <c r="M134" i="109"/>
  <c r="K16" i="111"/>
  <c r="M136" i="111"/>
  <c r="J167" i="111"/>
  <c r="I157" i="111"/>
  <c r="I167" i="111" s="1"/>
  <c r="M139" i="113"/>
  <c r="K19" i="113"/>
  <c r="J170" i="112"/>
  <c r="J16" i="112" s="1"/>
  <c r="I160" i="112"/>
  <c r="I170" i="112" s="1"/>
  <c r="I16" i="112" s="1"/>
  <c r="I160" i="110"/>
  <c r="I170" i="110" s="1"/>
  <c r="I16" i="110" s="1"/>
  <c r="J170" i="110"/>
  <c r="J16" i="110" s="1"/>
  <c r="I162" i="113"/>
  <c r="I172" i="113" s="1"/>
  <c r="I18" i="113" s="1"/>
  <c r="J172" i="113"/>
  <c r="J18" i="113" s="1"/>
  <c r="K18" i="114"/>
  <c r="M138" i="114"/>
  <c r="I157" i="115"/>
  <c r="I167" i="115" s="1"/>
  <c r="J167" i="115"/>
  <c r="I160" i="115"/>
  <c r="I170" i="115" s="1"/>
  <c r="I16" i="115" s="1"/>
  <c r="J170" i="115"/>
  <c r="J16" i="115" s="1"/>
  <c r="K16" i="114"/>
  <c r="M136" i="114"/>
  <c r="K174" i="113"/>
  <c r="J168" i="109"/>
  <c r="J14" i="109" s="1"/>
  <c r="I158" i="109"/>
  <c r="I168" i="109" s="1"/>
  <c r="I14" i="109" s="1"/>
  <c r="K174" i="111"/>
  <c r="M134" i="114"/>
  <c r="K14" i="114"/>
  <c r="K174" i="110"/>
  <c r="J168" i="113"/>
  <c r="J14" i="113" s="1"/>
  <c r="I158" i="113"/>
  <c r="I168" i="113" s="1"/>
  <c r="I14" i="113" s="1"/>
  <c r="K174" i="114"/>
  <c r="M135" i="115"/>
  <c r="K15" i="115"/>
  <c r="J172" i="115"/>
  <c r="J18" i="115" s="1"/>
  <c r="I162" i="115"/>
  <c r="I172" i="115" s="1"/>
  <c r="I18" i="115" s="1"/>
  <c r="I161" i="112"/>
  <c r="I171" i="112" s="1"/>
  <c r="I17" i="112" s="1"/>
  <c r="J171" i="112"/>
  <c r="J17" i="112" s="1"/>
  <c r="I159" i="114"/>
  <c r="I169" i="114" s="1"/>
  <c r="I15" i="114" s="1"/>
  <c r="J169" i="114"/>
  <c r="J15" i="114" s="1"/>
  <c r="M136" i="113"/>
  <c r="K16" i="113"/>
  <c r="I162" i="109"/>
  <c r="I172" i="109" s="1"/>
  <c r="I18" i="109" s="1"/>
  <c r="J172" i="109"/>
  <c r="J18" i="109" s="1"/>
  <c r="K17" i="115"/>
  <c r="M137" i="115"/>
  <c r="I162" i="110"/>
  <c r="I172" i="110" s="1"/>
  <c r="I18" i="110" s="1"/>
  <c r="J172" i="110"/>
  <c r="J18" i="110" s="1"/>
  <c r="M134" i="115"/>
  <c r="K14" i="115"/>
  <c r="I157" i="110"/>
  <c r="I167" i="110" s="1"/>
  <c r="J167" i="110"/>
  <c r="J167" i="114"/>
  <c r="I157" i="114"/>
  <c r="I167" i="114" s="1"/>
  <c r="I161" i="111"/>
  <c r="I171" i="111" s="1"/>
  <c r="I17" i="111" s="1"/>
  <c r="J171" i="111"/>
  <c r="J17" i="111" s="1"/>
  <c r="B38" i="101"/>
  <c r="I137" i="35"/>
  <c r="I136" i="35"/>
  <c r="J55" i="35"/>
  <c r="I111" i="35"/>
  <c r="C81" i="101" s="1"/>
  <c r="H140" i="35"/>
  <c r="L161" i="101" l="1"/>
  <c r="J184" i="35"/>
  <c r="J66" i="35"/>
  <c r="I184" i="35"/>
  <c r="I66" i="35"/>
  <c r="I69" i="35"/>
  <c r="AA58" i="101"/>
  <c r="AA36" i="101" s="1"/>
  <c r="K20" i="110"/>
  <c r="AB61" i="101"/>
  <c r="AB39" i="101" s="1"/>
  <c r="AB57" i="101"/>
  <c r="K20" i="109"/>
  <c r="J174" i="109"/>
  <c r="J13" i="109"/>
  <c r="AB60" i="101"/>
  <c r="AB38" i="101" s="1"/>
  <c r="Z60" i="101"/>
  <c r="Z38" i="101" s="1"/>
  <c r="AC38" i="101" s="1"/>
  <c r="AB62" i="101"/>
  <c r="I174" i="112"/>
  <c r="I18" i="112"/>
  <c r="Z62" i="101" s="1"/>
  <c r="AA60" i="101"/>
  <c r="AA38" i="101" s="1"/>
  <c r="K20" i="115"/>
  <c r="Z59" i="101"/>
  <c r="Z37" i="101" s="1"/>
  <c r="AA63" i="101"/>
  <c r="AA62" i="101"/>
  <c r="K20" i="111"/>
  <c r="J174" i="115"/>
  <c r="J13" i="115"/>
  <c r="J20" i="115" s="1"/>
  <c r="I174" i="111"/>
  <c r="I13" i="111"/>
  <c r="I20" i="111" s="1"/>
  <c r="Z63" i="101"/>
  <c r="J174" i="113"/>
  <c r="J15" i="113"/>
  <c r="J20" i="113" s="1"/>
  <c r="AB59" i="101"/>
  <c r="AB37" i="101" s="1"/>
  <c r="J174" i="112"/>
  <c r="J13" i="112"/>
  <c r="J20" i="112" s="1"/>
  <c r="J174" i="111"/>
  <c r="J13" i="111"/>
  <c r="J20" i="111" s="1"/>
  <c r="AB63" i="101"/>
  <c r="AA61" i="101"/>
  <c r="AA39" i="101" s="1"/>
  <c r="Z61" i="101"/>
  <c r="Z39" i="101" s="1"/>
  <c r="I174" i="114"/>
  <c r="I13" i="114"/>
  <c r="I20" i="114" s="1"/>
  <c r="J174" i="114"/>
  <c r="J13" i="114"/>
  <c r="J20" i="114" s="1"/>
  <c r="I174" i="115"/>
  <c r="I13" i="115"/>
  <c r="I20" i="115" s="1"/>
  <c r="J174" i="110"/>
  <c r="J13" i="110"/>
  <c r="J20" i="110" s="1"/>
  <c r="I174" i="110"/>
  <c r="I13" i="110"/>
  <c r="I20" i="110" s="1"/>
  <c r="K20" i="114"/>
  <c r="K20" i="112"/>
  <c r="I174" i="113"/>
  <c r="I13" i="113"/>
  <c r="I20" i="113" s="1"/>
  <c r="Z58" i="101"/>
  <c r="Z36" i="101" s="1"/>
  <c r="AB58" i="101"/>
  <c r="AB36" i="101" s="1"/>
  <c r="K20" i="113"/>
  <c r="I174" i="109"/>
  <c r="I13" i="109"/>
  <c r="J84" i="35"/>
  <c r="J86" i="35"/>
  <c r="J82" i="35"/>
  <c r="J85" i="35"/>
  <c r="J83" i="35"/>
  <c r="J87" i="35"/>
  <c r="J81" i="35"/>
  <c r="I112" i="35"/>
  <c r="C82" i="101" s="1"/>
  <c r="K107" i="35"/>
  <c r="J107" i="35"/>
  <c r="D99" i="101" s="1"/>
  <c r="I107" i="35"/>
  <c r="C99" i="101" s="1"/>
  <c r="I103" i="35"/>
  <c r="K103" i="35"/>
  <c r="J103" i="35"/>
  <c r="K106" i="35"/>
  <c r="K127" i="35" s="1"/>
  <c r="J106" i="35"/>
  <c r="I106" i="35"/>
  <c r="I102" i="35"/>
  <c r="C94" i="101" s="1"/>
  <c r="J102" i="35"/>
  <c r="K102" i="35"/>
  <c r="J101" i="35"/>
  <c r="K101" i="35"/>
  <c r="M101" i="35" s="1"/>
  <c r="I101" i="35"/>
  <c r="H8" i="35"/>
  <c r="C9" i="101" s="1"/>
  <c r="H7" i="35"/>
  <c r="Z134" i="101" l="1"/>
  <c r="AC37" i="101"/>
  <c r="Z136" i="101"/>
  <c r="AC39" i="101"/>
  <c r="Z133" i="101"/>
  <c r="AC36" i="101"/>
  <c r="L164" i="101"/>
  <c r="P161" i="101" s="1"/>
  <c r="I127" i="35"/>
  <c r="C98" i="101" s="1"/>
  <c r="J127" i="35"/>
  <c r="D98" i="101" s="1"/>
  <c r="J161" i="101"/>
  <c r="J164" i="101" s="1"/>
  <c r="K161" i="101"/>
  <c r="K164" i="101" s="1"/>
  <c r="M103" i="35"/>
  <c r="E95" i="101"/>
  <c r="AB40" i="101"/>
  <c r="I20" i="112"/>
  <c r="AA40" i="101"/>
  <c r="Z40" i="101"/>
  <c r="AC40" i="101" s="1"/>
  <c r="AA59" i="101"/>
  <c r="AA37" i="101" s="1"/>
  <c r="I20" i="109"/>
  <c r="Z57" i="101"/>
  <c r="J20" i="109"/>
  <c r="AA57" i="101"/>
  <c r="AB35" i="101"/>
  <c r="AB64" i="101"/>
  <c r="J69" i="35"/>
  <c r="I139" i="35"/>
  <c r="I138" i="35"/>
  <c r="K69" i="35"/>
  <c r="E99" i="101"/>
  <c r="M107" i="35"/>
  <c r="E98" i="101"/>
  <c r="M106" i="35"/>
  <c r="E94" i="101"/>
  <c r="M102" i="35"/>
  <c r="D94" i="101"/>
  <c r="D93" i="101"/>
  <c r="I134" i="35"/>
  <c r="C93" i="101"/>
  <c r="E93" i="101"/>
  <c r="H167" i="35"/>
  <c r="H13" i="35" s="1"/>
  <c r="B57" i="101" s="1"/>
  <c r="C10" i="101"/>
  <c r="C24" i="101" s="1"/>
  <c r="P159" i="101" l="1"/>
  <c r="P158" i="101"/>
  <c r="P156" i="101"/>
  <c r="P160" i="101"/>
  <c r="P157" i="101"/>
  <c r="O161" i="101"/>
  <c r="O158" i="101"/>
  <c r="O156" i="101"/>
  <c r="O159" i="101"/>
  <c r="O160" i="101"/>
  <c r="O157" i="101"/>
  <c r="N159" i="101"/>
  <c r="N156" i="101"/>
  <c r="N161" i="101"/>
  <c r="N158" i="101"/>
  <c r="N160" i="101"/>
  <c r="N157" i="101"/>
  <c r="AA35" i="101"/>
  <c r="AA64" i="101"/>
  <c r="AB41" i="101"/>
  <c r="AB42" i="101" s="1"/>
  <c r="AB65" i="101"/>
  <c r="AB29" i="101"/>
  <c r="AB31" i="101" s="1"/>
  <c r="Z35" i="101"/>
  <c r="Z64" i="101"/>
  <c r="M128" i="35"/>
  <c r="M127" i="35"/>
  <c r="M124" i="35"/>
  <c r="M123" i="35"/>
  <c r="M122" i="35"/>
  <c r="J114" i="35"/>
  <c r="D84" i="101" s="1"/>
  <c r="K55" i="35"/>
  <c r="J116" i="35"/>
  <c r="D86" i="101" s="1"/>
  <c r="J112" i="35"/>
  <c r="D82" i="101" s="1"/>
  <c r="J117" i="35"/>
  <c r="D87" i="101" s="1"/>
  <c r="J113" i="35"/>
  <c r="D83" i="101" s="1"/>
  <c r="J115" i="35"/>
  <c r="D85" i="101" s="1"/>
  <c r="I133" i="35"/>
  <c r="J52" i="35"/>
  <c r="D95" i="101"/>
  <c r="K129" i="35"/>
  <c r="I113" i="35"/>
  <c r="C83" i="101" s="1"/>
  <c r="C95" i="101"/>
  <c r="J153" i="35"/>
  <c r="K153" i="35"/>
  <c r="K186" i="35" s="1"/>
  <c r="H171" i="35"/>
  <c r="H17" i="35" s="1"/>
  <c r="B61" i="101" s="1"/>
  <c r="H173" i="35"/>
  <c r="H19" i="35" s="1"/>
  <c r="B63" i="101" s="1"/>
  <c r="H168" i="35"/>
  <c r="H14" i="35" s="1"/>
  <c r="B58" i="101" s="1"/>
  <c r="I52" i="35"/>
  <c r="Z132" i="101" l="1"/>
  <c r="AC35" i="101"/>
  <c r="Z29" i="101"/>
  <c r="Z31" i="101" s="1"/>
  <c r="Z41" i="101"/>
  <c r="Z42" i="101" s="1"/>
  <c r="Z65" i="101"/>
  <c r="AA29" i="101"/>
  <c r="AA31" i="101" s="1"/>
  <c r="AA65" i="101"/>
  <c r="AA41" i="101"/>
  <c r="AA42" i="101" s="1"/>
  <c r="J186" i="35"/>
  <c r="K86" i="35"/>
  <c r="K82" i="35"/>
  <c r="K87" i="35"/>
  <c r="K84" i="35"/>
  <c r="K83" i="35"/>
  <c r="K85" i="35"/>
  <c r="K81" i="35"/>
  <c r="I135" i="35"/>
  <c r="I129" i="35"/>
  <c r="I24" i="35" s="1"/>
  <c r="C100" i="101"/>
  <c r="C101" i="101" s="1"/>
  <c r="J129" i="35"/>
  <c r="J24" i="35" s="1"/>
  <c r="D100" i="101"/>
  <c r="D101" i="101" s="1"/>
  <c r="E100" i="101"/>
  <c r="E101" i="101" s="1"/>
  <c r="J134" i="35"/>
  <c r="J139" i="35"/>
  <c r="J138" i="35"/>
  <c r="J136" i="35"/>
  <c r="I118" i="35"/>
  <c r="I23" i="35" s="1"/>
  <c r="C88" i="101"/>
  <c r="C89" i="101" s="1"/>
  <c r="J137" i="35"/>
  <c r="M129" i="35"/>
  <c r="K24" i="35"/>
  <c r="J111" i="35"/>
  <c r="D81" i="101" s="1"/>
  <c r="J135" i="35"/>
  <c r="H172" i="35"/>
  <c r="J118" i="35" l="1"/>
  <c r="J23" i="35" s="1"/>
  <c r="D88" i="101"/>
  <c r="D89" i="101" s="1"/>
  <c r="H174" i="35"/>
  <c r="H18" i="35"/>
  <c r="B62" i="101" s="1"/>
  <c r="I140" i="35"/>
  <c r="J133" i="35"/>
  <c r="H20" i="35" l="1"/>
  <c r="J140" i="35"/>
  <c r="K163" i="35"/>
  <c r="K117" i="35"/>
  <c r="E87" i="101" s="1"/>
  <c r="K159" i="35"/>
  <c r="K113" i="35"/>
  <c r="K111" i="35"/>
  <c r="E81" i="101" s="1"/>
  <c r="K157" i="35"/>
  <c r="K160" i="35"/>
  <c r="K114" i="35"/>
  <c r="E84" i="101" s="1"/>
  <c r="K161" i="35"/>
  <c r="K115" i="35"/>
  <c r="E85" i="101" s="1"/>
  <c r="K116" i="35"/>
  <c r="E86" i="101" s="1"/>
  <c r="K162" i="35"/>
  <c r="K112" i="35"/>
  <c r="E82" i="101" s="1"/>
  <c r="K158" i="35"/>
  <c r="J158" i="35" s="1"/>
  <c r="I153" i="35"/>
  <c r="I186" i="35" s="1"/>
  <c r="K135" i="35" l="1"/>
  <c r="E83" i="101"/>
  <c r="E88" i="101" s="1"/>
  <c r="E89" i="101" s="1"/>
  <c r="B64" i="101"/>
  <c r="M111" i="35"/>
  <c r="K134" i="35"/>
  <c r="M112" i="35"/>
  <c r="K137" i="35"/>
  <c r="M115" i="35"/>
  <c r="K136" i="35"/>
  <c r="M114" i="35"/>
  <c r="M113" i="35"/>
  <c r="K139" i="35"/>
  <c r="M117" i="35"/>
  <c r="K138" i="35"/>
  <c r="M116" i="35"/>
  <c r="K118" i="35"/>
  <c r="K133" i="35"/>
  <c r="J162" i="35"/>
  <c r="K172" i="35"/>
  <c r="J161" i="35"/>
  <c r="K171" i="35"/>
  <c r="K170" i="35"/>
  <c r="J160" i="35"/>
  <c r="J157" i="35"/>
  <c r="K167" i="35"/>
  <c r="K169" i="35"/>
  <c r="J159" i="35"/>
  <c r="K168" i="35"/>
  <c r="J163" i="35"/>
  <c r="K173" i="35"/>
  <c r="B29" i="101" l="1"/>
  <c r="K15" i="35"/>
  <c r="E59" i="101" s="1"/>
  <c r="AB71" i="101"/>
  <c r="Y74" i="101"/>
  <c r="Z75" i="101"/>
  <c r="Y71" i="101"/>
  <c r="Y75" i="101"/>
  <c r="Z74" i="101"/>
  <c r="AA75" i="101"/>
  <c r="AA70" i="101"/>
  <c r="AA133" i="101" s="1"/>
  <c r="Y73" i="101"/>
  <c r="Y136" i="101" s="1"/>
  <c r="AA71" i="101"/>
  <c r="AA134" i="101" s="1"/>
  <c r="AA73" i="101"/>
  <c r="AA136" i="101" s="1"/>
  <c r="Z71" i="101"/>
  <c r="AA74" i="101"/>
  <c r="AA137" i="101" s="1"/>
  <c r="Z72" i="101"/>
  <c r="Z135" i="101" s="1"/>
  <c r="AA72" i="101"/>
  <c r="AA135" i="101" s="1"/>
  <c r="Y70" i="101"/>
  <c r="Z73" i="101"/>
  <c r="Y72" i="101"/>
  <c r="Y135" i="101" s="1"/>
  <c r="Z70" i="101"/>
  <c r="AB134" i="101"/>
  <c r="AB69" i="101"/>
  <c r="AB132" i="101" s="1"/>
  <c r="AB73" i="101"/>
  <c r="AB136" i="101" s="1"/>
  <c r="AB72" i="101"/>
  <c r="AB135" i="101" s="1"/>
  <c r="AB75" i="101"/>
  <c r="Z69" i="101"/>
  <c r="AB70" i="101"/>
  <c r="Y69" i="101"/>
  <c r="Y132" i="101" s="1"/>
  <c r="AB74" i="101"/>
  <c r="AA69" i="101"/>
  <c r="AA132" i="101" s="1"/>
  <c r="Z76" i="101"/>
  <c r="AB76" i="101"/>
  <c r="AA76" i="101"/>
  <c r="B135" i="101"/>
  <c r="B65" i="101"/>
  <c r="M118" i="35"/>
  <c r="K23" i="35"/>
  <c r="K18" i="35"/>
  <c r="E62" i="101" s="1"/>
  <c r="M138" i="35"/>
  <c r="M137" i="35"/>
  <c r="K17" i="35"/>
  <c r="E61" i="101" s="1"/>
  <c r="M135" i="35"/>
  <c r="M136" i="35"/>
  <c r="K16" i="35"/>
  <c r="E60" i="101" s="1"/>
  <c r="K140" i="35"/>
  <c r="M140" i="35" s="1"/>
  <c r="M133" i="35"/>
  <c r="K13" i="35"/>
  <c r="E57" i="101" s="1"/>
  <c r="K19" i="35"/>
  <c r="E63" i="101" s="1"/>
  <c r="M139" i="35"/>
  <c r="M134" i="35"/>
  <c r="K14" i="35"/>
  <c r="E58" i="101" s="1"/>
  <c r="K174" i="35"/>
  <c r="I160" i="35"/>
  <c r="I170" i="35" s="1"/>
  <c r="I16" i="35" s="1"/>
  <c r="C60" i="101" s="1"/>
  <c r="J170" i="35"/>
  <c r="J16" i="35" s="1"/>
  <c r="D60" i="101" s="1"/>
  <c r="I157" i="35"/>
  <c r="I167" i="35" s="1"/>
  <c r="I13" i="35" s="1"/>
  <c r="C57" i="101" s="1"/>
  <c r="J167" i="35"/>
  <c r="J13" i="35" s="1"/>
  <c r="D57" i="101" s="1"/>
  <c r="I158" i="35"/>
  <c r="I168" i="35" s="1"/>
  <c r="I14" i="35" s="1"/>
  <c r="C58" i="101" s="1"/>
  <c r="J168" i="35"/>
  <c r="J14" i="35" s="1"/>
  <c r="D58" i="101" s="1"/>
  <c r="J171" i="35"/>
  <c r="J17" i="35" s="1"/>
  <c r="D61" i="101" s="1"/>
  <c r="I161" i="35"/>
  <c r="I171" i="35" s="1"/>
  <c r="I17" i="35" s="1"/>
  <c r="C61" i="101" s="1"/>
  <c r="I163" i="35"/>
  <c r="I173" i="35" s="1"/>
  <c r="I19" i="35" s="1"/>
  <c r="C63" i="101" s="1"/>
  <c r="J173" i="35"/>
  <c r="J19" i="35" s="1"/>
  <c r="D63" i="101" s="1"/>
  <c r="I162" i="35"/>
  <c r="I172" i="35" s="1"/>
  <c r="I18" i="35" s="1"/>
  <c r="C62" i="101" s="1"/>
  <c r="J172" i="35"/>
  <c r="J18" i="35" s="1"/>
  <c r="D62" i="101" s="1"/>
  <c r="I159" i="35"/>
  <c r="I169" i="35" s="1"/>
  <c r="I15" i="35" s="1"/>
  <c r="C59" i="101" s="1"/>
  <c r="J169" i="35"/>
  <c r="J15" i="35" s="1"/>
  <c r="D59" i="101" s="1"/>
  <c r="E37" i="101" l="1"/>
  <c r="AA140" i="101"/>
  <c r="Y140" i="101"/>
  <c r="Z139" i="101"/>
  <c r="Z140" i="101"/>
  <c r="D37" i="101"/>
  <c r="D38" i="101"/>
  <c r="C37" i="101"/>
  <c r="C38" i="101"/>
  <c r="E38" i="101"/>
  <c r="Y139" i="101"/>
  <c r="AA139" i="101"/>
  <c r="AA138" i="101"/>
  <c r="Z137" i="101"/>
  <c r="Z138" i="101" s="1"/>
  <c r="Y137" i="101"/>
  <c r="Y138" i="101" s="1"/>
  <c r="AA77" i="101"/>
  <c r="AB77" i="101"/>
  <c r="Z77" i="101"/>
  <c r="AB137" i="101"/>
  <c r="K20" i="35"/>
  <c r="J174" i="35"/>
  <c r="J20" i="35"/>
  <c r="I20" i="35"/>
  <c r="I174" i="35"/>
  <c r="D135" i="101" l="1"/>
  <c r="D64" i="101"/>
  <c r="D134" i="101"/>
  <c r="E134" i="101"/>
  <c r="E64" i="101"/>
  <c r="C64" i="101"/>
  <c r="E135" i="101"/>
  <c r="C135" i="101"/>
  <c r="C134" i="101"/>
  <c r="AB133" i="101"/>
  <c r="C29" i="101" l="1"/>
  <c r="D29" i="101"/>
  <c r="E29" i="101"/>
  <c r="AB139" i="101"/>
  <c r="AB140" i="101"/>
  <c r="D65" i="101"/>
  <c r="C65" i="101"/>
  <c r="E65" i="101"/>
  <c r="AB138" i="101"/>
  <c r="E7" i="116" l="1"/>
  <c r="B115" i="101" s="1"/>
  <c r="B36" i="101" s="1"/>
  <c r="B133" i="101" s="1"/>
  <c r="E10" i="116" l="1"/>
  <c r="B118" i="101" s="1"/>
  <c r="B37" i="101" s="1"/>
  <c r="B134" i="101" s="1"/>
  <c r="E9" i="116"/>
  <c r="B117" i="101" s="1"/>
  <c r="B39" i="101" s="1"/>
  <c r="B136" i="101" s="1"/>
  <c r="E8" i="116"/>
  <c r="B116" i="101" s="1"/>
  <c r="B35" i="101" s="1"/>
  <c r="B114" i="101" l="1"/>
  <c r="B40" i="101" s="1"/>
  <c r="B137" i="101" s="1"/>
  <c r="E5" i="116"/>
  <c r="B132" i="101"/>
  <c r="B41" i="101" l="1"/>
  <c r="B44" i="101"/>
  <c r="B139" i="101"/>
  <c r="Z143" i="101" s="1"/>
  <c r="B138" i="101"/>
  <c r="E14" i="116"/>
  <c r="B120" i="101"/>
  <c r="B123" i="101" l="1"/>
  <c r="Z123" i="101"/>
  <c r="Y123" i="101"/>
  <c r="B30" i="101"/>
  <c r="B31" i="101" s="1"/>
  <c r="AA123" i="101"/>
  <c r="AA143" i="101"/>
  <c r="AB143" i="101"/>
  <c r="B42" i="101" l="1"/>
  <c r="F76" i="116"/>
  <c r="G75" i="116"/>
  <c r="E74" i="116"/>
  <c r="G7" i="116" s="1"/>
  <c r="D115" i="101" s="1"/>
  <c r="D36" i="101" s="1"/>
  <c r="D133" i="101" s="1"/>
  <c r="D73" i="116"/>
  <c r="H72" i="116"/>
  <c r="F9" i="116" s="1"/>
  <c r="C117" i="101" s="1"/>
  <c r="C39" i="101" s="1"/>
  <c r="C136" i="101" s="1"/>
  <c r="F74" i="116" l="1"/>
  <c r="F73" i="116"/>
  <c r="G73" i="116"/>
  <c r="D74" i="116"/>
  <c r="G6" i="116" s="1"/>
  <c r="G76" i="116"/>
  <c r="H8" i="116" s="1"/>
  <c r="E116" i="101" s="1"/>
  <c r="E35" i="101" s="1"/>
  <c r="G74" i="116"/>
  <c r="G8" i="116" s="1"/>
  <c r="D116" i="101" s="1"/>
  <c r="D35" i="101" s="1"/>
  <c r="H74" i="116"/>
  <c r="G9" i="116" s="1"/>
  <c r="D117" i="101" s="1"/>
  <c r="D39" i="101" s="1"/>
  <c r="D136" i="101" s="1"/>
  <c r="E72" i="116"/>
  <c r="F7" i="116" s="1"/>
  <c r="C115" i="101" s="1"/>
  <c r="C36" i="101" s="1"/>
  <c r="C133" i="101" s="1"/>
  <c r="E76" i="116"/>
  <c r="H7" i="116" s="1"/>
  <c r="E115" i="101" s="1"/>
  <c r="E36" i="101" s="1"/>
  <c r="E133" i="101" s="1"/>
  <c r="H75" i="116"/>
  <c r="D76" i="116"/>
  <c r="H6" i="116" s="1"/>
  <c r="F72" i="116"/>
  <c r="D75" i="116"/>
  <c r="G72" i="116"/>
  <c r="F8" i="116" s="1"/>
  <c r="C116" i="101" s="1"/>
  <c r="C35" i="101" s="1"/>
  <c r="H73" i="116"/>
  <c r="E75" i="116"/>
  <c r="D72" i="116"/>
  <c r="F6" i="116" s="1"/>
  <c r="F75" i="116"/>
  <c r="H76" i="116"/>
  <c r="H9" i="116" s="1"/>
  <c r="E117" i="101" s="1"/>
  <c r="E39" i="101" s="1"/>
  <c r="E136" i="101" s="1"/>
  <c r="E73" i="116"/>
  <c r="C132" i="101" l="1"/>
  <c r="E114" i="101"/>
  <c r="E40" i="101" s="1"/>
  <c r="E137" i="101" s="1"/>
  <c r="H5" i="116"/>
  <c r="D132" i="101"/>
  <c r="C114" i="101"/>
  <c r="C40" i="101" s="1"/>
  <c r="C137" i="101" s="1"/>
  <c r="F5" i="116"/>
  <c r="E132" i="101"/>
  <c r="G5" i="116"/>
  <c r="D114" i="101"/>
  <c r="D40" i="101" s="1"/>
  <c r="D137" i="101" s="1"/>
  <c r="E41" i="101" l="1"/>
  <c r="D41" i="101"/>
  <c r="C41" i="101"/>
  <c r="E44" i="101"/>
  <c r="C138" i="101"/>
  <c r="C139" i="101"/>
  <c r="C143" i="101" s="1"/>
  <c r="D139" i="101"/>
  <c r="D143" i="101" s="1"/>
  <c r="D138" i="101"/>
  <c r="G14" i="116"/>
  <c r="D120" i="101"/>
  <c r="C120" i="101"/>
  <c r="F14" i="116"/>
  <c r="D44" i="101"/>
  <c r="H14" i="116"/>
  <c r="E120" i="101"/>
  <c r="E30" i="101" s="1"/>
  <c r="E138" i="101"/>
  <c r="E139" i="101"/>
  <c r="E143" i="101" s="1"/>
  <c r="C44" i="101"/>
  <c r="C42" i="101" l="1"/>
  <c r="C30" i="101"/>
  <c r="C31" i="101" s="1"/>
  <c r="C123" i="101"/>
  <c r="E42" i="101"/>
  <c r="E31" i="101"/>
  <c r="E123" i="101"/>
  <c r="D123" i="101"/>
  <c r="D30" i="101"/>
  <c r="D31" i="101" s="1"/>
  <c r="D42" i="10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<sst xmlns="http://schemas.openxmlformats.org/spreadsheetml/2006/main" count="3655" uniqueCount="425">
  <si>
    <t>Bureaux</t>
  </si>
  <si>
    <t>Habitat communautaire</t>
  </si>
  <si>
    <t>Santé</t>
  </si>
  <si>
    <t>Commerce</t>
  </si>
  <si>
    <t>Transport</t>
  </si>
  <si>
    <t>2020-2030</t>
  </si>
  <si>
    <t>2030-2040</t>
  </si>
  <si>
    <t>2040-2050</t>
  </si>
  <si>
    <t>S2</t>
  </si>
  <si>
    <t>S3</t>
  </si>
  <si>
    <t>S4</t>
  </si>
  <si>
    <t>Cafés-hôtels-restaurants</t>
  </si>
  <si>
    <t>Enseignement-recherche</t>
  </si>
  <si>
    <t>Sport, Loisirs, Culture</t>
  </si>
  <si>
    <t>TOTAL</t>
  </si>
  <si>
    <t>Fuel domestique</t>
  </si>
  <si>
    <t>Gaz naturel</t>
  </si>
  <si>
    <t>Total</t>
  </si>
  <si>
    <t>AME</t>
  </si>
  <si>
    <t>AMS</t>
  </si>
  <si>
    <t>Energie</t>
  </si>
  <si>
    <t>Réseau de chaleur</t>
  </si>
  <si>
    <t>GPL</t>
  </si>
  <si>
    <t>Proportion</t>
  </si>
  <si>
    <t>CHAUFFAGE</t>
  </si>
  <si>
    <t>Joule</t>
  </si>
  <si>
    <t>PAC</t>
  </si>
  <si>
    <t>Catégorie</t>
  </si>
  <si>
    <t>Tous bureaux</t>
  </si>
  <si>
    <t xml:space="preserve">Dont surfaces construites après 2015 </t>
  </si>
  <si>
    <t>Dont surfaces existantes en 2015</t>
  </si>
  <si>
    <t>SURFACES CHAUFFEES</t>
  </si>
  <si>
    <t>Justification hypothèses</t>
  </si>
  <si>
    <t>Surface</t>
  </si>
  <si>
    <t>Surface [thousand sq m]</t>
  </si>
  <si>
    <t>Proportion du parc suivant la trajectoire décret tertiaire</t>
  </si>
  <si>
    <t>Trajectoire décret tertiaire [kWh/sq m]</t>
  </si>
  <si>
    <t>Hypothèse TCAM 2020-2050</t>
  </si>
  <si>
    <t>La consommation du parc neuf évolue pour se caler sur les consommations du décret tertiaire, dès les années 2030</t>
  </si>
  <si>
    <t>Café Hôtel Restaurant</t>
  </si>
  <si>
    <t xml:space="preserve">Réduction de consommation de -60% par rapport aux consommations 2010. Il s'agit d'une moyenne (certains bâtiments feront plus, d'autres feront moins, notamment avec les modulations prévues pour raisons techniques, architecturales…)
</t>
  </si>
  <si>
    <t>Fuel : éradication du fuel,
Gaz naturel : devient résiduel
RCU : triplement des surfaces raccordées
Electricité :   Augmentation de la part de PAC au dépend du Joule (ratio 80/20)</t>
  </si>
  <si>
    <t>ENR</t>
  </si>
  <si>
    <t>Enseignement</t>
  </si>
  <si>
    <t>Sport Loisir Culture</t>
  </si>
  <si>
    <t>Santé social</t>
  </si>
  <si>
    <t>Electricité Joule</t>
  </si>
  <si>
    <t>Electricité PAC</t>
  </si>
  <si>
    <t>Café Hôtels Restaurants</t>
  </si>
  <si>
    <t>Etat initial (2020)</t>
  </si>
  <si>
    <t>Bureaux Administration</t>
  </si>
  <si>
    <t>Enseignement Recherche</t>
  </si>
  <si>
    <t>Santé Action Sociale</t>
  </si>
  <si>
    <t>total</t>
  </si>
  <si>
    <t>Renouvellement du parc (destruction reconstruction)</t>
  </si>
  <si>
    <t>Parc post-2020</t>
  </si>
  <si>
    <t>Etude d'impact du décret tertiaire (DHUP)</t>
  </si>
  <si>
    <t>Bureaux - Scénario AME</t>
  </si>
  <si>
    <t>Résultats - Scénario AME</t>
  </si>
  <si>
    <t>Surface chauffée  - Scénario AME [thousand sq m]</t>
  </si>
  <si>
    <t>Consommation par source énergie - Scénario AME [GWh LHV]</t>
  </si>
  <si>
    <t>Calculs - Scénario AME</t>
  </si>
  <si>
    <t>Surfaces chauffées - Scénario AME [thousand sq m]</t>
  </si>
  <si>
    <t>Parc existant en 2015 hors décret tertiaire - Hypothèses de consommation unitaire de chauffage par type d'énergie - Scénario AME</t>
  </si>
  <si>
    <t>Parc existant en 2020 hors décret tertiaire - Consommation unitaire de chauffage par type d'énergie [kWh/sq m] - Scénario AME</t>
  </si>
  <si>
    <t>Parc existant en 2015 -  Consommation de chauffage par type d'énergie - Scénario AME [GWh LHV]</t>
  </si>
  <si>
    <t>Parc neuf post 2015 -  Consommation de chauffage par type d'énergie - Scénario AME [GWh LHV]</t>
  </si>
  <si>
    <t>Hyp de décroissance de la conso de 0,2%/an (SDES)</t>
  </si>
  <si>
    <t>Réseaux de chaleur</t>
  </si>
  <si>
    <t>Parc neuf post 2020 - Répartition des surfaces chauffées par type d'énergie de chauffage - Scénario AME</t>
  </si>
  <si>
    <t>Parc neuf post 2020 - Consommation unitaire de chauffage par type d'énergie [kWh/sq m] - Scénario AME</t>
  </si>
  <si>
    <t>Parc neuf post-2020</t>
  </si>
  <si>
    <t>Parc existant en 2020</t>
  </si>
  <si>
    <t>Part du parc assujettie (&gt;1000m²) x part du parc asujetti respectant la trajectoire du décret</t>
  </si>
  <si>
    <t>Taux</t>
  </si>
  <si>
    <t>Taux annuel moyen</t>
  </si>
  <si>
    <t>Gaz</t>
  </si>
  <si>
    <t>Fioul</t>
  </si>
  <si>
    <t>Autres combustibles</t>
  </si>
  <si>
    <t>Électricité</t>
  </si>
  <si>
    <t>Baisse annuelle</t>
  </si>
  <si>
    <t>TCAM 2010-2020 toutes branches</t>
  </si>
  <si>
    <t xml:space="preserve">Les segments du parc non concernés par le décret tertiaire sont rénovés plus lentement que le rythme tendanciel, car il s'agit de surfaces plus difficiles à rénover (nature du propriétaire…). </t>
  </si>
  <si>
    <t>Proportion du parc assujetti suivant la trajectoire du décret tertiaire</t>
  </si>
  <si>
    <t>Proportion du parc assujeti (&gt;1000m²)</t>
  </si>
  <si>
    <t>Parc existant en 2015 suivant le décret tertiaire -  Consommation de chauffage par type d'énergie - Scénario AME [GWh LHV]</t>
  </si>
  <si>
    <t>Parc existant en 2015 hors décret tertiaire -  Consommation de chauffage par type d'énergie - Scénario AME [GWh LHV]</t>
  </si>
  <si>
    <t xml:space="preserve">Baisses de consommation induites par les changements de système de chauffage </t>
  </si>
  <si>
    <t>Parc existant en 2015 - Répartition des surfaces chauffées par type d'énergie de chauffage - Scénario Tendanciel - surfaces hors décret</t>
  </si>
  <si>
    <t>Baisses de consommation induites par les changements de système de chauffage</t>
  </si>
  <si>
    <t>Parc existant en 2015 - Répartition des surfaces chauffées par type d'énergie de chauffage - Scénario Tendanciel - surfaces suivant la traj décret</t>
  </si>
  <si>
    <t>[Aide au calage] Evolution 2010-2050</t>
  </si>
  <si>
    <t>Part Etat</t>
  </si>
  <si>
    <t>Part Privé</t>
  </si>
  <si>
    <t>Part collectivités</t>
  </si>
  <si>
    <t>Etat</t>
  </si>
  <si>
    <t>Privé</t>
  </si>
  <si>
    <t>Collectivités</t>
  </si>
  <si>
    <t>Réalisation des objectifs</t>
  </si>
  <si>
    <t>Baisse de la consommation du parc suivant le décret</t>
  </si>
  <si>
    <t>Baisse de la consommation du parc hors décret</t>
  </si>
  <si>
    <t>Surface du parc (milliers de m²)</t>
  </si>
  <si>
    <t>Existant 2020</t>
  </si>
  <si>
    <t>Neuf post 2020</t>
  </si>
  <si>
    <t>Gain énergétique</t>
  </si>
  <si>
    <t>Consommation totale en GWh AME</t>
  </si>
  <si>
    <t>Consommation parc suivant le décret en GWh AME</t>
  </si>
  <si>
    <t>Consommation parc hors décret en GWh AME</t>
  </si>
  <si>
    <t>Scénario AME</t>
  </si>
  <si>
    <t>Scénario AMS</t>
  </si>
  <si>
    <t>Consommation parc suivant le décret en GWh AMS</t>
  </si>
  <si>
    <t>Consommation parc hors décret en GWh AMS</t>
  </si>
  <si>
    <t>Surfaces &gt; 1000m²</t>
  </si>
  <si>
    <t>Surfaces &gt; 500m²</t>
  </si>
  <si>
    <t>Dont surfaces existantes en 2020</t>
  </si>
  <si>
    <t>Dont surfaces construites après 2020</t>
  </si>
  <si>
    <t>https://www.ecologie.gouv.fr/sites/default/files/CGDD_scenarios_renovation_batiments_tertiaires_publication_20201203.pdf</t>
  </si>
  <si>
    <t>p. 54</t>
  </si>
  <si>
    <t>Parc post-2020 (besoins suppl. + destruction/reconstruction)</t>
  </si>
  <si>
    <t>Flux de renouvellement annuel</t>
  </si>
  <si>
    <t>Hors chauffage - Scénario AME</t>
  </si>
  <si>
    <t>Eau chaude sanitaire</t>
  </si>
  <si>
    <t>CUISSON</t>
  </si>
  <si>
    <t>ELECTRICITE SPECIFIQUE</t>
  </si>
  <si>
    <t>CLIMATISATION</t>
  </si>
  <si>
    <t>HORS CEREN</t>
  </si>
  <si>
    <t>ECS (kWh/m²)</t>
  </si>
  <si>
    <t>Surface tertiaire (Mm²)</t>
  </si>
  <si>
    <t>Conso (TWh ef)</t>
  </si>
  <si>
    <t>électricité (PAC incluses)</t>
  </si>
  <si>
    <t>Gaz réseau</t>
  </si>
  <si>
    <t>Charbon</t>
  </si>
  <si>
    <t>Pétrole/GPL</t>
  </si>
  <si>
    <t>Bois</t>
  </si>
  <si>
    <t>Réseau de Chaleur Urbain</t>
  </si>
  <si>
    <t>Mix ECS</t>
  </si>
  <si>
    <t>Conso ECS (TWh Ef)</t>
  </si>
  <si>
    <t>Conso cuisson (TWh Ef)</t>
  </si>
  <si>
    <t>Mix cuisson</t>
  </si>
  <si>
    <t>Cuisson (kWh/m²)</t>
  </si>
  <si>
    <t>Elec spé (kWh/m²)</t>
  </si>
  <si>
    <t>Sortie MICO scénario BAU corrigé des ratios des surfaces</t>
  </si>
  <si>
    <t>TWh par zone climatique</t>
  </si>
  <si>
    <t>H1A</t>
  </si>
  <si>
    <t>H1B</t>
  </si>
  <si>
    <t>H1C</t>
  </si>
  <si>
    <t>H2A</t>
  </si>
  <si>
    <t>H2B</t>
  </si>
  <si>
    <t>H2C</t>
  </si>
  <si>
    <t>H2D</t>
  </si>
  <si>
    <t>H3</t>
  </si>
  <si>
    <t>Martinique</t>
  </si>
  <si>
    <t>Guadeloupe</t>
  </si>
  <si>
    <t>Guyane</t>
  </si>
  <si>
    <t>Mayotte</t>
  </si>
  <si>
    <t>La Réunion</t>
  </si>
  <si>
    <t>Total en TWh</t>
  </si>
  <si>
    <t>Conso (TWh)</t>
  </si>
  <si>
    <t>Métropole</t>
  </si>
  <si>
    <t>DROM</t>
  </si>
  <si>
    <t>TWh</t>
  </si>
  <si>
    <t>Eclairage public</t>
  </si>
  <si>
    <t>décroissance linéaire (~installation de LED à 50 %, nb de points lumineux suit la population, puissance moyenne et temps à pleine puissance constants)</t>
  </si>
  <si>
    <t>Data centers</t>
  </si>
  <si>
    <t>Consommations générales d’immeubles</t>
  </si>
  <si>
    <t>annexé au nb de LC</t>
  </si>
  <si>
    <t>Télécommunications</t>
  </si>
  <si>
    <t>annexé population</t>
  </si>
  <si>
    <t>Entrepôts frigorifiques et grands établissements de recherche</t>
  </si>
  <si>
    <t>hausse modérée (plateformes logistiques, livraisons alimentaires)</t>
  </si>
  <si>
    <t>Eau (distribution et assainissements)</t>
  </si>
  <si>
    <t>Non spécifié</t>
  </si>
  <si>
    <t xml:space="preserve">constant  </t>
  </si>
  <si>
    <t>Autres</t>
  </si>
  <si>
    <t>ecs</t>
  </si>
  <si>
    <t>Consommation (TWh)</t>
  </si>
  <si>
    <t>Electricité</t>
  </si>
  <si>
    <t>Pétrole</t>
  </si>
  <si>
    <t>Chaleur</t>
  </si>
  <si>
    <t>Baisse de consommation</t>
  </si>
  <si>
    <t>SDES</t>
  </si>
  <si>
    <t>Mtep</t>
  </si>
  <si>
    <t>chauffage</t>
  </si>
  <si>
    <t>elec spé</t>
  </si>
  <si>
    <t>clim</t>
  </si>
  <si>
    <t>cuisson</t>
  </si>
  <si>
    <t>autre</t>
  </si>
  <si>
    <t>total HC</t>
  </si>
  <si>
    <t>Hors chauffage - Scénario AMS</t>
  </si>
  <si>
    <t>EnR Thermiques</t>
  </si>
  <si>
    <t>Sortie MICO scénario S2 corrigé des ratios des surfaces (paraît très ambitieux)</t>
  </si>
  <si>
    <t>AMS 2023</t>
  </si>
  <si>
    <t>baisse similaire ADEME/NW (en 2050 : installation de LED à 80 % + -1/3 du temps en pleine puissance, nb de points lumineux constant)</t>
  </si>
  <si>
    <t>constant (similaire ADEME)</t>
  </si>
  <si>
    <t>croissance à 2030 puis constant ensuite</t>
  </si>
  <si>
    <t>constant (gains EE compensés par meilleur traitement des eaux)</t>
  </si>
  <si>
    <t xml:space="preserve">baisse à discuter </t>
  </si>
  <si>
    <t>Chauffage</t>
  </si>
  <si>
    <t>Consommation totale</t>
  </si>
  <si>
    <t>Hors Chauffage</t>
  </si>
  <si>
    <t>Electricité (PAC incluses)</t>
  </si>
  <si>
    <t>EnR thermique</t>
  </si>
  <si>
    <t>REBASAGE Consommation totale de chauffage en GWh AMS</t>
  </si>
  <si>
    <t>Usage</t>
  </si>
  <si>
    <t>Hors chauffage</t>
  </si>
  <si>
    <t>Proportion du parc assujeti (&gt;500m²)</t>
  </si>
  <si>
    <t>On applique les réductions du décret tertiaire sur les surface concernées</t>
  </si>
  <si>
    <t>Facteurs d'émission</t>
  </si>
  <si>
    <t>g/kWh</t>
  </si>
  <si>
    <t>Emissions totales (Mt) AME</t>
  </si>
  <si>
    <t>Total hors électricité</t>
  </si>
  <si>
    <t>par an</t>
  </si>
  <si>
    <t>Estimation GES (FE constant)</t>
  </si>
  <si>
    <t>Surface chauffée  - Scénario AMS [thousand sq m]</t>
  </si>
  <si>
    <t>Consommation totale en GWh AMS</t>
  </si>
  <si>
    <t>Consommation par source énergie - Scénario AMS [GWh LHV]</t>
  </si>
  <si>
    <t>Emissions totales (Mt) AMS</t>
  </si>
  <si>
    <t>Estimation GES</t>
  </si>
  <si>
    <t>Part de la surface assujettie qui applique les objectifs du décret tertiaire</t>
  </si>
  <si>
    <t>Proportion du parc qui applique la trajectoire décret tertiaire</t>
  </si>
  <si>
    <t>Ademe</t>
  </si>
  <si>
    <t>Hab com</t>
  </si>
  <si>
    <t>Parc Ademe</t>
  </si>
  <si>
    <t>Proportion du parc assujetti qui applique la trajectoire décret tertiaire</t>
  </si>
  <si>
    <t>Parc</t>
  </si>
  <si>
    <t>Parc ntotal en m2</t>
  </si>
  <si>
    <t>Pétrole brut</t>
  </si>
  <si>
    <t>Produits pétroliers raffinés</t>
  </si>
  <si>
    <t>Nucléaire</t>
  </si>
  <si>
    <t>EnR électriques</t>
  </si>
  <si>
    <t>EnR thermiques et déchets</t>
  </si>
  <si>
    <t>Chaleur commercialisée</t>
  </si>
  <si>
    <t>Tertiaire</t>
  </si>
  <si>
    <t>TWh - données réelles</t>
  </si>
  <si>
    <t>écart</t>
  </si>
  <si>
    <t>CaHoRes - Scénario AMS</t>
  </si>
  <si>
    <t>Commerce - Scénario AMS</t>
  </si>
  <si>
    <t>Enseignement - Scénario AMS</t>
  </si>
  <si>
    <t>Santé social - Scénario AMS</t>
  </si>
  <si>
    <t>Sport Loisir Culture - Scénario AMS</t>
  </si>
  <si>
    <t>Transport - Scénario AMS</t>
  </si>
  <si>
    <t>Bureaux - Scénario AMS</t>
  </si>
  <si>
    <t>Résultats - Scénario AMS</t>
  </si>
  <si>
    <t>Calculs - Scénario AMS</t>
  </si>
  <si>
    <t>Surfaces chauffées - Scénario AMS [thousand sq m]</t>
  </si>
  <si>
    <t>Parc existant en 2015 hors décret tertiaire - Hypothèses de consommation unitaire de chauffage par type d'énergie - Scénario AMS</t>
  </si>
  <si>
    <t>Parc existant en 2020 hors décret tertiaire - Consommation unitaire de chauffage par type d'énergie [kWh/sq m] - Scénario AMS</t>
  </si>
  <si>
    <t>Parc existant en 2015 suivant le décret tertiaire -  Consommation de chauffage par type d'énergie - Scénario AMS [GWh LHV]</t>
  </si>
  <si>
    <t>Parc existant en 2015 hors décret tertiaire -  Consommation de chauffage par type d'énergie - Scénario AMS [GWh LHV]</t>
  </si>
  <si>
    <t>Parc existant en 2015 -  Consommation de chauffage par type d'énergie - Scénario AMS [GWh LHV]</t>
  </si>
  <si>
    <t>Parc neuf post 2020 - Répartition des surfaces chauffées par type d'énergie de chauffage - Scénario AMS</t>
  </si>
  <si>
    <t>Parc neuf post 2020 - Consommation unitaire de chauffage par type d'énergie [kWh/sq m] - Scénario AMS</t>
  </si>
  <si>
    <t>Parc neuf post 2015 -  Consommation de chauffage par type d'énergie - Scénario AMS [GWh LHV]</t>
  </si>
  <si>
    <t>Consommation totale de chauffage en GWh AMS (hors chaleur environnement des PAC)</t>
  </si>
  <si>
    <t>Consommation totale de chauffage en GWh AME (hors chaleur environnement des PAC)</t>
  </si>
  <si>
    <t>Vivaldi</t>
  </si>
  <si>
    <t>2019 en TWh</t>
  </si>
  <si>
    <t>SDES 2019</t>
  </si>
  <si>
    <t>Bilan énergétique SDES publié en 2023 - inclut tout le tertiaire (dont traitement eaux usées etc)</t>
  </si>
  <si>
    <t>Usages</t>
  </si>
  <si>
    <t>Étiquettes de lignes</t>
  </si>
  <si>
    <t>Énergies renouvelables</t>
  </si>
  <si>
    <t>Total général</t>
  </si>
  <si>
    <t>Cuisson</t>
  </si>
  <si>
    <t>Spécifique</t>
  </si>
  <si>
    <t>Idem</t>
  </si>
  <si>
    <t>Fuel, gaz : interdit (RE2020)
RCU : triplement des surfaces raccordées
Electricité :   Augmentation de la part de PAC au dépend du Joule (ratio 80/20)</t>
  </si>
  <si>
    <t>1. Conformité au décret tertiaire</t>
  </si>
  <si>
    <t xml:space="preserve">Part du parc </t>
  </si>
  <si>
    <r>
      <t xml:space="preserve">Parc visant la valeur </t>
    </r>
    <r>
      <rPr>
        <b/>
        <sz val="11"/>
        <color theme="1"/>
        <rFont val="Calibri"/>
        <family val="2"/>
        <scheme val="minor"/>
      </rPr>
      <t>absolue</t>
    </r>
  </si>
  <si>
    <r>
      <t xml:space="preserve">Parc visant la valeur </t>
    </r>
    <r>
      <rPr>
        <b/>
        <sz val="11"/>
        <color theme="1"/>
        <rFont val="Calibri"/>
        <family val="2"/>
        <scheme val="minor"/>
      </rPr>
      <t>relative</t>
    </r>
  </si>
  <si>
    <t>Commentaire</t>
  </si>
  <si>
    <t>Gain en terme de consommation énergétique par m² en 2030</t>
  </si>
  <si>
    <r>
      <t xml:space="preserve">Parc assujetti </t>
    </r>
    <r>
      <rPr>
        <b/>
        <sz val="11"/>
        <color theme="1"/>
        <rFont val="Calibri"/>
        <family val="2"/>
        <scheme val="minor"/>
      </rPr>
      <t>atteignant les valeurs absolues</t>
    </r>
    <r>
      <rPr>
        <sz val="11"/>
        <color theme="1"/>
        <rFont val="Calibri"/>
        <family val="2"/>
        <scheme val="minor"/>
      </rPr>
      <t xml:space="preserve"> aujourd'hui</t>
    </r>
  </si>
  <si>
    <t>2. Gain énergétique en 2030 pour le parc qui respecte le décret tertiaire</t>
  </si>
  <si>
    <t>Remarque 1 : L'année de référence est à choisir après 2010 pour respecter le décret tertiaire. La baisse relative affichée s'entend ici par rapport à 2020. On considère donc qu'une partie du parc a déjà fait les travaux (ligne "parc assujetti atteignant les valeurs absolues aujourd'hui")</t>
  </si>
  <si>
    <t>Remarque 2 : Pour 2040 et 2050, on applique directement les valeurs relatives de -50% en -60% en prévision de valeurs absolues ambitieuses et en absence de données pertinentes.</t>
  </si>
  <si>
    <t>Parc total en m2</t>
  </si>
  <si>
    <t>en milliers de m²</t>
  </si>
  <si>
    <t>Source</t>
  </si>
  <si>
    <t>Intégrateur Enerdata</t>
  </si>
  <si>
    <t>Valeur réglementaire RE2020</t>
  </si>
  <si>
    <t>CPCU</t>
  </si>
  <si>
    <t>Évolution des consommations tous usages du secteur tertiaire selon l'énergie (climat normal)</t>
  </si>
  <si>
    <t>(TWh)</t>
  </si>
  <si>
    <t>Énergie</t>
  </si>
  <si>
    <t>TCAM</t>
  </si>
  <si>
    <t>TCAM 2010-2020</t>
  </si>
  <si>
    <t>Total bâtiment</t>
  </si>
  <si>
    <t>Gain énergétique vs 2020</t>
  </si>
  <si>
    <t>Baisse des émissions</t>
  </si>
  <si>
    <r>
      <rPr>
        <b/>
        <sz val="8"/>
        <color theme="1"/>
        <rFont val="Calibri"/>
        <family val="2"/>
        <scheme val="minor"/>
      </rPr>
      <t>Gaz</t>
    </r>
    <r>
      <rPr>
        <sz val="8"/>
        <color theme="1"/>
        <rFont val="Calibri"/>
        <family val="2"/>
        <scheme val="minor"/>
      </rPr>
      <t xml:space="preserve"> : -10% de chaudières en 2030, -40% en 2040 et -80% en 2050 (pour rappel l'interdiction du renouvellement de chaudière gaz en 2027, hypothèse de durée de vie de 22 ans (source fiche CEE) ; impliquerait) -14% en 2030, -60% en 2040 et -95¨% en 2050)
</t>
    </r>
    <r>
      <rPr>
        <b/>
        <sz val="8"/>
        <color theme="1"/>
        <rFont val="Calibri"/>
        <family val="2"/>
        <scheme val="minor"/>
      </rPr>
      <t>Fioul</t>
    </r>
    <r>
      <rPr>
        <sz val="8"/>
        <color theme="1"/>
        <rFont val="Calibri"/>
        <family val="2"/>
        <scheme val="minor"/>
      </rPr>
      <t xml:space="preserve"> : Interdiction de brûler du fioul dans le tertiaire en 2030 (sauf dérogations)
</t>
    </r>
    <r>
      <rPr>
        <b/>
        <sz val="8"/>
        <color theme="1"/>
        <rFont val="Calibri"/>
        <family val="2"/>
        <scheme val="minor"/>
      </rPr>
      <t>Décarboné</t>
    </r>
    <r>
      <rPr>
        <sz val="8"/>
        <color theme="1"/>
        <rFont val="Calibri"/>
        <family val="2"/>
        <scheme val="minor"/>
      </rPr>
      <t xml:space="preserve"> : Fort développement PAC et RCU pour compenser, EnR dans une moindre mesure</t>
    </r>
  </si>
  <si>
    <t>2030 vs 2020</t>
  </si>
  <si>
    <t>P33:P50</t>
  </si>
  <si>
    <t>Commentaire (AME 24)</t>
  </si>
  <si>
    <t>Màj à partir de l'étude d'impact DHUP (2023) pour l'AME 24</t>
  </si>
  <si>
    <t>Etude d'impact DHUP (avant 2023) utilisée pour l'AMS run 2 (voir onglet source)</t>
  </si>
  <si>
    <t>Màj à partir de l'étude d'impact DHUP (2023) pour l'AME 24 (voir onglet source)</t>
  </si>
  <si>
    <t>Hyp AMS run 2 : +17,5% pour les surfaces &gt; 500m²</t>
  </si>
  <si>
    <t>L'Analyse du taux de complétion d'Operat au 04/01/2024 de la DHUP estime un taux de complétion de 53% pour les branches. Si on considère qu'en AME, ce taux peut monter à 60% (sans relance de la DHUP pour inciter les inscriptions sur Operat), que 10% utilisent des dérogations type bâtiments historiques, on tombe à 50%. Sachant qu'une part des bâtiments hors Operat pourrait respecter la trajectoire DEET (proportion probablement faible) et qu'une part inscrite sur Operat ne respectera pas le DEET en AME.</t>
  </si>
  <si>
    <t>AME 24</t>
  </si>
  <si>
    <t>Gain en termes de consommation énergétique par m² en 2030/2010</t>
  </si>
  <si>
    <t>Gain en termes de consommation énergétique par m² en 2040/2010</t>
  </si>
  <si>
    <t>Gain en termes de consommation énergétique par m² en 2050/2010</t>
  </si>
  <si>
    <t>BUREAUX</t>
  </si>
  <si>
    <t>Basé sur les VA publiées, au vu des données déclarées sur OPERAT. La diminution de conso vient de la tendance observée 2010-2020 au vu des données CEREN et OPERAT ; on suppose qu'ils ne font plus rien ensuite car ils ont déjà atteint les objectifs</t>
  </si>
  <si>
    <t>On suppose que les VA sont réhaussées pour être ajustées sur les 25% les plus performants. Les valeurs devraient diminuer de l'ordre de 10% supplémentaire</t>
  </si>
  <si>
    <t>Basé sur les VA publiées, au vu des données déclarées sur OPERAT. On suppose qu'ils ont déjà fait 20% entre 2010 et 2020, et refont 10% sur la décennie suivante. Ceux-là choisissent la VA car au global c'est plus facile que la VR (40%)</t>
  </si>
  <si>
    <t>Le reste</t>
  </si>
  <si>
    <t>Gain énergétique de plus en 2030 par rapport à 2010 pour les bureaux</t>
  </si>
  <si>
    <t>Gain énergétique de plus en 2040 par rapport à 2010 pour les bureaux</t>
  </si>
  <si>
    <t>Gain énergétique de plus en 2050 par rapport à 2010 pour les bureaux</t>
  </si>
  <si>
    <t>AUTRES BRANCHES</t>
  </si>
  <si>
    <t>Gain énergétique de plus en 2030 par rapport à 2010 pour les autres branches</t>
  </si>
  <si>
    <t>Gain énergétique de plus en 2040 par rapport à 2010 pour les  autres branches</t>
  </si>
  <si>
    <t>Gain énergétique de plus en 2050 par rapport à 2010 pour les  autres branches</t>
  </si>
  <si>
    <t>Remarque 1 : Plus de distinction entre bureaux et reste pour les autres échéances, l'idée étant qu'on aura recalibré le niveau d'ambition d'ici-là. J'ai donc mis la même chose partout</t>
  </si>
  <si>
    <t>Gain énergétique en 2040/2010 pour le parc suivant le décret</t>
  </si>
  <si>
    <t>Gain énergétique en 2050/2010 pour le parc suivant le décret</t>
  </si>
  <si>
    <t>Gain énergétique en 2030/2010 pour le parc suivant le décret</t>
  </si>
  <si>
    <t>Trajectoire spécifique pour les bureaux en raison de VA moins ambitieuses que les VR. La même pour les autres branches</t>
  </si>
  <si>
    <t xml:space="preserve">Réduction de consommation liée aux hypothèses du tableau de bord sur le respect du DEET
</t>
  </si>
  <si>
    <t>Projection surface tertiaire AME 24</t>
  </si>
  <si>
    <t>Répartition du parc existant - 2020</t>
  </si>
  <si>
    <t>Répartition du parc neuf- 2020</t>
  </si>
  <si>
    <t>Données CEREN 2020 (transmise par l'ADEME)</t>
  </si>
  <si>
    <t>Répartition du parc existant - 2022</t>
  </si>
  <si>
    <t>Répartition du parc neuf- 2022</t>
  </si>
  <si>
    <t>Consommation unitaire de l'existant (kWh/m²) - 2022</t>
  </si>
  <si>
    <t>Source des données</t>
  </si>
  <si>
    <t>Parc existant (2020-2022)</t>
  </si>
  <si>
    <t>Lien du fichier</t>
  </si>
  <si>
    <t>Données CEREN partagées par l'ADEME</t>
  </si>
  <si>
    <t>Consommation unitaire (2020-2022)</t>
  </si>
  <si>
    <t>Parc neuf (2020)</t>
  </si>
  <si>
    <t>L:\4_Inventaires d'émissions, prospective et évaluation\42_Prospective\421_Scénarios prospectifs DGEC\4215_Scénarios 2023\12-Bâtiments\2_Travaux préparatoires\20240415_Tertiaire-parc_et_mix\BESNBC_ Données CEREN tertiaire 2022.xlsx</t>
  </si>
  <si>
    <t>Baisse 2010-2020</t>
  </si>
  <si>
    <t xml:space="preserve">Source : </t>
  </si>
  <si>
    <t>Somme de 2020</t>
  </si>
  <si>
    <t>Hors chauffage (Source CEREN 2022, données 2020)</t>
  </si>
  <si>
    <t>Hors décret</t>
  </si>
  <si>
    <t>Décret</t>
  </si>
  <si>
    <t>Gain énergétique 2030</t>
  </si>
  <si>
    <t>Gain énergétique 2040</t>
  </si>
  <si>
    <t>Gain énergétique 2050</t>
  </si>
  <si>
    <t>distinction pour les bureaux</t>
  </si>
  <si>
    <t>Source ADEME transitions 2050</t>
  </si>
  <si>
    <t>Trajectoire LC AME 24</t>
  </si>
  <si>
    <t>Consommations générales</t>
  </si>
  <si>
    <t>Population</t>
  </si>
  <si>
    <t>Eau</t>
  </si>
  <si>
    <t>Parties communes d'immeubles</t>
  </si>
  <si>
    <t>Entrepôts frigorifiques</t>
  </si>
  <si>
    <t>Armées</t>
  </si>
  <si>
    <t>Grands centres de recherche</t>
  </si>
  <si>
    <t>Télécommunication</t>
  </si>
  <si>
    <t>Secteur de l'eau</t>
  </si>
  <si>
    <t>Source ADEME transition 2050</t>
  </si>
  <si>
    <t>Facteur</t>
  </si>
  <si>
    <t>eau</t>
  </si>
  <si>
    <t>Conso unitaire chauffage toutes branches kWh/ m² (données CEREN)</t>
  </si>
  <si>
    <t>Données CEREN partagées par le SDES en 2024</t>
  </si>
  <si>
    <t>"L:\4_Inventaires d'émissions, prospective et évaluation\42_Prospective\421_Scénarios prospectifs DGEC\4215_Scénarios 2023\12-Bâtiments\2_Travaux préparatoires\20240415_Tertiaire-parc_et_mix\pour AME_24\CEREN SDES 2020.xlsx"</t>
  </si>
  <si>
    <t>CEREN public (même que AMS run 2)</t>
  </si>
  <si>
    <t>(AMS RUN 2)</t>
  </si>
  <si>
    <t>Data centers + réseaux</t>
  </si>
  <si>
    <t>Source : modélisation numérique basé sur les prévisions RTE qui ancitipent un fort développement des DC et qui transcrit le forte hausse des raccordmeents au réseau élec de IDF et PACA</t>
  </si>
  <si>
    <t>RP logements collectifs</t>
  </si>
  <si>
    <t>Elec spé (kWh/m²) tot</t>
  </si>
  <si>
    <t>Elec spé terminaux pro (TWh)</t>
  </si>
  <si>
    <t>Outil Numérique</t>
  </si>
  <si>
    <t>Elec spé terminaux pro (kWh/m²)</t>
  </si>
  <si>
    <t>constant</t>
  </si>
  <si>
    <t>somme des deux catégories</t>
  </si>
  <si>
    <t>Elec spé hors terminaux (kWh/m²)</t>
  </si>
  <si>
    <t>pas de différenciation des terminaux car tout pris en compte dans la trajectoire DEET</t>
  </si>
  <si>
    <t>Augmentation presque 100% lié au data center</t>
  </si>
  <si>
    <t>Consommation unitaire de l'existant (kWh/m²) - 2019 (2020 pas bonne année avec le covid)</t>
  </si>
  <si>
    <t>Baisse 2010-2021</t>
  </si>
  <si>
    <t>Somme de 2019</t>
  </si>
  <si>
    <t>Modification par rapport à l'AME 23 des données initiales ADEME car il y avait une erreur</t>
  </si>
  <si>
    <t>mix chauff</t>
  </si>
  <si>
    <t>Electricité Joule etPAC</t>
  </si>
  <si>
    <t>Reprise AME 23</t>
  </si>
  <si>
    <t>Bâtiments qui suivent le décret : baisse du gaz et du joule au profit de RCU et surtout PAC qui sont favorisés dans le DEET. Pour le gaz : baisse supplémentaire liée au cadrage macro-éco. Pic RCU en 2030/2040 car plus de fonds chaleur et juste coup de pouce CEE + classement des fonds chaleur mais après ça s'arrête</t>
  </si>
  <si>
    <t>Bâtiments qui ne suivent pas le décret : légère baisse du gaz en faveur des PAC lié au cadrage macro-éco (ratio prix de l'élec/gaz de 1,5 en 2040/2050 qui oriente naturellement vers les PAC), pas de raccordement RCU car plus de fonds chaleur.</t>
  </si>
  <si>
    <t>Fioul, Gaz, GPL : ne respectent pas les seuils de la RE2020, donc plus de constructions neuves avec ces sytèmes.
RCU : pas d'augmentation (plus de fonds chaleur, juste classement des réseaux de chaleur)
Electricité :   Augmentation des PAC pour compenser gaz/fioul/gpl. Constant sur le Joule</t>
  </si>
  <si>
    <t>AME 2024</t>
  </si>
  <si>
    <t>Identique AME 23 ?</t>
  </si>
  <si>
    <t>Oui</t>
  </si>
  <si>
    <t>Non, outil numérique</t>
  </si>
  <si>
    <t>Oui et non , recalcul LC</t>
  </si>
  <si>
    <t>Oui et non, recalcul pop</t>
  </si>
  <si>
    <t>Solaire thermique</t>
  </si>
  <si>
    <t>Indexé sur le mix de chauffage de l'AME 24 -&gt;</t>
  </si>
  <si>
    <t>"L:\4_Inventaires d'émissions, prospective et évaluation\42_Prospective\421_Scénarios prospectifs DGEC\4215_Scénarios 2023\12-Bâtiments\2_Travaux préparatoires\20240415_Tertiaire-parc_et_mix\Données Ceren Sdes.xlsx"</t>
  </si>
  <si>
    <t>AMS run 3</t>
  </si>
  <si>
    <t>Ne pas faire une extrapolation linéaire entre 2030 et 2040 mais un pic en 2035 et une stabilisation</t>
  </si>
  <si>
    <t>Projection surface tertiaire nette AMS run 3</t>
  </si>
  <si>
    <t>milliers de m²</t>
  </si>
  <si>
    <t>Elec tot</t>
  </si>
  <si>
    <t>retravailler l'enr thermique</t>
  </si>
  <si>
    <t>reprise AMS run 2</t>
  </si>
  <si>
    <t>Interdiction de gaz en 2027, avec compensation RCU et PAC mais pas à 50/50 en 2040 car trop de RCU</t>
  </si>
  <si>
    <t>Le reste sur du joule</t>
  </si>
  <si>
    <t>Le gaz est plus haut en 2030 malgré l'interdiction des chaudières à gaz du fait de la baisse des objectifs DEET dans les bureaux notamment et changement du parc</t>
  </si>
  <si>
    <t>J'aimerais bien que le tertiaire fasse plus d'effort que le résidentiel sur le gaz mais en comparent l'évolution du nombre de chaudière (res) à l'évolution du nombre de m², ce n'est pas équivalent</t>
  </si>
  <si>
    <t>Mm²</t>
  </si>
  <si>
    <t>Mis à jour avec modèle numérique le 08/01/25</t>
  </si>
  <si>
    <t>à faire</t>
  </si>
  <si>
    <t>constant hors DEET</t>
  </si>
  <si>
    <t>Trajectoire de PAC hybride (même proposition par rapport aux PAC que dans le résidentiel)</t>
  </si>
  <si>
    <t xml:space="preserve">COP PAC </t>
  </si>
  <si>
    <t>Fonction élec</t>
  </si>
  <si>
    <t xml:space="preserve">Fonctionnement gaz </t>
  </si>
  <si>
    <t>Rendement chaudière gaz</t>
  </si>
  <si>
    <t>Trajectoire de PAC géothermique (besoins thermiques) : 35% des besoins thermiques de la trajectoire géothermie (cf résidentiel)</t>
  </si>
  <si>
    <t>dont PAC hybride</t>
  </si>
  <si>
    <t>dont PAC géothermique</t>
  </si>
  <si>
    <t xml:space="preserve">           </t>
  </si>
  <si>
    <t>dont chaudière gaz</t>
  </si>
  <si>
    <t>dont PAC air/eau et air/air</t>
  </si>
  <si>
    <t>Besoins en TWh thermique</t>
  </si>
  <si>
    <t>COP PAC géo</t>
  </si>
  <si>
    <t>baisse du DEET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</si>
</sst>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3" formatCode="_-* #,##0.00_-;\-* #,##0.00_-;_-* &quot;-&quot;??_-;_-@_-"/>
    <numFmt numFmtId="164" formatCode="0.0%"/>
    <numFmt numFmtId="165" formatCode="#,##0.00&quot;    &quot;;#,##0.00&quot;    &quot;;&quot;-&quot;#&quot;    &quot;;@&quot; &quot;"/>
    <numFmt numFmtId="166" formatCode="_-* #,##0_-;\-* #,##0_-;_-* &quot;-&quot;??_-;_-@_-"/>
    <numFmt numFmtId="167" formatCode="#,##0&quot;    &quot;;#,##0&quot;    &quot;;&quot;-&quot;#&quot;    &quot;;@&quot; &quot;"/>
    <numFmt numFmtId="168" formatCode="0\ %"/>
    <numFmt numFmtId="169" formatCode="_-* #,##0.00\ _€_-;\-* #,##0.00\ _€_-;_-* &quot;-&quot;??\ _€_-;_-@_-"/>
    <numFmt numFmtId="170" formatCode="_-* #,##0\ _€_-;\-* #,##0\ _€_-;_-* &quot;-&quot;??\ _€_-;_-@_-"/>
    <numFmt numFmtId="171" formatCode="_-* #,##0.0\ _€_-;\-* #,##0.0\ _€_-;_-* \-??\ _€_-;_-@_-"/>
    <numFmt numFmtId="172" formatCode="_-* #,##0\ _€_-;\-* #,##0\ _€_-;_-* \-??\ _€_-;_-@_-"/>
    <numFmt numFmtId="173" formatCode="0.0"/>
    <numFmt numFmtId="174" formatCode="0.000000"/>
    <numFmt numFmtId="175" formatCode="_-* #,##0.0_-;\-* #,##0.0_-;_-* &quot;-&quot;??_-;_-@_-"/>
    <numFmt numFmtId="176" formatCode="_-* #,##0.000_-;\-* #,##0.000_-;_-* &quot;-&quot;??_-;_-@_-"/>
    <numFmt numFmtId="177" formatCode="_-* #,##0.000\ _€_-;\-* #,##0.000\ _€_-;_-* &quot;-&quot;??\ _€_-;_-@_-"/>
    <numFmt numFmtId="178" formatCode="_-* #,##0.0\ _€_-;\-* #,##0.0\ _€_-;_-* &quot;-&quot;?\ _€_-;_-@_-"/>
    <numFmt numFmtId="179" formatCode="_-* #,##0.00000000\ _€_-;\-* #,##0.00000000\ _€_-;_-* &quot;-&quot;?\ _€_-;_-@_-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8"/>
      <color rgb="FFFFFFFF"/>
      <name val="Arial"/>
      <family val="2"/>
      <charset val="1"/>
    </font>
    <font>
      <b/>
      <sz val="11"/>
      <color rgb="FFFFFFFF"/>
      <name val="Helvetica Neue LT Std"/>
    </font>
    <font>
      <sz val="10"/>
      <color rgb="FFCE181E"/>
      <name val="Arial"/>
      <family val="2"/>
      <charset val="1"/>
    </font>
    <font>
      <b/>
      <sz val="2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rgb="FF000000"/>
      <name val="Calibri"/>
      <family val="2"/>
    </font>
    <font>
      <b/>
      <i/>
      <sz val="8"/>
      <color rgb="FF000000"/>
      <name val="Calibri"/>
      <family val="2"/>
    </font>
    <font>
      <b/>
      <i/>
      <sz val="14"/>
      <color theme="1"/>
      <name val="Calibri"/>
      <family val="2"/>
      <scheme val="minor"/>
    </font>
    <font>
      <b/>
      <i/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2"/>
      <color theme="1"/>
      <name val="Calibri Light"/>
      <family val="2"/>
    </font>
    <font>
      <sz val="10"/>
      <color theme="1"/>
      <name val="Calibri Light"/>
      <family val="2"/>
    </font>
    <font>
      <b/>
      <sz val="10"/>
      <color theme="0"/>
      <name val="Calibri Light"/>
      <family val="2"/>
    </font>
    <font>
      <b/>
      <sz val="8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8"/>
      <color indexed="9"/>
      <name val="Calibri"/>
      <family val="2"/>
      <scheme val="minor"/>
    </font>
    <font>
      <sz val="9"/>
      <color rgb="FF000000"/>
      <name val="Calibri1"/>
      <family val="2"/>
    </font>
  </fonts>
  <fills count="2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rgb="FF000080"/>
      </patternFill>
    </fill>
    <fill>
      <patternFill patternType="solid">
        <fgColor rgb="FFFFFFFF"/>
        <bgColor rgb="FFFFF2CC"/>
      </patternFill>
    </fill>
    <fill>
      <patternFill patternType="solid">
        <fgColor rgb="FFDAE3F3"/>
        <bgColor rgb="FFDEEBF7"/>
      </patternFill>
    </fill>
    <fill>
      <patternFill patternType="solid">
        <fgColor rgb="FF67829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B207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Dashed">
        <color theme="3" tint="0.59996337778862885"/>
      </left>
      <right/>
      <top style="mediumDashed">
        <color theme="3" tint="0.59996337778862885"/>
      </top>
      <bottom/>
      <diagonal/>
    </border>
    <border>
      <left/>
      <right/>
      <top style="mediumDashed">
        <color theme="3" tint="0.59996337778862885"/>
      </top>
      <bottom/>
      <diagonal/>
    </border>
    <border>
      <left/>
      <right style="mediumDashed">
        <color theme="3" tint="0.59996337778862885"/>
      </right>
      <top style="mediumDashed">
        <color theme="3" tint="0.59996337778862885"/>
      </top>
      <bottom/>
      <diagonal/>
    </border>
    <border>
      <left style="mediumDashed">
        <color theme="3" tint="0.59996337778862885"/>
      </left>
      <right/>
      <top/>
      <bottom/>
      <diagonal/>
    </border>
    <border>
      <left/>
      <right style="mediumDashed">
        <color theme="3" tint="0.59996337778862885"/>
      </right>
      <top/>
      <bottom/>
      <diagonal/>
    </border>
    <border>
      <left style="mediumDashed">
        <color theme="3" tint="0.59996337778862885"/>
      </left>
      <right/>
      <top/>
      <bottom style="mediumDashed">
        <color theme="3" tint="0.59996337778862885"/>
      </bottom>
      <diagonal/>
    </border>
    <border>
      <left/>
      <right/>
      <top/>
      <bottom style="mediumDashed">
        <color theme="3" tint="0.59996337778862885"/>
      </bottom>
      <diagonal/>
    </border>
    <border>
      <left/>
      <right style="mediumDashed">
        <color theme="3" tint="0.59996337778862885"/>
      </right>
      <top/>
      <bottom style="mediumDashed">
        <color theme="3" tint="0.59996337778862885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rgb="FF333399"/>
      </right>
      <top/>
      <bottom style="thin">
        <color rgb="FF3333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4" fillId="0" borderId="0"/>
    <xf numFmtId="0" fontId="17" fillId="0" borderId="0"/>
    <xf numFmtId="0" fontId="24" fillId="0" borderId="0"/>
    <xf numFmtId="43" fontId="1" fillId="0" borderId="0" applyFont="0" applyFill="0" applyBorder="0" applyAlignment="0" applyProtection="0"/>
    <xf numFmtId="165" fontId="25" fillId="0" borderId="0"/>
    <xf numFmtId="9" fontId="25" fillId="0" borderId="0"/>
    <xf numFmtId="168" fontId="28" fillId="0" borderId="0" applyBorder="0" applyProtection="0"/>
    <xf numFmtId="0" fontId="28" fillId="0" borderId="0"/>
    <xf numFmtId="43" fontId="1" fillId="0" borderId="0" applyFont="0" applyFill="0" applyBorder="0" applyAlignment="0" applyProtection="0"/>
    <xf numFmtId="0" fontId="66" fillId="0" borderId="0"/>
  </cellStyleXfs>
  <cellXfs count="529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5" xfId="0" applyFont="1" applyBorder="1"/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4" fillId="0" borderId="5" xfId="2" applyFont="1" applyBorder="1" applyAlignment="1">
      <alignment vertical="center"/>
    </xf>
    <xf numFmtId="0" fontId="5" fillId="0" borderId="5" xfId="2" applyFont="1" applyBorder="1" applyAlignment="1">
      <alignment vertical="center"/>
    </xf>
    <xf numFmtId="0" fontId="6" fillId="7" borderId="5" xfId="0" applyFont="1" applyFill="1" applyBorder="1"/>
    <xf numFmtId="0" fontId="6" fillId="7" borderId="5" xfId="0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5" fillId="6" borderId="5" xfId="2" applyFont="1" applyFill="1" applyBorder="1" applyAlignment="1">
      <alignment vertical="center"/>
    </xf>
    <xf numFmtId="3" fontId="6" fillId="6" borderId="5" xfId="0" applyNumberFormat="1" applyFont="1" applyFill="1" applyBorder="1" applyAlignment="1">
      <alignment horizontal="center"/>
    </xf>
    <xf numFmtId="3" fontId="6" fillId="4" borderId="5" xfId="0" applyNumberFormat="1" applyFont="1" applyFill="1" applyBorder="1" applyAlignment="1">
      <alignment horizontal="center"/>
    </xf>
    <xf numFmtId="9" fontId="6" fillId="0" borderId="5" xfId="0" applyNumberFormat="1" applyFont="1" applyBorder="1" applyAlignment="1">
      <alignment horizontal="center"/>
    </xf>
    <xf numFmtId="0" fontId="13" fillId="0" borderId="0" xfId="0" applyFont="1"/>
    <xf numFmtId="0" fontId="2" fillId="8" borderId="0" xfId="0" applyFont="1" applyFill="1"/>
    <xf numFmtId="0" fontId="6" fillId="8" borderId="0" xfId="0" applyFont="1" applyFill="1"/>
    <xf numFmtId="9" fontId="2" fillId="8" borderId="0" xfId="1" applyFont="1" applyFill="1" applyAlignment="1">
      <alignment horizontal="center"/>
    </xf>
    <xf numFmtId="9" fontId="2" fillId="8" borderId="0" xfId="0" applyNumberFormat="1" applyFont="1" applyFill="1" applyAlignment="1">
      <alignment horizontal="center"/>
    </xf>
    <xf numFmtId="3" fontId="6" fillId="8" borderId="0" xfId="0" applyNumberFormat="1" applyFont="1" applyFill="1" applyAlignment="1">
      <alignment horizontal="center"/>
    </xf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6" fillId="8" borderId="15" xfId="0" applyFont="1" applyFill="1" applyBorder="1"/>
    <xf numFmtId="3" fontId="6" fillId="8" borderId="15" xfId="0" applyNumberFormat="1" applyFont="1" applyFill="1" applyBorder="1" applyAlignment="1">
      <alignment horizontal="center"/>
    </xf>
    <xf numFmtId="0" fontId="2" fillId="8" borderId="16" xfId="0" applyFont="1" applyFill="1" applyBorder="1"/>
    <xf numFmtId="0" fontId="10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9" fillId="8" borderId="0" xfId="0" applyFont="1" applyFill="1" applyAlignment="1">
      <alignment wrapText="1"/>
    </xf>
    <xf numFmtId="0" fontId="8" fillId="8" borderId="0" xfId="0" applyFont="1" applyFill="1" applyAlignment="1">
      <alignment horizontal="center" wrapText="1"/>
    </xf>
    <xf numFmtId="0" fontId="2" fillId="8" borderId="20" xfId="0" applyFont="1" applyFill="1" applyBorder="1"/>
    <xf numFmtId="0" fontId="2" fillId="8" borderId="21" xfId="0" applyFont="1" applyFill="1" applyBorder="1"/>
    <xf numFmtId="0" fontId="2" fillId="8" borderId="22" xfId="0" applyFont="1" applyFill="1" applyBorder="1"/>
    <xf numFmtId="0" fontId="2" fillId="8" borderId="23" xfId="0" applyFont="1" applyFill="1" applyBorder="1"/>
    <xf numFmtId="0" fontId="2" fillId="8" borderId="24" xfId="0" applyFont="1" applyFill="1" applyBorder="1"/>
    <xf numFmtId="0" fontId="2" fillId="8" borderId="0" xfId="0" applyFont="1" applyFill="1" applyAlignment="1">
      <alignment wrapText="1"/>
    </xf>
    <xf numFmtId="0" fontId="4" fillId="8" borderId="21" xfId="2" applyFont="1" applyFill="1" applyBorder="1" applyAlignment="1">
      <alignment vertical="center"/>
    </xf>
    <xf numFmtId="1" fontId="2" fillId="8" borderId="21" xfId="0" applyNumberFormat="1" applyFont="1" applyFill="1" applyBorder="1"/>
    <xf numFmtId="0" fontId="2" fillId="8" borderId="28" xfId="0" applyFont="1" applyFill="1" applyBorder="1"/>
    <xf numFmtId="0" fontId="11" fillId="8" borderId="0" xfId="0" applyFont="1" applyFill="1" applyAlignment="1">
      <alignment horizontal="center"/>
    </xf>
    <xf numFmtId="0" fontId="2" fillId="8" borderId="29" xfId="0" applyFont="1" applyFill="1" applyBorder="1"/>
    <xf numFmtId="1" fontId="2" fillId="8" borderId="29" xfId="0" applyNumberFormat="1" applyFont="1" applyFill="1" applyBorder="1"/>
    <xf numFmtId="0" fontId="2" fillId="8" borderId="15" xfId="0" applyFont="1" applyFill="1" applyBorder="1"/>
    <xf numFmtId="3" fontId="2" fillId="3" borderId="5" xfId="0" applyNumberFormat="1" applyFont="1" applyFill="1" applyBorder="1" applyAlignment="1">
      <alignment horizontal="center"/>
    </xf>
    <xf numFmtId="3" fontId="2" fillId="8" borderId="0" xfId="0" applyNumberFormat="1" applyFont="1" applyFill="1" applyAlignment="1">
      <alignment horizontal="center"/>
    </xf>
    <xf numFmtId="9" fontId="2" fillId="3" borderId="5" xfId="1" applyFont="1" applyFill="1" applyBorder="1" applyAlignment="1">
      <alignment horizontal="center" vertical="center"/>
    </xf>
    <xf numFmtId="0" fontId="6" fillId="8" borderId="28" xfId="0" applyFont="1" applyFill="1" applyBorder="1"/>
    <xf numFmtId="0" fontId="6" fillId="8" borderId="20" xfId="0" applyFont="1" applyFill="1" applyBorder="1"/>
    <xf numFmtId="0" fontId="6" fillId="8" borderId="21" xfId="0" applyFont="1" applyFill="1" applyBorder="1"/>
    <xf numFmtId="0" fontId="6" fillId="8" borderId="29" xfId="0" applyFont="1" applyFill="1" applyBorder="1"/>
    <xf numFmtId="1" fontId="2" fillId="8" borderId="0" xfId="0" applyNumberFormat="1" applyFont="1" applyFill="1"/>
    <xf numFmtId="9" fontId="6" fillId="4" borderId="5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9" fontId="2" fillId="4" borderId="5" xfId="1" applyFont="1" applyFill="1" applyBorder="1" applyAlignment="1">
      <alignment horizontal="center" vertical="center"/>
    </xf>
    <xf numFmtId="0" fontId="2" fillId="2" borderId="0" xfId="0" applyFont="1" applyFill="1"/>
    <xf numFmtId="0" fontId="6" fillId="2" borderId="0" xfId="0" applyFont="1" applyFill="1"/>
    <xf numFmtId="0" fontId="7" fillId="8" borderId="0" xfId="0" applyFont="1" applyFill="1"/>
    <xf numFmtId="0" fontId="6" fillId="4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9" fontId="6" fillId="8" borderId="0" xfId="0" applyNumberFormat="1" applyFont="1" applyFill="1" applyAlignment="1">
      <alignment horizontal="center"/>
    </xf>
    <xf numFmtId="9" fontId="2" fillId="8" borderId="0" xfId="1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1" fontId="2" fillId="8" borderId="0" xfId="0" applyNumberFormat="1" applyFont="1" applyFill="1" applyAlignment="1">
      <alignment horizontal="center"/>
    </xf>
    <xf numFmtId="0" fontId="2" fillId="3" borderId="5" xfId="0" applyFont="1" applyFill="1" applyBorder="1" applyAlignment="1">
      <alignment vertical="center" wrapText="1"/>
    </xf>
    <xf numFmtId="0" fontId="16" fillId="8" borderId="0" xfId="0" applyFont="1" applyFill="1" applyAlignment="1">
      <alignment vertical="center"/>
    </xf>
    <xf numFmtId="0" fontId="2" fillId="8" borderId="15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0" fillId="0" borderId="0" xfId="0" applyAlignment="1">
      <alignment wrapText="1"/>
    </xf>
    <xf numFmtId="3" fontId="2" fillId="4" borderId="5" xfId="0" applyNumberFormat="1" applyFont="1" applyFill="1" applyBorder="1" applyAlignment="1">
      <alignment horizontal="center"/>
    </xf>
    <xf numFmtId="3" fontId="2" fillId="8" borderId="5" xfId="0" applyNumberFormat="1" applyFont="1" applyFill="1" applyBorder="1" applyAlignment="1">
      <alignment horizontal="center" vertical="center"/>
    </xf>
    <xf numFmtId="164" fontId="2" fillId="4" borderId="5" xfId="1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9" fontId="22" fillId="8" borderId="5" xfId="1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/>
    </xf>
    <xf numFmtId="9" fontId="2" fillId="4" borderId="31" xfId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right" vertical="center" wrapText="1"/>
    </xf>
    <xf numFmtId="0" fontId="2" fillId="8" borderId="5" xfId="0" applyFont="1" applyFill="1" applyBorder="1" applyAlignment="1">
      <alignment vertical="center" wrapText="1"/>
    </xf>
    <xf numFmtId="9" fontId="2" fillId="4" borderId="5" xfId="1" applyFont="1" applyFill="1" applyBorder="1" applyAlignment="1">
      <alignment horizontal="right" vertical="center"/>
    </xf>
    <xf numFmtId="3" fontId="2" fillId="0" borderId="5" xfId="0" applyNumberFormat="1" applyFont="1" applyBorder="1" applyAlignment="1">
      <alignment horizontal="right"/>
    </xf>
    <xf numFmtId="1" fontId="2" fillId="4" borderId="5" xfId="0" applyNumberFormat="1" applyFont="1" applyFill="1" applyBorder="1" applyAlignment="1">
      <alignment horizontal="right"/>
    </xf>
    <xf numFmtId="0" fontId="7" fillId="2" borderId="5" xfId="0" applyFont="1" applyFill="1" applyBorder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6" fillId="8" borderId="5" xfId="0" applyFont="1" applyFill="1" applyBorder="1" applyAlignment="1">
      <alignment wrapText="1"/>
    </xf>
    <xf numFmtId="0" fontId="6" fillId="8" borderId="0" xfId="0" applyFont="1" applyFill="1" applyAlignment="1">
      <alignment wrapText="1"/>
    </xf>
    <xf numFmtId="9" fontId="2" fillId="3" borderId="5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2" fillId="8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3" fontId="20" fillId="0" borderId="5" xfId="0" applyNumberFormat="1" applyFont="1" applyBorder="1" applyAlignment="1">
      <alignment horizontal="center" vertical="center"/>
    </xf>
    <xf numFmtId="0" fontId="23" fillId="8" borderId="0" xfId="0" applyFont="1" applyFill="1" applyAlignment="1">
      <alignment vertical="center" wrapText="1"/>
    </xf>
    <xf numFmtId="0" fontId="22" fillId="8" borderId="0" xfId="0" applyFont="1" applyFill="1" applyAlignment="1">
      <alignment horizontal="right" vertical="center"/>
    </xf>
    <xf numFmtId="3" fontId="22" fillId="8" borderId="0" xfId="0" applyNumberFormat="1" applyFont="1" applyFill="1" applyAlignment="1">
      <alignment vertical="center"/>
    </xf>
    <xf numFmtId="9" fontId="22" fillId="8" borderId="0" xfId="1" applyFont="1" applyFill="1" applyAlignment="1">
      <alignment vertical="center"/>
    </xf>
    <xf numFmtId="9" fontId="2" fillId="8" borderId="0" xfId="1" applyFont="1" applyFill="1"/>
    <xf numFmtId="9" fontId="0" fillId="0" borderId="5" xfId="1" applyFont="1" applyBorder="1" applyAlignment="1">
      <alignment horizontal="center"/>
    </xf>
    <xf numFmtId="3" fontId="10" fillId="8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8" fillId="0" borderId="5" xfId="0" applyFont="1" applyBorder="1"/>
    <xf numFmtId="9" fontId="18" fillId="0" borderId="5" xfId="1" applyFont="1" applyBorder="1" applyAlignment="1">
      <alignment horizontal="center"/>
    </xf>
    <xf numFmtId="166" fontId="0" fillId="0" borderId="0" xfId="6" applyNumberFormat="1" applyFont="1"/>
    <xf numFmtId="166" fontId="13" fillId="0" borderId="0" xfId="6" applyNumberFormat="1" applyFont="1"/>
    <xf numFmtId="0" fontId="27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26" fillId="0" borderId="0" xfId="3" applyFont="1" applyFill="1" applyBorder="1" applyAlignment="1" applyProtection="1"/>
    <xf numFmtId="10" fontId="26" fillId="0" borderId="0" xfId="8" applyNumberFormat="1" applyFont="1" applyFill="1" applyBorder="1" applyAlignment="1" applyProtection="1">
      <alignment horizontal="center" vertical="center"/>
    </xf>
    <xf numFmtId="0" fontId="26" fillId="0" borderId="0" xfId="0" applyFont="1" applyFill="1" applyBorder="1"/>
    <xf numFmtId="169" fontId="0" fillId="0" borderId="0" xfId="0" applyNumberFormat="1"/>
    <xf numFmtId="170" fontId="0" fillId="0" borderId="0" xfId="0" applyNumberFormat="1"/>
    <xf numFmtId="0" fontId="29" fillId="0" borderId="0" xfId="3" applyFont="1" applyFill="1" applyBorder="1" applyAlignment="1" applyProtection="1"/>
    <xf numFmtId="0" fontId="0" fillId="0" borderId="0" xfId="0" applyFill="1" applyBorder="1"/>
    <xf numFmtId="167" fontId="29" fillId="0" borderId="0" xfId="7" applyNumberFormat="1" applyFont="1" applyFill="1" applyBorder="1" applyAlignment="1" applyProtection="1"/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0" fontId="23" fillId="8" borderId="0" xfId="0" applyFont="1" applyFill="1" applyAlignment="1">
      <alignment horizontal="center" wrapText="1"/>
    </xf>
    <xf numFmtId="9" fontId="19" fillId="3" borderId="5" xfId="1" applyFont="1" applyFill="1" applyBorder="1" applyAlignment="1">
      <alignment horizontal="center" vertical="center"/>
    </xf>
    <xf numFmtId="0" fontId="4" fillId="6" borderId="5" xfId="2" applyFont="1" applyFill="1" applyBorder="1" applyAlignment="1">
      <alignment vertical="center"/>
    </xf>
    <xf numFmtId="166" fontId="2" fillId="3" borderId="5" xfId="6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/>
    </xf>
    <xf numFmtId="0" fontId="4" fillId="0" borderId="0" xfId="2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30" fillId="0" borderId="0" xfId="0" applyFont="1"/>
    <xf numFmtId="0" fontId="4" fillId="0" borderId="6" xfId="2" applyFont="1" applyBorder="1" applyAlignment="1">
      <alignment vertical="center"/>
    </xf>
    <xf numFmtId="1" fontId="0" fillId="0" borderId="1" xfId="0" applyNumberFormat="1" applyBorder="1"/>
    <xf numFmtId="9" fontId="30" fillId="0" borderId="30" xfId="1" applyFont="1" applyBorder="1"/>
    <xf numFmtId="43" fontId="30" fillId="0" borderId="0" xfId="6" applyFont="1" applyBorder="1"/>
    <xf numFmtId="43" fontId="30" fillId="0" borderId="1" xfId="6" applyFont="1" applyBorder="1"/>
    <xf numFmtId="0" fontId="31" fillId="0" borderId="5" xfId="0" applyFont="1" applyBorder="1" applyAlignment="1">
      <alignment vertical="top" wrapText="1"/>
    </xf>
    <xf numFmtId="0" fontId="31" fillId="0" borderId="8" xfId="0" applyFont="1" applyBorder="1" applyAlignment="1">
      <alignment vertical="top" wrapText="1"/>
    </xf>
    <xf numFmtId="0" fontId="5" fillId="0" borderId="0" xfId="2" applyFont="1" applyBorder="1" applyAlignment="1">
      <alignment vertical="center"/>
    </xf>
    <xf numFmtId="3" fontId="6" fillId="0" borderId="0" xfId="0" applyNumberFormat="1" applyFont="1" applyBorder="1" applyAlignment="1">
      <alignment horizontal="center"/>
    </xf>
    <xf numFmtId="3" fontId="2" fillId="8" borderId="0" xfId="0" applyNumberFormat="1" applyFont="1" applyFill="1" applyAlignment="1">
      <alignment vertical="center"/>
    </xf>
    <xf numFmtId="164" fontId="6" fillId="4" borderId="5" xfId="0" applyNumberFormat="1" applyFont="1" applyFill="1" applyBorder="1" applyAlignment="1">
      <alignment horizontal="center"/>
    </xf>
    <xf numFmtId="166" fontId="2" fillId="3" borderId="5" xfId="6" applyNumberFormat="1" applyFont="1" applyFill="1" applyBorder="1" applyAlignment="1">
      <alignment horizontal="center"/>
    </xf>
    <xf numFmtId="166" fontId="6" fillId="3" borderId="5" xfId="6" applyNumberFormat="1" applyFont="1" applyFill="1" applyBorder="1" applyAlignment="1">
      <alignment horizontal="center" vertical="center"/>
    </xf>
    <xf numFmtId="166" fontId="6" fillId="3" borderId="5" xfId="6" applyNumberFormat="1" applyFont="1" applyFill="1" applyBorder="1" applyAlignment="1">
      <alignment horizontal="center"/>
    </xf>
    <xf numFmtId="1" fontId="6" fillId="4" borderId="5" xfId="0" applyNumberFormat="1" applyFont="1" applyFill="1" applyBorder="1" applyAlignment="1">
      <alignment horizontal="center"/>
    </xf>
    <xf numFmtId="166" fontId="2" fillId="4" borderId="5" xfId="6" applyNumberFormat="1" applyFont="1" applyFill="1" applyBorder="1" applyAlignment="1">
      <alignment horizontal="center"/>
    </xf>
    <xf numFmtId="166" fontId="6" fillId="4" borderId="5" xfId="6" applyNumberFormat="1" applyFont="1" applyFill="1" applyBorder="1" applyAlignment="1">
      <alignment horizontal="center"/>
    </xf>
    <xf numFmtId="9" fontId="6" fillId="4" borderId="5" xfId="1" applyFont="1" applyFill="1" applyBorder="1" applyAlignment="1">
      <alignment horizontal="center" vertical="center"/>
    </xf>
    <xf numFmtId="0" fontId="4" fillId="0" borderId="5" xfId="2" applyFont="1" applyBorder="1" applyAlignment="1">
      <alignment horizontal="left" vertical="center"/>
    </xf>
    <xf numFmtId="0" fontId="2" fillId="8" borderId="5" xfId="0" applyFont="1" applyFill="1" applyBorder="1" applyAlignment="1">
      <alignment horizontal="left" wrapText="1"/>
    </xf>
    <xf numFmtId="9" fontId="6" fillId="8" borderId="0" xfId="0" applyNumberFormat="1" applyFont="1" applyFill="1" applyBorder="1" applyAlignment="1">
      <alignment horizontal="center"/>
    </xf>
    <xf numFmtId="9" fontId="6" fillId="0" borderId="0" xfId="0" applyNumberFormat="1" applyFont="1" applyBorder="1" applyAlignment="1">
      <alignment horizontal="center"/>
    </xf>
    <xf numFmtId="0" fontId="9" fillId="0" borderId="0" xfId="0" applyFont="1" applyAlignment="1">
      <alignment vertical="center"/>
    </xf>
    <xf numFmtId="9" fontId="6" fillId="3" borderId="5" xfId="1" applyFont="1" applyFill="1" applyBorder="1" applyAlignment="1">
      <alignment horizontal="center" vertical="center"/>
    </xf>
    <xf numFmtId="9" fontId="0" fillId="0" borderId="0" xfId="1" applyFont="1"/>
    <xf numFmtId="9" fontId="0" fillId="0" borderId="0" xfId="0" applyNumberFormat="1"/>
    <xf numFmtId="0" fontId="0" fillId="0" borderId="0" xfId="0" applyFont="1"/>
    <xf numFmtId="0" fontId="0" fillId="0" borderId="0" xfId="0" applyFont="1" applyAlignment="1">
      <alignment wrapText="1"/>
    </xf>
    <xf numFmtId="9" fontId="0" fillId="4" borderId="5" xfId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9" fontId="0" fillId="0" borderId="0" xfId="0" applyNumberFormat="1" applyFont="1"/>
    <xf numFmtId="9" fontId="0" fillId="3" borderId="5" xfId="1" applyFont="1" applyFill="1" applyBorder="1" applyAlignment="1">
      <alignment vertical="center"/>
    </xf>
    <xf numFmtId="0" fontId="0" fillId="0" borderId="5" xfId="0" applyFont="1" applyBorder="1" applyAlignment="1">
      <alignment wrapText="1"/>
    </xf>
    <xf numFmtId="0" fontId="32" fillId="2" borderId="5" xfId="0" applyFont="1" applyFill="1" applyBorder="1" applyAlignment="1">
      <alignment horizontal="center" vertical="top" wrapText="1"/>
    </xf>
    <xf numFmtId="0" fontId="32" fillId="2" borderId="3" xfId="0" applyFont="1" applyFill="1" applyBorder="1" applyAlignment="1">
      <alignment horizontal="center" vertical="top" wrapText="1"/>
    </xf>
    <xf numFmtId="166" fontId="13" fillId="0" borderId="5" xfId="6" applyNumberFormat="1" applyFont="1" applyBorder="1" applyAlignment="1">
      <alignment horizontal="center" vertical="center"/>
    </xf>
    <xf numFmtId="9" fontId="13" fillId="4" borderId="5" xfId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9" fontId="13" fillId="3" borderId="5" xfId="1" applyFont="1" applyFill="1" applyBorder="1" applyAlignment="1">
      <alignment horizontal="center" vertical="center"/>
    </xf>
    <xf numFmtId="9" fontId="13" fillId="0" borderId="0" xfId="1" applyFont="1" applyAlignment="1">
      <alignment horizontal="center"/>
    </xf>
    <xf numFmtId="9" fontId="0" fillId="3" borderId="6" xfId="1" applyFont="1" applyFill="1" applyBorder="1" applyAlignment="1">
      <alignment vertical="center"/>
    </xf>
    <xf numFmtId="9" fontId="13" fillId="3" borderId="35" xfId="1" applyFont="1" applyFill="1" applyBorder="1" applyAlignment="1">
      <alignment horizontal="center" vertical="center"/>
    </xf>
    <xf numFmtId="9" fontId="13" fillId="3" borderId="36" xfId="1" applyFont="1" applyFill="1" applyBorder="1" applyAlignment="1">
      <alignment horizontal="center" vertical="center"/>
    </xf>
    <xf numFmtId="0" fontId="4" fillId="6" borderId="5" xfId="2" applyFont="1" applyFill="1" applyBorder="1" applyAlignment="1">
      <alignment vertical="center" wrapText="1"/>
    </xf>
    <xf numFmtId="9" fontId="2" fillId="8" borderId="0" xfId="1" applyFont="1" applyFill="1" applyAlignment="1">
      <alignment vertical="center"/>
    </xf>
    <xf numFmtId="3" fontId="0" fillId="0" borderId="0" xfId="0" applyNumberFormat="1"/>
    <xf numFmtId="0" fontId="5" fillId="6" borderId="3" xfId="2" applyFont="1" applyFill="1" applyBorder="1" applyAlignment="1">
      <alignment vertical="center"/>
    </xf>
    <xf numFmtId="9" fontId="6" fillId="6" borderId="5" xfId="1" applyFont="1" applyFill="1" applyBorder="1" applyAlignment="1">
      <alignment horizontal="center"/>
    </xf>
    <xf numFmtId="0" fontId="0" fillId="12" borderId="0" xfId="0" applyFill="1"/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166" fontId="8" fillId="4" borderId="5" xfId="6" applyNumberFormat="1" applyFont="1" applyFill="1" applyBorder="1" applyAlignment="1">
      <alignment horizontal="center" vertical="center"/>
    </xf>
    <xf numFmtId="9" fontId="34" fillId="13" borderId="5" xfId="1" applyFont="1" applyFill="1" applyBorder="1" applyAlignment="1">
      <alignment horizontal="center"/>
    </xf>
    <xf numFmtId="10" fontId="0" fillId="0" borderId="0" xfId="1" applyNumberFormat="1" applyFont="1"/>
    <xf numFmtId="166" fontId="1" fillId="0" borderId="0" xfId="6" applyNumberFormat="1" applyFont="1"/>
    <xf numFmtId="0" fontId="0" fillId="0" borderId="37" xfId="0" applyBorder="1"/>
    <xf numFmtId="1" fontId="0" fillId="0" borderId="37" xfId="0" applyNumberFormat="1" applyBorder="1"/>
    <xf numFmtId="0" fontId="0" fillId="0" borderId="33" xfId="0" applyFont="1" applyBorder="1"/>
    <xf numFmtId="3" fontId="24" fillId="0" borderId="5" xfId="5" applyNumberFormat="1" applyBorder="1" applyAlignment="1"/>
    <xf numFmtId="0" fontId="36" fillId="0" borderId="0" xfId="0" applyFont="1"/>
    <xf numFmtId="0" fontId="37" fillId="0" borderId="5" xfId="0" applyFont="1" applyBorder="1"/>
    <xf numFmtId="1" fontId="37" fillId="0" borderId="5" xfId="0" applyNumberFormat="1" applyFont="1" applyBorder="1"/>
    <xf numFmtId="0" fontId="38" fillId="0" borderId="37" xfId="0" applyFont="1" applyBorder="1"/>
    <xf numFmtId="0" fontId="35" fillId="0" borderId="37" xfId="0" applyFont="1" applyBorder="1"/>
    <xf numFmtId="164" fontId="0" fillId="0" borderId="37" xfId="0" applyNumberFormat="1" applyBorder="1"/>
    <xf numFmtId="2" fontId="0" fillId="0" borderId="0" xfId="0" applyNumberFormat="1"/>
    <xf numFmtId="1" fontId="0" fillId="0" borderId="5" xfId="0" applyNumberFormat="1" applyBorder="1"/>
    <xf numFmtId="0" fontId="39" fillId="15" borderId="38" xfId="0" applyFont="1" applyFill="1" applyBorder="1"/>
    <xf numFmtId="0" fontId="0" fillId="15" borderId="39" xfId="0" applyFill="1" applyBorder="1"/>
    <xf numFmtId="0" fontId="40" fillId="15" borderId="39" xfId="0" applyFont="1" applyFill="1" applyBorder="1"/>
    <xf numFmtId="0" fontId="40" fillId="15" borderId="40" xfId="0" applyFont="1" applyFill="1" applyBorder="1"/>
    <xf numFmtId="0" fontId="0" fillId="16" borderId="41" xfId="0" applyFont="1" applyFill="1" applyBorder="1"/>
    <xf numFmtId="0" fontId="0" fillId="16" borderId="0" xfId="0" applyFill="1" applyBorder="1"/>
    <xf numFmtId="171" fontId="0" fillId="16" borderId="0" xfId="9" applyNumberFormat="1" applyFont="1" applyFill="1" applyBorder="1" applyAlignment="1" applyProtection="1"/>
    <xf numFmtId="171" fontId="0" fillId="16" borderId="32" xfId="9" applyNumberFormat="1" applyFont="1" applyFill="1" applyBorder="1" applyAlignment="1" applyProtection="1"/>
    <xf numFmtId="0" fontId="0" fillId="17" borderId="41" xfId="0" applyFont="1" applyFill="1" applyBorder="1"/>
    <xf numFmtId="0" fontId="0" fillId="17" borderId="0" xfId="0" applyFill="1" applyBorder="1"/>
    <xf numFmtId="171" fontId="0" fillId="17" borderId="0" xfId="9" applyNumberFormat="1" applyFont="1" applyFill="1" applyBorder="1" applyAlignment="1" applyProtection="1"/>
    <xf numFmtId="171" fontId="0" fillId="17" borderId="32" xfId="9" applyNumberFormat="1" applyFont="1" applyFill="1" applyBorder="1" applyAlignment="1" applyProtection="1"/>
    <xf numFmtId="0" fontId="0" fillId="16" borderId="42" xfId="0" applyFont="1" applyFill="1" applyBorder="1"/>
    <xf numFmtId="0" fontId="0" fillId="16" borderId="43" xfId="0" applyFill="1" applyBorder="1"/>
    <xf numFmtId="171" fontId="0" fillId="16" borderId="43" xfId="9" applyNumberFormat="1" applyFont="1" applyFill="1" applyBorder="1" applyAlignment="1" applyProtection="1"/>
    <xf numFmtId="172" fontId="41" fillId="15" borderId="43" xfId="0" applyNumberFormat="1" applyFont="1" applyFill="1" applyBorder="1" applyAlignment="1">
      <alignment horizontal="left"/>
    </xf>
    <xf numFmtId="171" fontId="0" fillId="0" borderId="0" xfId="0" applyNumberFormat="1"/>
    <xf numFmtId="0" fontId="38" fillId="0" borderId="0" xfId="0" applyFont="1"/>
    <xf numFmtId="173" fontId="0" fillId="0" borderId="37" xfId="0" applyNumberFormat="1" applyBorder="1"/>
    <xf numFmtId="0" fontId="35" fillId="0" borderId="0" xfId="0" applyFont="1"/>
    <xf numFmtId="173" fontId="0" fillId="0" borderId="0" xfId="0" applyNumberFormat="1"/>
    <xf numFmtId="173" fontId="38" fillId="0" borderId="0" xfId="0" applyNumberFormat="1" applyFont="1"/>
    <xf numFmtId="166" fontId="2" fillId="0" borderId="5" xfId="6" applyNumberFormat="1" applyFont="1" applyBorder="1" applyAlignment="1">
      <alignment horizontal="right"/>
    </xf>
    <xf numFmtId="166" fontId="2" fillId="0" borderId="5" xfId="6" applyNumberFormat="1" applyFont="1" applyBorder="1" applyAlignment="1">
      <alignment horizontal="center"/>
    </xf>
    <xf numFmtId="9" fontId="2" fillId="0" borderId="5" xfId="1" applyFont="1" applyBorder="1" applyAlignment="1">
      <alignment horizontal="right"/>
    </xf>
    <xf numFmtId="166" fontId="6" fillId="0" borderId="5" xfId="6" applyNumberFormat="1" applyFont="1" applyBorder="1" applyAlignment="1">
      <alignment horizontal="right"/>
    </xf>
    <xf numFmtId="0" fontId="42" fillId="18" borderId="44" xfId="0" applyFont="1" applyFill="1" applyBorder="1" applyAlignment="1">
      <alignment vertical="center" wrapText="1"/>
    </xf>
    <xf numFmtId="164" fontId="0" fillId="0" borderId="0" xfId="9" applyNumberFormat="1" applyFont="1" applyBorder="1" applyAlignment="1" applyProtection="1"/>
    <xf numFmtId="171" fontId="0" fillId="16" borderId="45" xfId="9" applyNumberFormat="1" applyFont="1" applyFill="1" applyBorder="1" applyAlignment="1" applyProtection="1"/>
    <xf numFmtId="0" fontId="43" fillId="0" borderId="0" xfId="0" applyFont="1"/>
    <xf numFmtId="0" fontId="0" fillId="9" borderId="0" xfId="0" applyFill="1"/>
    <xf numFmtId="0" fontId="4" fillId="6" borderId="3" xfId="2" applyFont="1" applyFill="1" applyBorder="1" applyAlignment="1">
      <alignment vertical="center"/>
    </xf>
    <xf numFmtId="166" fontId="6" fillId="0" borderId="7" xfId="6" applyNumberFormat="1" applyFont="1" applyBorder="1" applyAlignment="1">
      <alignment horizontal="right"/>
    </xf>
    <xf numFmtId="43" fontId="0" fillId="0" borderId="0" xfId="0" applyNumberFormat="1"/>
    <xf numFmtId="174" fontId="0" fillId="0" borderId="0" xfId="0" applyNumberFormat="1"/>
    <xf numFmtId="0" fontId="45" fillId="0" borderId="0" xfId="0" applyFont="1"/>
    <xf numFmtId="0" fontId="45" fillId="12" borderId="0" xfId="0" applyFont="1" applyFill="1"/>
    <xf numFmtId="0" fontId="9" fillId="14" borderId="5" xfId="0" applyFont="1" applyFill="1" applyBorder="1"/>
    <xf numFmtId="0" fontId="9" fillId="14" borderId="5" xfId="0" applyFont="1" applyFill="1" applyBorder="1" applyAlignment="1">
      <alignment horizontal="center"/>
    </xf>
    <xf numFmtId="0" fontId="46" fillId="14" borderId="5" xfId="2" applyFont="1" applyFill="1" applyBorder="1" applyAlignment="1">
      <alignment vertical="center"/>
    </xf>
    <xf numFmtId="3" fontId="8" fillId="14" borderId="5" xfId="0" applyNumberFormat="1" applyFont="1" applyFill="1" applyBorder="1" applyAlignment="1">
      <alignment horizontal="right"/>
    </xf>
    <xf numFmtId="0" fontId="47" fillId="14" borderId="5" xfId="2" applyFont="1" applyFill="1" applyBorder="1" applyAlignment="1">
      <alignment vertical="center"/>
    </xf>
    <xf numFmtId="3" fontId="9" fillId="14" borderId="5" xfId="0" applyNumberFormat="1" applyFont="1" applyFill="1" applyBorder="1" applyAlignment="1">
      <alignment horizontal="center"/>
    </xf>
    <xf numFmtId="0" fontId="47" fillId="14" borderId="3" xfId="2" applyFont="1" applyFill="1" applyBorder="1" applyAlignment="1">
      <alignment vertical="center"/>
    </xf>
    <xf numFmtId="9" fontId="9" fillId="14" borderId="5" xfId="1" applyFont="1" applyFill="1" applyBorder="1" applyAlignment="1">
      <alignment horizontal="center"/>
    </xf>
    <xf numFmtId="9" fontId="48" fillId="14" borderId="5" xfId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9" fontId="2" fillId="13" borderId="5" xfId="1" applyFont="1" applyFill="1" applyBorder="1" applyAlignment="1">
      <alignment horizontal="right"/>
    </xf>
    <xf numFmtId="166" fontId="0" fillId="0" borderId="5" xfId="6" applyNumberFormat="1" applyFont="1" applyBorder="1"/>
    <xf numFmtId="166" fontId="0" fillId="0" borderId="5" xfId="0" applyNumberFormat="1" applyBorder="1"/>
    <xf numFmtId="0" fontId="4" fillId="8" borderId="3" xfId="2" applyFont="1" applyFill="1" applyBorder="1" applyAlignment="1">
      <alignment vertical="center"/>
    </xf>
    <xf numFmtId="166" fontId="0" fillId="0" borderId="0" xfId="0" applyNumberFormat="1" applyBorder="1"/>
    <xf numFmtId="0" fontId="29" fillId="0" borderId="0" xfId="3" applyFont="1" applyFill="1" applyBorder="1" applyAlignment="1" applyProtection="1">
      <alignment wrapText="1"/>
    </xf>
    <xf numFmtId="166" fontId="0" fillId="0" borderId="0" xfId="0" applyNumberFormat="1"/>
    <xf numFmtId="1" fontId="0" fillId="0" borderId="0" xfId="0" applyNumberForma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7" fillId="2" borderId="5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19" borderId="0" xfId="0" applyFill="1" applyAlignment="1">
      <alignment wrapText="1"/>
    </xf>
    <xf numFmtId="0" fontId="0" fillId="19" borderId="0" xfId="0" applyFill="1" applyAlignment="1">
      <alignment horizontal="center" vertical="top" wrapText="1"/>
    </xf>
    <xf numFmtId="173" fontId="13" fillId="0" borderId="0" xfId="0" applyNumberFormat="1" applyFont="1"/>
    <xf numFmtId="3" fontId="6" fillId="0" borderId="5" xfId="0" applyNumberFormat="1" applyFont="1" applyBorder="1" applyAlignment="1">
      <alignment horizontal="right"/>
    </xf>
    <xf numFmtId="3" fontId="22" fillId="0" borderId="5" xfId="0" applyNumberFormat="1" applyFont="1" applyBorder="1" applyAlignment="1">
      <alignment horizontal="right"/>
    </xf>
    <xf numFmtId="3" fontId="50" fillId="0" borderId="0" xfId="0" applyNumberFormat="1" applyFont="1"/>
    <xf numFmtId="0" fontId="51" fillId="0" borderId="0" xfId="0" applyFont="1" applyFill="1" applyBorder="1"/>
    <xf numFmtId="0" fontId="51" fillId="0" borderId="0" xfId="0" applyFont="1" applyFill="1" applyBorder="1" applyAlignment="1">
      <alignment horizontal="left"/>
    </xf>
    <xf numFmtId="166" fontId="51" fillId="0" borderId="0" xfId="0" applyNumberFormat="1" applyFont="1" applyFill="1" applyBorder="1"/>
    <xf numFmtId="0" fontId="52" fillId="0" borderId="0" xfId="0" applyFont="1" applyFill="1" applyBorder="1" applyAlignment="1">
      <alignment horizontal="left"/>
    </xf>
    <xf numFmtId="166" fontId="52" fillId="0" borderId="0" xfId="0" applyNumberFormat="1" applyFont="1" applyFill="1" applyBorder="1"/>
    <xf numFmtId="166" fontId="13" fillId="0" borderId="0" xfId="0" applyNumberFormat="1" applyFont="1"/>
    <xf numFmtId="1" fontId="37" fillId="3" borderId="5" xfId="0" applyNumberFormat="1" applyFont="1" applyFill="1" applyBorder="1"/>
    <xf numFmtId="164" fontId="0" fillId="3" borderId="37" xfId="0" applyNumberFormat="1" applyFill="1" applyBorder="1"/>
    <xf numFmtId="3" fontId="24" fillId="3" borderId="5" xfId="5" applyNumberFormat="1" applyFill="1" applyBorder="1" applyAlignment="1"/>
    <xf numFmtId="3" fontId="2" fillId="0" borderId="0" xfId="0" applyNumberFormat="1" applyFont="1" applyBorder="1" applyAlignment="1">
      <alignment horizontal="center"/>
    </xf>
    <xf numFmtId="166" fontId="2" fillId="0" borderId="0" xfId="6" applyNumberFormat="1" applyFont="1" applyBorder="1" applyAlignment="1">
      <alignment horizontal="center"/>
    </xf>
    <xf numFmtId="166" fontId="2" fillId="0" borderId="0" xfId="6" applyNumberFormat="1" applyFont="1" applyBorder="1" applyAlignment="1">
      <alignment horizontal="right"/>
    </xf>
    <xf numFmtId="0" fontId="0" fillId="0" borderId="5" xfId="0" applyFont="1" applyBorder="1" applyAlignment="1">
      <alignment horizontal="center" vertical="center" wrapText="1"/>
    </xf>
    <xf numFmtId="175" fontId="0" fillId="0" borderId="0" xfId="0" applyNumberFormat="1" applyBorder="1"/>
    <xf numFmtId="0" fontId="13" fillId="0" borderId="0" xfId="0" applyFont="1" applyBorder="1" applyAlignment="1"/>
    <xf numFmtId="175" fontId="0" fillId="0" borderId="5" xfId="6" applyNumberFormat="1" applyFont="1" applyBorder="1"/>
    <xf numFmtId="175" fontId="0" fillId="0" borderId="5" xfId="0" applyNumberFormat="1" applyBorder="1"/>
    <xf numFmtId="0" fontId="32" fillId="2" borderId="5" xfId="0" applyFont="1" applyFill="1" applyBorder="1" applyAlignment="1">
      <alignment horizontal="center" vertical="center" wrapText="1"/>
    </xf>
    <xf numFmtId="9" fontId="0" fillId="3" borderId="2" xfId="1" applyFont="1" applyFill="1" applyBorder="1" applyAlignment="1">
      <alignment vertical="center"/>
    </xf>
    <xf numFmtId="9" fontId="13" fillId="3" borderId="48" xfId="1" applyFont="1" applyFill="1" applyBorder="1" applyAlignment="1">
      <alignment vertical="center"/>
    </xf>
    <xf numFmtId="175" fontId="34" fillId="13" borderId="5" xfId="6" applyNumberFormat="1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52" fillId="0" borderId="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wrapText="1"/>
    </xf>
    <xf numFmtId="0" fontId="54" fillId="0" borderId="0" xfId="0" applyFont="1"/>
    <xf numFmtId="0" fontId="55" fillId="0" borderId="0" xfId="0" applyFont="1"/>
    <xf numFmtId="0" fontId="30" fillId="0" borderId="0" xfId="0" applyFont="1" applyAlignment="1">
      <alignment horizontal="center" vertical="center"/>
    </xf>
    <xf numFmtId="0" fontId="55" fillId="22" borderId="5" xfId="0" applyFont="1" applyFill="1" applyBorder="1" applyAlignment="1">
      <alignment horizontal="left"/>
    </xf>
    <xf numFmtId="3" fontId="55" fillId="0" borderId="5" xfId="0" applyNumberFormat="1" applyFont="1" applyBorder="1" applyAlignment="1">
      <alignment horizontal="right" wrapText="1" indent="1"/>
    </xf>
    <xf numFmtId="1" fontId="55" fillId="0" borderId="0" xfId="0" applyNumberFormat="1" applyFont="1"/>
    <xf numFmtId="3" fontId="55" fillId="0" borderId="0" xfId="0" applyNumberFormat="1" applyFont="1" applyAlignment="1">
      <alignment horizontal="right"/>
    </xf>
    <xf numFmtId="164" fontId="0" fillId="0" borderId="0" xfId="0" applyNumberFormat="1"/>
    <xf numFmtId="164" fontId="56" fillId="21" borderId="5" xfId="1" applyNumberFormat="1" applyFont="1" applyFill="1" applyBorder="1" applyAlignment="1">
      <alignment horizontal="right" wrapText="1" indent="1"/>
    </xf>
    <xf numFmtId="10" fontId="56" fillId="21" borderId="5" xfId="1" applyNumberFormat="1" applyFont="1" applyFill="1" applyBorder="1" applyAlignment="1">
      <alignment horizontal="right" wrapText="1" indent="1"/>
    </xf>
    <xf numFmtId="0" fontId="2" fillId="3" borderId="0" xfId="0" applyFont="1" applyFill="1" applyBorder="1" applyAlignment="1">
      <alignment horizontal="left" vertical="center" wrapText="1"/>
    </xf>
    <xf numFmtId="177" fontId="30" fillId="0" borderId="0" xfId="0" applyNumberFormat="1" applyFont="1" applyBorder="1"/>
    <xf numFmtId="0" fontId="2" fillId="4" borderId="5" xfId="0" applyFont="1" applyFill="1" applyBorder="1" applyAlignment="1">
      <alignment horizontal="center"/>
    </xf>
    <xf numFmtId="176" fontId="2" fillId="4" borderId="5" xfId="6" applyNumberFormat="1" applyFont="1" applyFill="1" applyBorder="1" applyAlignment="1">
      <alignment horizontal="center"/>
    </xf>
    <xf numFmtId="176" fontId="56" fillId="21" borderId="5" xfId="6" applyNumberFormat="1" applyFont="1" applyFill="1" applyBorder="1" applyAlignment="1">
      <alignment horizontal="right" wrapText="1" indent="1"/>
    </xf>
    <xf numFmtId="178" fontId="0" fillId="0" borderId="0" xfId="0" applyNumberFormat="1"/>
    <xf numFmtId="0" fontId="4" fillId="8" borderId="30" xfId="2" applyFont="1" applyFill="1" applyBorder="1" applyAlignment="1">
      <alignment vertical="center"/>
    </xf>
    <xf numFmtId="0" fontId="5" fillId="6" borderId="3" xfId="2" applyFont="1" applyFill="1" applyBorder="1" applyAlignment="1">
      <alignment vertical="center" wrapText="1"/>
    </xf>
    <xf numFmtId="9" fontId="57" fillId="8" borderId="0" xfId="1" applyFont="1" applyFill="1" applyAlignment="1">
      <alignment vertical="center"/>
    </xf>
    <xf numFmtId="9" fontId="2" fillId="6" borderId="5" xfId="1" applyFont="1" applyFill="1" applyBorder="1" applyAlignment="1">
      <alignment horizontal="center" vertical="center"/>
    </xf>
    <xf numFmtId="9" fontId="19" fillId="6" borderId="5" xfId="1" applyFont="1" applyFill="1" applyBorder="1" applyAlignment="1">
      <alignment horizontal="center" vertical="center"/>
    </xf>
    <xf numFmtId="3" fontId="2" fillId="10" borderId="5" xfId="0" applyNumberFormat="1" applyFont="1" applyFill="1" applyBorder="1" applyAlignment="1">
      <alignment horizontal="center"/>
    </xf>
    <xf numFmtId="0" fontId="0" fillId="6" borderId="5" xfId="0" applyFont="1" applyFill="1" applyBorder="1" applyAlignment="1">
      <alignment horizontal="left" vertical="center" wrapText="1"/>
    </xf>
    <xf numFmtId="167" fontId="26" fillId="23" borderId="47" xfId="7" applyNumberFormat="1" applyFont="1" applyFill="1" applyBorder="1" applyAlignment="1" applyProtection="1"/>
    <xf numFmtId="167" fontId="26" fillId="6" borderId="0" xfId="7" applyNumberFormat="1" applyFont="1" applyFill="1" applyBorder="1" applyAlignment="1" applyProtection="1"/>
    <xf numFmtId="0" fontId="0" fillId="6" borderId="0" xfId="0" applyFill="1"/>
    <xf numFmtId="10" fontId="31" fillId="6" borderId="32" xfId="1" applyNumberFormat="1" applyFont="1" applyFill="1" applyBorder="1"/>
    <xf numFmtId="10" fontId="31" fillId="6" borderId="34" xfId="1" applyNumberFormat="1" applyFont="1" applyFill="1" applyBorder="1"/>
    <xf numFmtId="0" fontId="7" fillId="2" borderId="5" xfId="0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32" fillId="2" borderId="30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6" fontId="0" fillId="0" borderId="5" xfId="6" applyNumberFormat="1" applyFont="1" applyBorder="1" applyAlignment="1">
      <alignment vertical="center"/>
    </xf>
    <xf numFmtId="0" fontId="58" fillId="24" borderId="0" xfId="0" applyFont="1" applyFill="1"/>
    <xf numFmtId="0" fontId="59" fillId="2" borderId="5" xfId="0" applyFont="1" applyFill="1" applyBorder="1" applyAlignment="1">
      <alignment horizontal="center" vertical="center" wrapText="1"/>
    </xf>
    <xf numFmtId="0" fontId="2" fillId="8" borderId="0" xfId="0" applyFont="1" applyFill="1" applyBorder="1"/>
    <xf numFmtId="0" fontId="2" fillId="8" borderId="0" xfId="0" applyFont="1" applyFill="1" applyBorder="1" applyAlignment="1">
      <alignment vertical="center"/>
    </xf>
    <xf numFmtId="0" fontId="0" fillId="3" borderId="0" xfId="0" applyFill="1"/>
    <xf numFmtId="0" fontId="0" fillId="3" borderId="5" xfId="0" applyFill="1" applyBorder="1"/>
    <xf numFmtId="0" fontId="0" fillId="3" borderId="5" xfId="0" applyFill="1" applyBorder="1" applyAlignment="1">
      <alignment wrapText="1"/>
    </xf>
    <xf numFmtId="0" fontId="0" fillId="3" borderId="0" xfId="0" applyFill="1" applyAlignment="1">
      <alignment wrapText="1"/>
    </xf>
    <xf numFmtId="1" fontId="0" fillId="8" borderId="0" xfId="0" applyNumberFormat="1" applyFill="1"/>
    <xf numFmtId="1" fontId="0" fillId="8" borderId="1" xfId="0" applyNumberFormat="1" applyFill="1" applyBorder="1"/>
    <xf numFmtId="0" fontId="13" fillId="0" borderId="5" xfId="0" applyFont="1" applyBorder="1"/>
    <xf numFmtId="0" fontId="60" fillId="0" borderId="0" xfId="0" applyFont="1"/>
    <xf numFmtId="9" fontId="2" fillId="8" borderId="5" xfId="1" applyFont="1" applyFill="1" applyBorder="1" applyAlignment="1">
      <alignment horizontal="center" vertical="center"/>
    </xf>
    <xf numFmtId="166" fontId="2" fillId="8" borderId="5" xfId="6" applyNumberFormat="1" applyFont="1" applyFill="1" applyBorder="1" applyAlignment="1">
      <alignment horizontal="center" vertical="center"/>
    </xf>
    <xf numFmtId="166" fontId="1" fillId="0" borderId="0" xfId="6" applyNumberFormat="1" applyFont="1" applyFill="1" applyBorder="1"/>
    <xf numFmtId="167" fontId="29" fillId="0" borderId="0" xfId="7" applyNumberFormat="1" applyFont="1"/>
    <xf numFmtId="10" fontId="26" fillId="6" borderId="0" xfId="8" applyNumberFormat="1" applyFont="1" applyFill="1" applyAlignment="1">
      <alignment horizontal="center" vertical="center"/>
    </xf>
    <xf numFmtId="0" fontId="29" fillId="0" borderId="0" xfId="3" applyFont="1" applyAlignment="1">
      <alignment wrapText="1"/>
    </xf>
    <xf numFmtId="0" fontId="26" fillId="0" borderId="0" xfId="3" applyFont="1"/>
    <xf numFmtId="0" fontId="29" fillId="0" borderId="0" xfId="3" applyFont="1"/>
    <xf numFmtId="10" fontId="1" fillId="0" borderId="0" xfId="1" applyNumberFormat="1" applyFont="1"/>
    <xf numFmtId="0" fontId="7" fillId="2" borderId="5" xfId="0" applyFont="1" applyFill="1" applyBorder="1" applyAlignment="1">
      <alignment horizontal="center" wrapText="1"/>
    </xf>
    <xf numFmtId="164" fontId="30" fillId="0" borderId="0" xfId="1" applyNumberFormat="1" applyFont="1"/>
    <xf numFmtId="0" fontId="30" fillId="3" borderId="0" xfId="0" applyFont="1" applyFill="1"/>
    <xf numFmtId="0" fontId="0" fillId="0" borderId="0" xfId="0" applyBorder="1"/>
    <xf numFmtId="0" fontId="0" fillId="0" borderId="0" xfId="0" applyFont="1" applyBorder="1"/>
    <xf numFmtId="3" fontId="24" fillId="0" borderId="0" xfId="5" applyNumberFormat="1" applyBorder="1" applyAlignment="1"/>
    <xf numFmtId="0" fontId="61" fillId="0" borderId="0" xfId="0" applyFont="1"/>
    <xf numFmtId="0" fontId="2" fillId="0" borderId="5" xfId="0" applyFont="1" applyBorder="1" applyAlignment="1">
      <alignment vertical="center"/>
    </xf>
    <xf numFmtId="3" fontId="2" fillId="4" borderId="5" xfId="0" applyNumberFormat="1" applyFont="1" applyFill="1" applyBorder="1" applyAlignment="1">
      <alignment horizontal="center" vertical="center"/>
    </xf>
    <xf numFmtId="9" fontId="38" fillId="0" borderId="0" xfId="1" applyFont="1"/>
    <xf numFmtId="0" fontId="0" fillId="25" borderId="0" xfId="0" applyFill="1"/>
    <xf numFmtId="179" fontId="0" fillId="0" borderId="5" xfId="0" applyNumberFormat="1" applyBorder="1"/>
    <xf numFmtId="173" fontId="0" fillId="0" borderId="5" xfId="0" applyNumberFormat="1" applyBorder="1"/>
    <xf numFmtId="0" fontId="37" fillId="0" borderId="0" xfId="0" applyFont="1"/>
    <xf numFmtId="0" fontId="13" fillId="0" borderId="50" xfId="0" applyFont="1" applyBorder="1"/>
    <xf numFmtId="0" fontId="13" fillId="0" borderId="51" xfId="0" applyFont="1" applyBorder="1"/>
    <xf numFmtId="1" fontId="0" fillId="0" borderId="32" xfId="0" applyNumberFormat="1" applyBorder="1"/>
    <xf numFmtId="1" fontId="0" fillId="0" borderId="34" xfId="0" applyNumberFormat="1" applyBorder="1"/>
    <xf numFmtId="0" fontId="56" fillId="21" borderId="5" xfId="0" applyFont="1" applyFill="1" applyBorder="1" applyAlignment="1">
      <alignment horizontal="left"/>
    </xf>
    <xf numFmtId="0" fontId="56" fillId="21" borderId="5" xfId="0" applyFont="1" applyFill="1" applyBorder="1" applyAlignment="1">
      <alignment horizontal="center" wrapText="1"/>
    </xf>
    <xf numFmtId="3" fontId="56" fillId="21" borderId="5" xfId="0" applyNumberFormat="1" applyFont="1" applyFill="1" applyBorder="1" applyAlignment="1">
      <alignment horizontal="right" wrapText="1" indent="1"/>
    </xf>
    <xf numFmtId="0" fontId="4" fillId="0" borderId="0" xfId="2" applyFont="1" applyFill="1" applyBorder="1" applyAlignment="1">
      <alignment vertical="center"/>
    </xf>
    <xf numFmtId="173" fontId="62" fillId="0" borderId="37" xfId="0" applyNumberFormat="1" applyFont="1" applyBorder="1"/>
    <xf numFmtId="0" fontId="62" fillId="0" borderId="0" xfId="0" applyFont="1"/>
    <xf numFmtId="166" fontId="62" fillId="0" borderId="5" xfId="6" applyNumberFormat="1" applyFont="1" applyBorder="1"/>
    <xf numFmtId="173" fontId="0" fillId="0" borderId="5" xfId="0" applyNumberFormat="1" applyBorder="1" applyAlignment="1">
      <alignment horizontal="center" vertical="center"/>
    </xf>
    <xf numFmtId="166" fontId="51" fillId="0" borderId="0" xfId="0" applyNumberFormat="1" applyFont="1"/>
    <xf numFmtId="0" fontId="0" fillId="0" borderId="46" xfId="0" applyBorder="1" applyAlignment="1">
      <alignment vertical="center" wrapText="1"/>
    </xf>
    <xf numFmtId="0" fontId="0" fillId="0" borderId="0" xfId="0" applyAlignment="1">
      <alignment vertical="center" wrapText="1"/>
    </xf>
    <xf numFmtId="9" fontId="34" fillId="13" borderId="5" xfId="1" applyNumberFormat="1" applyFont="1" applyFill="1" applyBorder="1" applyAlignment="1">
      <alignment horizontal="center"/>
    </xf>
    <xf numFmtId="0" fontId="13" fillId="26" borderId="0" xfId="0" applyFont="1" applyFill="1"/>
    <xf numFmtId="0" fontId="63" fillId="7" borderId="5" xfId="0" applyFont="1" applyFill="1" applyBorder="1" applyAlignment="1">
      <alignment horizontal="center"/>
    </xf>
    <xf numFmtId="9" fontId="64" fillId="0" borderId="0" xfId="1" applyFont="1"/>
    <xf numFmtId="0" fontId="32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9" fontId="0" fillId="3" borderId="53" xfId="1" applyFont="1" applyFill="1" applyBorder="1" applyAlignment="1">
      <alignment vertical="center"/>
    </xf>
    <xf numFmtId="9" fontId="0" fillId="3" borderId="62" xfId="1" applyFont="1" applyFill="1" applyBorder="1" applyAlignment="1">
      <alignment vertical="center"/>
    </xf>
    <xf numFmtId="9" fontId="13" fillId="0" borderId="48" xfId="1" applyFont="1" applyBorder="1"/>
    <xf numFmtId="9" fontId="13" fillId="0" borderId="48" xfId="0" applyNumberFormat="1" applyFont="1" applyBorder="1"/>
    <xf numFmtId="0" fontId="2" fillId="8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9" fontId="2" fillId="8" borderId="0" xfId="1" applyFont="1" applyFill="1" applyBorder="1" applyAlignment="1">
      <alignment horizontal="center" vertical="center"/>
    </xf>
    <xf numFmtId="9" fontId="2" fillId="8" borderId="0" xfId="0" applyNumberFormat="1" applyFont="1" applyFill="1" applyBorder="1" applyAlignment="1">
      <alignment horizontal="center" vertical="center" wrapText="1"/>
    </xf>
    <xf numFmtId="0" fontId="65" fillId="2" borderId="5" xfId="0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26" fillId="0" borderId="0" xfId="3" applyFont="1" applyFill="1" applyBorder="1" applyAlignment="1" applyProtection="1">
      <alignment wrapText="1"/>
    </xf>
    <xf numFmtId="0" fontId="35" fillId="27" borderId="37" xfId="0" applyFont="1" applyFill="1" applyBorder="1"/>
    <xf numFmtId="164" fontId="0" fillId="0" borderId="37" xfId="0" applyNumberFormat="1" applyBorder="1"/>
    <xf numFmtId="175" fontId="0" fillId="0" borderId="0" xfId="0" applyNumberFormat="1"/>
    <xf numFmtId="0" fontId="35" fillId="0" borderId="37" xfId="0" applyFont="1" applyFill="1" applyBorder="1"/>
    <xf numFmtId="173" fontId="35" fillId="0" borderId="37" xfId="0" applyNumberFormat="1" applyFont="1" applyFill="1" applyBorder="1"/>
    <xf numFmtId="173" fontId="0" fillId="27" borderId="37" xfId="0" applyNumberFormat="1" applyFill="1" applyBorder="1"/>
    <xf numFmtId="0" fontId="35" fillId="27" borderId="0" xfId="0" applyFont="1" applyFill="1"/>
    <xf numFmtId="0" fontId="0" fillId="27" borderId="0" xfId="0" applyFill="1"/>
    <xf numFmtId="0" fontId="37" fillId="0" borderId="0" xfId="0" applyFont="1" applyBorder="1"/>
    <xf numFmtId="1" fontId="37" fillId="0" borderId="0" xfId="0" applyNumberFormat="1" applyFont="1" applyBorder="1"/>
    <xf numFmtId="1" fontId="37" fillId="0" borderId="0" xfId="0" applyNumberFormat="1" applyFont="1" applyFill="1" applyBorder="1"/>
    <xf numFmtId="0" fontId="0" fillId="0" borderId="0" xfId="0" applyFill="1" applyAlignment="1"/>
    <xf numFmtId="164" fontId="61" fillId="27" borderId="37" xfId="0" applyNumberFormat="1" applyFont="1" applyFill="1" applyBorder="1"/>
    <xf numFmtId="175" fontId="0" fillId="0" borderId="0" xfId="6" applyNumberFormat="1" applyFont="1"/>
    <xf numFmtId="0" fontId="46" fillId="28" borderId="5" xfId="2" applyFont="1" applyFill="1" applyBorder="1" applyAlignment="1">
      <alignment horizontal="right" vertical="center" wrapText="1"/>
    </xf>
    <xf numFmtId="3" fontId="2" fillId="28" borderId="5" xfId="0" applyNumberFormat="1" applyFont="1" applyFill="1" applyBorder="1" applyAlignment="1">
      <alignment horizontal="right"/>
    </xf>
    <xf numFmtId="0" fontId="46" fillId="28" borderId="5" xfId="2" applyFont="1" applyFill="1" applyBorder="1" applyAlignment="1">
      <alignment horizontal="right" vertical="center"/>
    </xf>
    <xf numFmtId="3" fontId="8" fillId="28" borderId="5" xfId="0" applyNumberFormat="1" applyFont="1" applyFill="1" applyBorder="1" applyAlignment="1">
      <alignment horizontal="right"/>
    </xf>
    <xf numFmtId="0" fontId="0" fillId="28" borderId="0" xfId="0" applyFill="1"/>
    <xf numFmtId="0" fontId="45" fillId="28" borderId="0" xfId="0" applyFont="1" applyFill="1"/>
    <xf numFmtId="0" fontId="46" fillId="28" borderId="3" xfId="2" applyFont="1" applyFill="1" applyBorder="1" applyAlignment="1">
      <alignment horizontal="right" vertical="center"/>
    </xf>
    <xf numFmtId="166" fontId="45" fillId="28" borderId="0" xfId="6" applyNumberFormat="1" applyFont="1" applyFill="1"/>
    <xf numFmtId="166" fontId="45" fillId="28" borderId="0" xfId="0" applyNumberFormat="1" applyFont="1" applyFill="1"/>
    <xf numFmtId="175" fontId="0" fillId="28" borderId="0" xfId="0" applyNumberFormat="1" applyFill="1"/>
    <xf numFmtId="1" fontId="13" fillId="0" borderId="5" xfId="0" applyNumberFormat="1" applyFont="1" applyBorder="1"/>
    <xf numFmtId="0" fontId="32" fillId="2" borderId="52" xfId="0" applyFont="1" applyFill="1" applyBorder="1" applyAlignment="1">
      <alignment horizontal="center" vertical="center" wrapText="1"/>
    </xf>
    <xf numFmtId="0" fontId="32" fillId="2" borderId="57" xfId="0" applyFont="1" applyFill="1" applyBorder="1" applyAlignment="1">
      <alignment horizontal="center" vertical="center" wrapText="1"/>
    </xf>
    <xf numFmtId="0" fontId="32" fillId="2" borderId="60" xfId="0" applyFont="1" applyFill="1" applyBorder="1" applyAlignment="1">
      <alignment horizontal="center" vertical="center" wrapText="1"/>
    </xf>
    <xf numFmtId="0" fontId="0" fillId="6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6" borderId="5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8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59" xfId="0" applyBorder="1" applyAlignment="1">
      <alignment vertical="center"/>
    </xf>
    <xf numFmtId="0" fontId="13" fillId="6" borderId="61" xfId="0" applyFont="1" applyFill="1" applyBorder="1" applyAlignment="1">
      <alignment vertical="center" wrapText="1"/>
    </xf>
    <xf numFmtId="0" fontId="0" fillId="0" borderId="63" xfId="0" quotePrefix="1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 wrapText="1"/>
    </xf>
    <xf numFmtId="0" fontId="0" fillId="6" borderId="8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2" fillId="2" borderId="49" xfId="0" applyFont="1" applyFill="1" applyBorder="1" applyAlignment="1">
      <alignment horizontal="center" vertical="center" wrapText="1"/>
    </xf>
    <xf numFmtId="0" fontId="32" fillId="2" borderId="50" xfId="0" applyFont="1" applyFill="1" applyBorder="1" applyAlignment="1">
      <alignment horizontal="center" vertical="center" wrapText="1"/>
    </xf>
    <xf numFmtId="0" fontId="32" fillId="2" borderId="51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53" fillId="20" borderId="6" xfId="0" applyFont="1" applyFill="1" applyBorder="1" applyAlignment="1">
      <alignment horizontal="center" vertical="top" wrapText="1"/>
    </xf>
    <xf numFmtId="0" fontId="53" fillId="20" borderId="7" xfId="0" applyFont="1" applyFill="1" applyBorder="1" applyAlignment="1">
      <alignment horizontal="center" vertical="top" wrapText="1"/>
    </xf>
    <xf numFmtId="0" fontId="53" fillId="20" borderId="8" xfId="0" applyFont="1" applyFill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/>
    </xf>
    <xf numFmtId="0" fontId="32" fillId="2" borderId="6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0" fillId="6" borderId="53" xfId="0" applyFill="1" applyBorder="1" applyAlignment="1">
      <alignment horizontal="left" vertical="top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top" wrapText="1"/>
    </xf>
    <xf numFmtId="0" fontId="0" fillId="0" borderId="8" xfId="0" applyBorder="1" applyAlignment="1">
      <alignment vertical="center" wrapText="1"/>
    </xf>
    <xf numFmtId="0" fontId="13" fillId="6" borderId="61" xfId="0" applyFont="1" applyFill="1" applyBorder="1" applyAlignment="1">
      <alignment wrapText="1"/>
    </xf>
    <xf numFmtId="0" fontId="0" fillId="0" borderId="63" xfId="0" quotePrefix="1" applyBorder="1" applyAlignment="1">
      <alignment wrapText="1"/>
    </xf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13" fillId="6" borderId="5" xfId="0" applyFont="1" applyFill="1" applyBorder="1" applyAlignment="1">
      <alignment wrapText="1"/>
    </xf>
    <xf numFmtId="0" fontId="0" fillId="0" borderId="7" xfId="0" quotePrefix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33" fillId="12" borderId="0" xfId="0" applyFont="1" applyFill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44" fillId="9" borderId="0" xfId="0" applyFont="1" applyFill="1" applyAlignment="1">
      <alignment horizontal="center" wrapText="1"/>
    </xf>
    <xf numFmtId="0" fontId="49" fillId="14" borderId="33" xfId="0" applyFont="1" applyFill="1" applyBorder="1" applyAlignment="1">
      <alignment horizontal="center"/>
    </xf>
    <xf numFmtId="0" fontId="49" fillId="14" borderId="1" xfId="0" applyFont="1" applyFill="1" applyBorder="1" applyAlignment="1">
      <alignment horizontal="center"/>
    </xf>
    <xf numFmtId="3" fontId="0" fillId="13" borderId="30" xfId="0" applyNumberFormat="1" applyFill="1" applyBorder="1" applyAlignment="1">
      <alignment horizontal="center"/>
    </xf>
    <xf numFmtId="3" fontId="0" fillId="13" borderId="0" xfId="0" applyNumberFormat="1" applyFill="1" applyBorder="1" applyAlignment="1">
      <alignment horizontal="center"/>
    </xf>
    <xf numFmtId="0" fontId="0" fillId="28" borderId="0" xfId="0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 vertical="center" wrapText="1"/>
    </xf>
    <xf numFmtId="0" fontId="52" fillId="0" borderId="0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10" borderId="0" xfId="0" applyFont="1" applyFill="1" applyBorder="1" applyAlignment="1">
      <alignment horizontal="center"/>
    </xf>
    <xf numFmtId="0" fontId="0" fillId="3" borderId="49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3" fillId="0" borderId="0" xfId="0" applyFont="1" applyAlignment="1">
      <alignment horizontal="center"/>
    </xf>
    <xf numFmtId="0" fontId="30" fillId="0" borderId="46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>
      <alignment horizontal="left" vertical="center" wrapText="1"/>
    </xf>
    <xf numFmtId="0" fontId="35" fillId="0" borderId="37" xfId="0" applyFont="1" applyBorder="1" applyAlignment="1">
      <alignment horizontal="center" vertical="center" wrapText="1"/>
    </xf>
    <xf numFmtId="0" fontId="40" fillId="15" borderId="4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6" xfId="0" applyBorder="1" applyAlignment="1">
      <alignment horizontal="center" wrapText="1"/>
    </xf>
    <xf numFmtId="0" fontId="0" fillId="0" borderId="0" xfId="0" applyBorder="1" applyAlignment="1">
      <alignment horizontal="center" wrapText="1"/>
    </xf>
  </cellXfs>
  <cellStyles count="13">
    <cellStyle name="Excel_BuiltIn_Comma" xfId="7" xr:uid="{00000000-0005-0000-0000-000000000000}"/>
    <cellStyle name="Milliers" xfId="6" builtinId="3"/>
    <cellStyle name="Milliers 2" xfId="11" xr:uid="{3BE57057-8C4B-4EE9-8409-DC2D31BD307B}"/>
    <cellStyle name="Normal" xfId="0" builtinId="0"/>
    <cellStyle name="Normal 2" xfId="2" xr:uid="{00000000-0005-0000-0000-000003000000}"/>
    <cellStyle name="Normal 2 2" xfId="5" xr:uid="{00000000-0005-0000-0000-000004000000}"/>
    <cellStyle name="Normal 3" xfId="3" xr:uid="{00000000-0005-0000-0000-000005000000}"/>
    <cellStyle name="Normal 3 2" xfId="12" xr:uid="{5825308F-446E-4105-B249-9A348AACC192}"/>
    <cellStyle name="Normal 4" xfId="4" xr:uid="{00000000-0005-0000-0000-000006000000}"/>
    <cellStyle name="Normal 7" xfId="10" xr:uid="{D04550EC-CE91-4978-BAC8-8A07BDEF22E9}"/>
    <cellStyle name="Pourcentage" xfId="1" builtinId="5"/>
    <cellStyle name="Pourcentage 3" xfId="8" xr:uid="{00000000-0005-0000-0000-000008000000}"/>
    <cellStyle name="Pourcentage 3 4" xfId="9" xr:uid="{00000000-0005-0000-0000-000009000000}"/>
  </cellStyles>
  <dxfs count="33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3" defaultTableStyle="TableStyleMedium2" defaultPivotStyle="PivotStyleLight16">
    <tableStyle name="PivotStyleLight16 2" table="0" count="11" xr9:uid="{00000000-0011-0000-FFFF-FFFF00000000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Column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  <tableStyle name="PivotStyleLight16 3" table="0" count="11" xr9:uid="{00000000-0011-0000-FFFF-FFFF01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4" table="0" count="11" xr9:uid="{00000000-0011-0000-FFFF-FFFF02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3DB84B"/>
      <color rgb="FFFFC000"/>
      <color rgb="FF44546A"/>
      <color rgb="FFFF5328"/>
      <color rgb="FF020407"/>
      <color rgb="FFD5DBDA"/>
      <color rgb="FF00B9F2"/>
      <color rgb="FF1D60B3"/>
      <color rgb="FF3CB74B"/>
      <color rgb="FF9882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tertiaire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Résultats!$B$23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Résultats!$C$8:$F$8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Résultats!$C$23:$F$23</c:f>
              <c:numCache>
                <c:formatCode>#,##0</c:formatCode>
                <c:ptCount val="4"/>
                <c:pt idx="0">
                  <c:v>0</c:v>
                </c:pt>
                <c:pt idx="1">
                  <c:v>58277.964078281715</c:v>
                </c:pt>
                <c:pt idx="2">
                  <c:v>44695.977271057833</c:v>
                </c:pt>
                <c:pt idx="3">
                  <c:v>36825.330038225744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8-4621-9EB7-F26240277A5A}"/>
            </c:ext>
          </c:extLst>
        </c:ser>
        <c:ser>
          <c:idx val="1"/>
          <c:order val="1"/>
          <c:tx>
            <c:strRef>
              <c:f>Résultats!$B$24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Résultats!$C$8:$F$8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Résultats!$C$24:$F$24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944733.51227938244</c:v>
                </c:pt>
                <c:pt idx="2">
                  <c:v>973895.55314713239</c:v>
                </c:pt>
                <c:pt idx="3">
                  <c:v>972631.48261654528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8-4621-9EB7-F26240277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783488"/>
        <c:axId val="1017780992"/>
      </c:barChart>
      <c:catAx>
        <c:axId val="10177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0992"/>
        <c:crosses val="autoZero"/>
        <c:auto val="1"/>
        <c:lblAlgn val="ctr"/>
        <c:lblOffset val="100"/>
        <c:noMultiLvlLbl val="0"/>
      </c:catAx>
      <c:valAx>
        <c:axId val="10177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totale de chauffage en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Résultats!$A$57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Résultats!$B$57:$E$57</c:f>
              <c:numCache>
                <c:formatCode>#,##0</c:formatCode>
                <c:ptCount val="4"/>
                <c:pt idx="0">
                  <c:v>17636.41517514189</c:v>
                </c:pt>
                <c:pt idx="1">
                  <c:v>12584.182610662096</c:v>
                </c:pt>
                <c:pt idx="2">
                  <c:v>10229.37334549831</c:v>
                </c:pt>
                <c:pt idx="3">
                  <c:v>7821.9678438685432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2-470A-98DB-97B4ABBC0734}"/>
            </c:ext>
          </c:extLst>
        </c:ser>
        <c:ser>
          <c:idx val="1"/>
          <c:order val="1"/>
          <c:tx>
            <c:strRef>
              <c:f>Résultats!$A$58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Résultats!$B$58:$E$58</c:f>
              <c:numCache>
                <c:formatCode>#,##0</c:formatCode>
                <c:ptCount val="4"/>
                <c:pt idx="0">
                  <c:v>55805.569818181473</c:v>
                </c:pt>
                <c:pt idx="1">
                  <c:v>44705.077226923924</c:v>
                </c:pt>
                <c:pt idx="2">
                  <c:v>40854.269011504766</c:v>
                </c:pt>
                <c:pt idx="3">
                  <c:v>36337.094926563266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2-470A-98DB-97B4ABBC0734}"/>
            </c:ext>
          </c:extLst>
        </c:ser>
        <c:ser>
          <c:idx val="2"/>
          <c:order val="2"/>
          <c:tx>
            <c:strRef>
              <c:f>Résultats!$A$59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Résultats!$B$59:$E$59</c:f>
              <c:numCache>
                <c:formatCode>#,##0</c:formatCode>
                <c:ptCount val="4"/>
                <c:pt idx="0">
                  <c:v>7405.5823362088131</c:v>
                </c:pt>
                <c:pt idx="1">
                  <c:v>7048.9529855965102</c:v>
                </c:pt>
                <c:pt idx="2">
                  <c:v>6658.4541853988148</c:v>
                </c:pt>
                <c:pt idx="3">
                  <c:v>5916.0549484635621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2-470A-98DB-97B4ABBC0734}"/>
            </c:ext>
          </c:extLst>
        </c:ser>
        <c:ser>
          <c:idx val="3"/>
          <c:order val="3"/>
          <c:tx>
            <c:strRef>
              <c:f>Résultats!$A$60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Résultats!$B$60:$E$60</c:f>
              <c:numCache>
                <c:formatCode>#,##0</c:formatCode>
                <c:ptCount val="4"/>
                <c:pt idx="0">
                  <c:v>1272.5786804340246</c:v>
                </c:pt>
                <c:pt idx="1">
                  <c:v>1096.1877318231943</c:v>
                </c:pt>
                <c:pt idx="2">
                  <c:v>1044.2803407172721</c:v>
                </c:pt>
                <c:pt idx="3">
                  <c:v>969.07550599965407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2-470A-98DB-97B4ABBC0734}"/>
            </c:ext>
          </c:extLst>
        </c:ser>
        <c:ser>
          <c:idx val="4"/>
          <c:order val="4"/>
          <c:tx>
            <c:strRef>
              <c:f>Résultats!$A$61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Résultats!$B$61:$E$61</c:f>
              <c:numCache>
                <c:formatCode>#,##0</c:formatCode>
                <c:ptCount val="4"/>
                <c:pt idx="0">
                  <c:v>1294.6736683610475</c:v>
                </c:pt>
                <c:pt idx="1">
                  <c:v>1301.9332915284222</c:v>
                </c:pt>
                <c:pt idx="2">
                  <c:v>1378.0056117330932</c:v>
                </c:pt>
                <c:pt idx="3">
                  <c:v>1409.2486004040202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E2-470A-98DB-97B4ABBC0734}"/>
            </c:ext>
          </c:extLst>
        </c:ser>
        <c:ser>
          <c:idx val="5"/>
          <c:order val="5"/>
          <c:tx>
            <c:strRef>
              <c:f>Résultats!$A$62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Résultats!$B$62:$E$62</c:f>
              <c:numCache>
                <c:formatCode>#,##0</c:formatCode>
                <c:ptCount val="4"/>
                <c:pt idx="0">
                  <c:v>14607.452993119286</c:v>
                </c:pt>
                <c:pt idx="1">
                  <c:v>10422.470509805571</c:v>
                </c:pt>
                <c:pt idx="2">
                  <c:v>8187.5358792873649</c:v>
                </c:pt>
                <c:pt idx="3">
                  <c:v>5993.7366700902885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E2-470A-98DB-97B4ABBC0734}"/>
            </c:ext>
          </c:extLst>
        </c:ser>
        <c:ser>
          <c:idx val="6"/>
          <c:order val="6"/>
          <c:tx>
            <c:strRef>
              <c:f>Résultats!$A$63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Résultats!$B$63:$E$63</c:f>
              <c:numCache>
                <c:formatCode>#,##0</c:formatCode>
                <c:ptCount val="4"/>
                <c:pt idx="0">
                  <c:v>2975.3947624956108</c:v>
                </c:pt>
                <c:pt idx="1">
                  <c:v>5620.3727033937375</c:v>
                </c:pt>
                <c:pt idx="2">
                  <c:v>7304.4367432002919</c:v>
                </c:pt>
                <c:pt idx="3">
                  <c:v>8429.2692540370481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2-470A-98DB-97B4ABBC0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suivant le décret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Résultats!$A$81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Résultats!$B$81:$E$81</c:f>
              <c:numCache>
                <c:formatCode>#,##0</c:formatCode>
                <c:ptCount val="4"/>
                <c:pt idx="0">
                  <c:v>6972.2797501238183</c:v>
                </c:pt>
                <c:pt idx="1">
                  <c:v>4111.1754441729572</c:v>
                </c:pt>
                <c:pt idx="2">
                  <c:v>3116.8321546808706</c:v>
                </c:pt>
                <c:pt idx="3">
                  <c:v>2159.2824101097335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3-42CD-A851-C8AECE606C6E}"/>
            </c:ext>
          </c:extLst>
        </c:ser>
        <c:ser>
          <c:idx val="1"/>
          <c:order val="1"/>
          <c:tx>
            <c:strRef>
              <c:f>Résultats!$A$82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Résultats!$B$82:$E$82</c:f>
              <c:numCache>
                <c:formatCode>#,##0</c:formatCode>
                <c:ptCount val="4"/>
                <c:pt idx="0">
                  <c:v>21704.940201780224</c:v>
                </c:pt>
                <c:pt idx="1">
                  <c:v>14287.534621015844</c:v>
                </c:pt>
                <c:pt idx="2">
                  <c:v>12077.573828638489</c:v>
                </c:pt>
                <c:pt idx="3">
                  <c:v>9839.8144785180684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3-42CD-A851-C8AECE606C6E}"/>
            </c:ext>
          </c:extLst>
        </c:ser>
        <c:ser>
          <c:idx val="2"/>
          <c:order val="2"/>
          <c:tx>
            <c:strRef>
              <c:f>Résultats!$A$83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Résultats!$B$83:$E$83</c:f>
              <c:numCache>
                <c:formatCode>#,##0</c:formatCode>
                <c:ptCount val="4"/>
                <c:pt idx="0">
                  <c:v>2920.2151325253244</c:v>
                </c:pt>
                <c:pt idx="1">
                  <c:v>2518.4435815088054</c:v>
                </c:pt>
                <c:pt idx="2">
                  <c:v>2207.783880149022</c:v>
                </c:pt>
                <c:pt idx="3">
                  <c:v>1779.3642797679097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3-42CD-A851-C8AECE606C6E}"/>
            </c:ext>
          </c:extLst>
        </c:ser>
        <c:ser>
          <c:idx val="3"/>
          <c:order val="3"/>
          <c:tx>
            <c:strRef>
              <c:f>Résultats!$A$84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Résultats!$B$84:$E$84</c:f>
              <c:numCache>
                <c:formatCode>#,##0</c:formatCode>
                <c:ptCount val="4"/>
                <c:pt idx="0">
                  <c:v>495.96140968305934</c:v>
                </c:pt>
                <c:pt idx="1">
                  <c:v>341.84976693568865</c:v>
                </c:pt>
                <c:pt idx="2">
                  <c:v>307.33843778195393</c:v>
                </c:pt>
                <c:pt idx="3">
                  <c:v>269.30055743257861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23-42CD-A851-C8AECE606C6E}"/>
            </c:ext>
          </c:extLst>
        </c:ser>
        <c:ser>
          <c:idx val="4"/>
          <c:order val="4"/>
          <c:tx>
            <c:strRef>
              <c:f>Résultats!$A$85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Résultats!$B$85:$E$85</c:f>
              <c:numCache>
                <c:formatCode>#,##0</c:formatCode>
                <c:ptCount val="4"/>
                <c:pt idx="0">
                  <c:v>490.36175602403921</c:v>
                </c:pt>
                <c:pt idx="1">
                  <c:v>355.28732675483184</c:v>
                </c:pt>
                <c:pt idx="2">
                  <c:v>328.35295993095224</c:v>
                </c:pt>
                <c:pt idx="3">
                  <c:v>294.00984290647494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23-42CD-A851-C8AECE606C6E}"/>
            </c:ext>
          </c:extLst>
        </c:ser>
        <c:ser>
          <c:idx val="5"/>
          <c:order val="5"/>
          <c:tx>
            <c:strRef>
              <c:f>Résultats!$A$86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Résultats!$B$86:$E$86</c:f>
              <c:numCache>
                <c:formatCode>#,##0</c:formatCode>
                <c:ptCount val="4"/>
                <c:pt idx="0">
                  <c:v>5412.3541772314884</c:v>
                </c:pt>
                <c:pt idx="1">
                  <c:v>3196.4902213444984</c:v>
                </c:pt>
                <c:pt idx="2">
                  <c:v>2492.2800875622565</c:v>
                </c:pt>
                <c:pt idx="3">
                  <c:v>1740.3836633885383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23-42CD-A851-C8AECE606C6E}"/>
            </c:ext>
          </c:extLst>
        </c:ser>
        <c:ser>
          <c:idx val="6"/>
          <c:order val="6"/>
          <c:tx>
            <c:strRef>
              <c:f>Résultats!$A$87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Résultats!$B$87:$E$87</c:f>
              <c:numCache>
                <c:formatCode>#,##0</c:formatCode>
                <c:ptCount val="4"/>
                <c:pt idx="0">
                  <c:v>1068.6056721929394</c:v>
                </c:pt>
                <c:pt idx="1">
                  <c:v>1615.9998514832994</c:v>
                </c:pt>
                <c:pt idx="2">
                  <c:v>2249.9941176167463</c:v>
                </c:pt>
                <c:pt idx="3">
                  <c:v>2784.0591419598318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3-42CD-A851-C8AECE606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hors décret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Résultats!$A$93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Résultats!$B$93:$E$93</c:f>
              <c:numCache>
                <c:formatCode>#,##0</c:formatCode>
                <c:ptCount val="4"/>
                <c:pt idx="0">
                  <c:v>10664.135425018072</c:v>
                </c:pt>
                <c:pt idx="1">
                  <c:v>8469.3394445919093</c:v>
                </c:pt>
                <c:pt idx="2">
                  <c:v>7111.1063475589381</c:v>
                </c:pt>
                <c:pt idx="3">
                  <c:v>5661.3849403460372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B-4D16-BAD2-55148B93858E}"/>
            </c:ext>
          </c:extLst>
        </c:ser>
        <c:ser>
          <c:idx val="1"/>
          <c:order val="1"/>
          <c:tx>
            <c:strRef>
              <c:f>Résultats!$A$94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Résultats!$B$94:$E$94</c:f>
              <c:numCache>
                <c:formatCode>#,##0</c:formatCode>
                <c:ptCount val="4"/>
                <c:pt idx="0">
                  <c:v>34100.629616401253</c:v>
                </c:pt>
                <c:pt idx="1">
                  <c:v>30417.542605908071</c:v>
                </c:pt>
                <c:pt idx="2">
                  <c:v>28776.695182866275</c:v>
                </c:pt>
                <c:pt idx="3">
                  <c:v>26497.280448045203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B-4D16-BAD2-55148B93858E}"/>
            </c:ext>
          </c:extLst>
        </c:ser>
        <c:ser>
          <c:idx val="2"/>
          <c:order val="2"/>
          <c:tx>
            <c:strRef>
              <c:f>Résultats!$A$95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Résultats!$B$95:$E$95</c:f>
              <c:numCache>
                <c:formatCode>#,##0</c:formatCode>
                <c:ptCount val="4"/>
                <c:pt idx="0">
                  <c:v>4485.3672036834887</c:v>
                </c:pt>
                <c:pt idx="1">
                  <c:v>4107.7016038147231</c:v>
                </c:pt>
                <c:pt idx="2">
                  <c:v>4101.0629682288627</c:v>
                </c:pt>
                <c:pt idx="3">
                  <c:v>3861.5949442739256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B-4D16-BAD2-55148B93858E}"/>
            </c:ext>
          </c:extLst>
        </c:ser>
        <c:ser>
          <c:idx val="3"/>
          <c:order val="3"/>
          <c:tx>
            <c:strRef>
              <c:f>Résultats!$A$96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Résultats!$B$96:$E$96</c:f>
              <c:numCache>
                <c:formatCode>#,##0</c:formatCode>
                <c:ptCount val="4"/>
                <c:pt idx="0">
                  <c:v>776.61727075096542</c:v>
                </c:pt>
                <c:pt idx="1">
                  <c:v>708.74035963160782</c:v>
                </c:pt>
                <c:pt idx="2">
                  <c:v>698.31184745678729</c:v>
                </c:pt>
                <c:pt idx="3">
                  <c:v>670.69558321777947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8B-4D16-BAD2-55148B93858E}"/>
            </c:ext>
          </c:extLst>
        </c:ser>
        <c:ser>
          <c:idx val="4"/>
          <c:order val="4"/>
          <c:tx>
            <c:strRef>
              <c:f>Résultats!$A$97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Résultats!$B$97:$E$97</c:f>
              <c:numCache>
                <c:formatCode>#,##0</c:formatCode>
                <c:ptCount val="4"/>
                <c:pt idx="0">
                  <c:v>804.31191233700827</c:v>
                </c:pt>
                <c:pt idx="1">
                  <c:v>869.15982965288754</c:v>
                </c:pt>
                <c:pt idx="2">
                  <c:v>986.02448796196029</c:v>
                </c:pt>
                <c:pt idx="3">
                  <c:v>1065.407126212112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8B-4D16-BAD2-55148B93858E}"/>
            </c:ext>
          </c:extLst>
        </c:ser>
        <c:ser>
          <c:idx val="5"/>
          <c:order val="5"/>
          <c:tx>
            <c:strRef>
              <c:f>Résultats!$A$98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Résultats!$B$98:$E$98</c:f>
              <c:numCache>
                <c:formatCode>#,##0</c:formatCode>
                <c:ptCount val="4"/>
                <c:pt idx="0">
                  <c:v>9195.0988158877972</c:v>
                </c:pt>
                <c:pt idx="1">
                  <c:v>6909.9241139897831</c:v>
                </c:pt>
                <c:pt idx="2">
                  <c:v>5455.2332800261493</c:v>
                </c:pt>
                <c:pt idx="3">
                  <c:v>4046.2273051491525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8B-4D16-BAD2-55148B93858E}"/>
            </c:ext>
          </c:extLst>
        </c:ser>
        <c:ser>
          <c:idx val="6"/>
          <c:order val="6"/>
          <c:tx>
            <c:strRef>
              <c:f>Résultats!$A$99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Résultats!$B$99:$E$99</c:f>
              <c:numCache>
                <c:formatCode>#,##0</c:formatCode>
                <c:ptCount val="4"/>
                <c:pt idx="0">
                  <c:v>1906.7890903026712</c:v>
                </c:pt>
                <c:pt idx="1">
                  <c:v>2967.0521594826173</c:v>
                </c:pt>
                <c:pt idx="2">
                  <c:v>4262.1098486524752</c:v>
                </c:pt>
                <c:pt idx="3">
                  <c:v>4989.1781380424372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8B-4D16-BAD2-55148B938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tertiaire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Résultats!$B$23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Résultats!$Z$23:$AC$23</c:f>
              <c:numCache>
                <c:formatCode>#,##0</c:formatCode>
                <c:ptCount val="4"/>
                <c:pt idx="0">
                  <c:v>0</c:v>
                </c:pt>
                <c:pt idx="1">
                  <c:v>54508.804549841887</c:v>
                </c:pt>
                <c:pt idx="2">
                  <c:v>43094.231129653381</c:v>
                </c:pt>
                <c:pt idx="3">
                  <c:v>33683.415838559042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3-435E-81BF-1F15E705C503}"/>
            </c:ext>
          </c:extLst>
        </c:ser>
        <c:ser>
          <c:idx val="1"/>
          <c:order val="1"/>
          <c:tx>
            <c:strRef>
              <c:f>Résultats!$B$24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Résultats!$Z$24:$AC$24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943305.87487551966</c:v>
                </c:pt>
                <c:pt idx="2">
                  <c:v>954650.08370665286</c:v>
                </c:pt>
                <c:pt idx="3">
                  <c:v>931004.81064076687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3-435E-81BF-1F15E705C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783488"/>
        <c:axId val="1017780992"/>
      </c:barChart>
      <c:catAx>
        <c:axId val="10177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0992"/>
        <c:crosses val="autoZero"/>
        <c:auto val="1"/>
        <c:lblAlgn val="ctr"/>
        <c:lblOffset val="100"/>
        <c:noMultiLvlLbl val="0"/>
      </c:catAx>
      <c:valAx>
        <c:axId val="10177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totale de chauffage en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Résultats!$A$57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Résultats!$Y$57:$AB$57</c:f>
              <c:numCache>
                <c:formatCode>#,##0</c:formatCode>
                <c:ptCount val="4"/>
                <c:pt idx="0">
                  <c:v>17636.41517514189</c:v>
                </c:pt>
                <c:pt idx="1">
                  <c:v>1412.735250354197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7-4539-AA67-0F702B6837F5}"/>
            </c:ext>
          </c:extLst>
        </c:ser>
        <c:ser>
          <c:idx val="1"/>
          <c:order val="1"/>
          <c:tx>
            <c:strRef>
              <c:f>Résultats!$A$58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Résultats!$Y$58:$AB$58</c:f>
              <c:numCache>
                <c:formatCode>#,##0</c:formatCode>
                <c:ptCount val="4"/>
                <c:pt idx="0">
                  <c:v>55805.569818181481</c:v>
                </c:pt>
                <c:pt idx="1">
                  <c:v>41192.518066728371</c:v>
                </c:pt>
                <c:pt idx="2">
                  <c:v>17539.893221547718</c:v>
                </c:pt>
                <c:pt idx="3">
                  <c:v>1994.3655605654837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7-4539-AA67-0F702B6837F5}"/>
            </c:ext>
          </c:extLst>
        </c:ser>
        <c:ser>
          <c:idx val="2"/>
          <c:order val="2"/>
          <c:tx>
            <c:strRef>
              <c:f>Résultats!$A$59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Résultats!$Y$59:$AB$59</c:f>
              <c:numCache>
                <c:formatCode>#,##0</c:formatCode>
                <c:ptCount val="4"/>
                <c:pt idx="0">
                  <c:v>7405.5823362088113</c:v>
                </c:pt>
                <c:pt idx="1">
                  <c:v>15030.614206094684</c:v>
                </c:pt>
                <c:pt idx="2">
                  <c:v>16931.092824194937</c:v>
                </c:pt>
                <c:pt idx="3">
                  <c:v>16308.18257903343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7-4539-AA67-0F702B6837F5}"/>
            </c:ext>
          </c:extLst>
        </c:ser>
        <c:ser>
          <c:idx val="3"/>
          <c:order val="3"/>
          <c:tx>
            <c:strRef>
              <c:f>Résultats!$A$60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Résultats!$Y$60:$AB$60</c:f>
              <c:numCache>
                <c:formatCode>#,##0</c:formatCode>
                <c:ptCount val="4"/>
                <c:pt idx="0">
                  <c:v>1272.578680434025</c:v>
                </c:pt>
                <c:pt idx="1">
                  <c:v>767.39291953860936</c:v>
                </c:pt>
                <c:pt idx="2">
                  <c:v>433.5104529688582</c:v>
                </c:pt>
                <c:pt idx="3">
                  <c:v>44.699235741139397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27-4539-AA67-0F702B6837F5}"/>
            </c:ext>
          </c:extLst>
        </c:ser>
        <c:ser>
          <c:idx val="4"/>
          <c:order val="4"/>
          <c:tx>
            <c:strRef>
              <c:f>Résultats!$A$61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Résultats!$Y$61:$AB$61</c:f>
              <c:numCache>
                <c:formatCode>#,##0</c:formatCode>
                <c:ptCount val="4"/>
                <c:pt idx="0">
                  <c:v>1294.6736683610477</c:v>
                </c:pt>
                <c:pt idx="1">
                  <c:v>1805.8393151477878</c:v>
                </c:pt>
                <c:pt idx="2">
                  <c:v>2373.5325598316886</c:v>
                </c:pt>
                <c:pt idx="3">
                  <c:v>3195.7120788853449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27-4539-AA67-0F702B6837F5}"/>
            </c:ext>
          </c:extLst>
        </c:ser>
        <c:ser>
          <c:idx val="5"/>
          <c:order val="5"/>
          <c:tx>
            <c:strRef>
              <c:f>Résultats!$A$62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Résultats!$Y$62:$AB$62</c:f>
              <c:numCache>
                <c:formatCode>#,##0</c:formatCode>
                <c:ptCount val="4"/>
                <c:pt idx="0">
                  <c:v>14607.452993119286</c:v>
                </c:pt>
                <c:pt idx="1">
                  <c:v>9642.0183376842924</c:v>
                </c:pt>
                <c:pt idx="2">
                  <c:v>5751.6397214495782</c:v>
                </c:pt>
                <c:pt idx="3">
                  <c:v>5000.8677473995149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27-4539-AA67-0F702B6837F5}"/>
            </c:ext>
          </c:extLst>
        </c:ser>
        <c:ser>
          <c:idx val="6"/>
          <c:order val="6"/>
          <c:tx>
            <c:strRef>
              <c:f>Résultats!$A$63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Résultats!$Y$63:$AB$63</c:f>
              <c:numCache>
                <c:formatCode>#,##0</c:formatCode>
                <c:ptCount val="4"/>
                <c:pt idx="0">
                  <c:v>2975.3947624956104</c:v>
                </c:pt>
                <c:pt idx="1">
                  <c:v>11484.054626607438</c:v>
                </c:pt>
                <c:pt idx="2">
                  <c:v>19503.308922046912</c:v>
                </c:pt>
                <c:pt idx="3">
                  <c:v>22278.339297457635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27-4539-AA67-0F702B683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suivant le décret en GWh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Résultats!$A$81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Résultats!$Y$81:$AB$81</c:f>
              <c:numCache>
                <c:formatCode>#,##0</c:formatCode>
                <c:ptCount val="4"/>
                <c:pt idx="0">
                  <c:v>15677.951348786632</c:v>
                </c:pt>
                <c:pt idx="1">
                  <c:v>1264.105666769377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7-4BDC-9271-374D7BB41563}"/>
            </c:ext>
          </c:extLst>
        </c:ser>
        <c:ser>
          <c:idx val="1"/>
          <c:order val="1"/>
          <c:tx>
            <c:strRef>
              <c:f>Résultats!$A$82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Résultats!$Y$82:$AB$82</c:f>
              <c:numCache>
                <c:formatCode>#,##0</c:formatCode>
                <c:ptCount val="4"/>
                <c:pt idx="0">
                  <c:v>49305.068395925598</c:v>
                </c:pt>
                <c:pt idx="1">
                  <c:v>36178.937339397955</c:v>
                </c:pt>
                <c:pt idx="2">
                  <c:v>15335.266335892529</c:v>
                </c:pt>
                <c:pt idx="3">
                  <c:v>1736.2960703027061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7-4BDC-9271-374D7BB41563}"/>
            </c:ext>
          </c:extLst>
        </c:ser>
        <c:ser>
          <c:idx val="2"/>
          <c:order val="2"/>
          <c:tx>
            <c:strRef>
              <c:f>Résultats!$A$83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Résultats!$Y$83:$AB$83</c:f>
              <c:numCache>
                <c:formatCode>#,##0</c:formatCode>
                <c:ptCount val="4"/>
                <c:pt idx="0">
                  <c:v>6576.8119096490082</c:v>
                </c:pt>
                <c:pt idx="1">
                  <c:v>12224.423276681671</c:v>
                </c:pt>
                <c:pt idx="2">
                  <c:v>13882.247394654343</c:v>
                </c:pt>
                <c:pt idx="3">
                  <c:v>13420.577043788588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7-4BDC-9271-374D7BB41563}"/>
            </c:ext>
          </c:extLst>
        </c:ser>
        <c:ser>
          <c:idx val="3"/>
          <c:order val="3"/>
          <c:tx>
            <c:strRef>
              <c:f>Résultats!$A$84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Résultats!$Y$84:$AB$84</c:f>
              <c:numCache>
                <c:formatCode>#,##0</c:formatCode>
                <c:ptCount val="4"/>
                <c:pt idx="0">
                  <c:v>1122.0413510600783</c:v>
                </c:pt>
                <c:pt idx="1">
                  <c:v>596.48222146252886</c:v>
                </c:pt>
                <c:pt idx="2">
                  <c:v>321.73629410015496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7-4BDC-9271-374D7BB41563}"/>
            </c:ext>
          </c:extLst>
        </c:ser>
        <c:ser>
          <c:idx val="4"/>
          <c:order val="4"/>
          <c:tx>
            <c:strRef>
              <c:f>Résultats!$A$85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Résultats!$Y$85:$AB$85</c:f>
              <c:numCache>
                <c:formatCode>#,##0</c:formatCode>
                <c:ptCount val="4"/>
                <c:pt idx="0">
                  <c:v>1122.8654222832949</c:v>
                </c:pt>
                <c:pt idx="1">
                  <c:v>1455.4778882397552</c:v>
                </c:pt>
                <c:pt idx="2">
                  <c:v>1933.581178129054</c:v>
                </c:pt>
                <c:pt idx="3">
                  <c:v>2587.3303114516871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7-4BDC-9271-374D7BB41563}"/>
            </c:ext>
          </c:extLst>
        </c:ser>
        <c:ser>
          <c:idx val="5"/>
          <c:order val="5"/>
          <c:tx>
            <c:strRef>
              <c:f>Résultats!$A$86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Résultats!$Y$86:$AB$86</c:f>
              <c:numCache>
                <c:formatCode>#,##0</c:formatCode>
                <c:ptCount val="4"/>
                <c:pt idx="0">
                  <c:v>12624.855913302805</c:v>
                </c:pt>
                <c:pt idx="1">
                  <c:v>8151.8233260947982</c:v>
                </c:pt>
                <c:pt idx="2">
                  <c:v>4952.0376360351775</c:v>
                </c:pt>
                <c:pt idx="3">
                  <c:v>4384.8516099739791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7-4BDC-9271-374D7BB41563}"/>
            </c:ext>
          </c:extLst>
        </c:ser>
        <c:ser>
          <c:idx val="6"/>
          <c:order val="6"/>
          <c:tx>
            <c:strRef>
              <c:f>Résultats!$A$87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Résultats!$Y$87:$AB$87</c:f>
              <c:numCache>
                <c:formatCode>#,##0</c:formatCode>
                <c:ptCount val="4"/>
                <c:pt idx="0">
                  <c:v>2527.148602483825</c:v>
                </c:pt>
                <c:pt idx="1">
                  <c:v>9089.5882713156825</c:v>
                </c:pt>
                <c:pt idx="2">
                  <c:v>16364.513090055359</c:v>
                </c:pt>
                <c:pt idx="3">
                  <c:v>19145.295607414995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7-4BDC-9271-374D7BB41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du parc hors décret en GWh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Résultats!$A$93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Résultats!$Y$93:$AB$93</c:f>
              <c:numCache>
                <c:formatCode>#,##0</c:formatCode>
                <c:ptCount val="4"/>
                <c:pt idx="0">
                  <c:v>1958.4638263552558</c:v>
                </c:pt>
                <c:pt idx="1">
                  <c:v>148.62958358481993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8-41BF-8E5E-FC2D03167088}"/>
            </c:ext>
          </c:extLst>
        </c:ser>
        <c:ser>
          <c:idx val="1"/>
          <c:order val="1"/>
          <c:tx>
            <c:strRef>
              <c:f>Résultats!$A$94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Résultats!$Y$94:$AB$94</c:f>
              <c:numCache>
                <c:formatCode>#,##0</c:formatCode>
                <c:ptCount val="4"/>
                <c:pt idx="0">
                  <c:v>6500.5014222558739</c:v>
                </c:pt>
                <c:pt idx="1">
                  <c:v>4982.0249989386975</c:v>
                </c:pt>
                <c:pt idx="2">
                  <c:v>2185.2270034080384</c:v>
                </c:pt>
                <c:pt idx="3">
                  <c:v>246.26690350592375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8-41BF-8E5E-FC2D03167088}"/>
            </c:ext>
          </c:extLst>
        </c:ser>
        <c:ser>
          <c:idx val="2"/>
          <c:order val="2"/>
          <c:tx>
            <c:strRef>
              <c:f>Résultats!$A$95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Résultats!$Y$95:$AB$95</c:f>
              <c:numCache>
                <c:formatCode>#,##0</c:formatCode>
                <c:ptCount val="4"/>
                <c:pt idx="0">
                  <c:v>828.77042655980381</c:v>
                </c:pt>
                <c:pt idx="1">
                  <c:v>1729.5923783732455</c:v>
                </c:pt>
                <c:pt idx="2">
                  <c:v>2166.5327814169841</c:v>
                </c:pt>
                <c:pt idx="3">
                  <c:v>2268.5550789167792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8-41BF-8E5E-FC2D03167088}"/>
            </c:ext>
          </c:extLst>
        </c:ser>
        <c:ser>
          <c:idx val="3"/>
          <c:order val="3"/>
          <c:tx>
            <c:strRef>
              <c:f>Résultats!$A$96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Résultats!$Y$96:$AB$96</c:f>
              <c:numCache>
                <c:formatCode>#,##0</c:formatCode>
                <c:ptCount val="4"/>
                <c:pt idx="0">
                  <c:v>150.53732937394653</c:v>
                </c:pt>
                <c:pt idx="1">
                  <c:v>91.961003463984241</c:v>
                </c:pt>
                <c:pt idx="2">
                  <c:v>47.619275982460785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8-41BF-8E5E-FC2D03167088}"/>
            </c:ext>
          </c:extLst>
        </c:ser>
        <c:ser>
          <c:idx val="4"/>
          <c:order val="4"/>
          <c:tx>
            <c:strRef>
              <c:f>Résultats!$A$97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Résultats!$Y$97:$AB$97</c:f>
              <c:numCache>
                <c:formatCode>#,##0</c:formatCode>
                <c:ptCount val="4"/>
                <c:pt idx="0">
                  <c:v>171.80824607775244</c:v>
                </c:pt>
                <c:pt idx="1">
                  <c:v>222.7834502447312</c:v>
                </c:pt>
                <c:pt idx="2">
                  <c:v>291.11526134109982</c:v>
                </c:pt>
                <c:pt idx="3">
                  <c:v>430.90688771250166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8-41BF-8E5E-FC2D03167088}"/>
            </c:ext>
          </c:extLst>
        </c:ser>
        <c:ser>
          <c:idx val="5"/>
          <c:order val="5"/>
          <c:tx>
            <c:strRef>
              <c:f>Résultats!$A$98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Résultats!$Y$98:$AB$98</c:f>
              <c:numCache>
                <c:formatCode>#,##0</c:formatCode>
                <c:ptCount val="4"/>
                <c:pt idx="0">
                  <c:v>1982.5970798164833</c:v>
                </c:pt>
                <c:pt idx="1">
                  <c:v>1060.0354331916919</c:v>
                </c:pt>
                <c:pt idx="2">
                  <c:v>693.61101996576963</c:v>
                </c:pt>
                <c:pt idx="3">
                  <c:v>586.61881586736911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8-41BF-8E5E-FC2D03167088}"/>
            </c:ext>
          </c:extLst>
        </c:ser>
        <c:ser>
          <c:idx val="6"/>
          <c:order val="6"/>
          <c:tx>
            <c:strRef>
              <c:f>Résultats!$A$99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Résultats!$Y$99:$AB$99</c:f>
              <c:numCache>
                <c:formatCode>#,##0</c:formatCode>
                <c:ptCount val="4"/>
                <c:pt idx="0">
                  <c:v>448.24616001178532</c:v>
                </c:pt>
                <c:pt idx="1">
                  <c:v>1291.395074758743</c:v>
                </c:pt>
                <c:pt idx="2">
                  <c:v>2113.6986119763219</c:v>
                </c:pt>
                <c:pt idx="3">
                  <c:v>2304.0709945824424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F8-41BF-8E5E-FC2D03167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Résultats!$A$29</c:f>
              <c:strCache>
                <c:ptCount val="1"/>
                <c:pt idx="0">
                  <c:v>Chauffage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Résultats!$B$28:$E$28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Résultats!$B$29:$E$29</c:f>
              <c:numCache>
                <c:formatCode>#,##0</c:formatCode>
                <c:ptCount val="4"/>
                <c:pt idx="0">
                  <c:v>100997.66743394214</c:v>
                </c:pt>
                <c:pt idx="1">
                  <c:v>82779.17705973344</c:v>
                </c:pt>
                <c:pt idx="2">
                  <c:v>75656.355117339903</c:v>
                </c:pt>
                <c:pt idx="3">
                  <c:v>66876.447749426385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D-4947-BA4A-E39F1E48E90D}"/>
            </c:ext>
          </c:extLst>
        </c:ser>
        <c:ser>
          <c:idx val="1"/>
          <c:order val="1"/>
          <c:tx>
            <c:strRef>
              <c:f>Résultats!$A$30</c:f>
              <c:strCache>
                <c:ptCount val="1"/>
                <c:pt idx="0">
                  <c:v>Hors chauffage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Résultats!$B$28:$E$28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Résultats!$B$30:$E$30</c:f>
              <c:numCache>
                <c:formatCode>#,##0</c:formatCode>
                <c:ptCount val="4"/>
                <c:pt idx="0">
                  <c:v>158828.24117655741</c:v>
                </c:pt>
                <c:pt idx="1">
                  <c:v>163798.85340304166</c:v>
                </c:pt>
                <c:pt idx="2">
                  <c:v>185016.60117107874</c:v>
                </c:pt>
                <c:pt idx="3">
                  <c:v>213980.16858048382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D-4947-BA4A-E39F1E48E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18207"/>
        <c:axId val="1895409135"/>
      </c:areaChart>
      <c:catAx>
        <c:axId val="164811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5409135"/>
        <c:crosses val="autoZero"/>
        <c:auto val="1"/>
        <c:lblAlgn val="ctr"/>
        <c:lblOffset val="100"/>
        <c:noMultiLvlLbl val="0"/>
      </c:catAx>
      <c:valAx>
        <c:axId val="1895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811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Résultats!$A$29</c:f>
              <c:strCache>
                <c:ptCount val="1"/>
                <c:pt idx="0">
                  <c:v>Chauffage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Résultats!$Y$28:$AB$28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Résultats!$Y$29:$AB$29</c:f>
              <c:numCache>
                <c:formatCode>#,##0</c:formatCode>
                <c:ptCount val="4"/>
                <c:pt idx="0">
                  <c:v>100997.66743394214</c:v>
                </c:pt>
                <c:pt idx="1">
                  <c:v>81335.172722155374</c:v>
                </c:pt>
                <c:pt idx="2">
                  <c:v>62532.977702039701</c:v>
                </c:pt>
                <c:pt idx="3">
                  <c:v>48822.166499082552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1-4B0B-9399-400D1379574E}"/>
            </c:ext>
          </c:extLst>
        </c:ser>
        <c:ser>
          <c:idx val="1"/>
          <c:order val="1"/>
          <c:tx>
            <c:strRef>
              <c:f>Résultats!$A$30</c:f>
              <c:strCache>
                <c:ptCount val="1"/>
                <c:pt idx="0">
                  <c:v>Hors chauffage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Résultats!$Y$28:$AB$28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Résultats!$Y$30:$AB$30</c:f>
              <c:numCache>
                <c:formatCode>#,##0</c:formatCode>
                <c:ptCount val="4"/>
                <c:pt idx="0">
                  <c:v>151855.23907705076</c:v>
                </c:pt>
                <c:pt idx="1">
                  <c:v>130305.86626704002</c:v>
                </c:pt>
                <c:pt idx="2">
                  <c:v>123681.66990754718</c:v>
                </c:pt>
                <c:pt idx="3">
                  <c:v>120626.19991206576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11-4B0B-9399-400D13795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18207"/>
        <c:axId val="1895409135"/>
      </c:areaChart>
      <c:catAx>
        <c:axId val="164811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5409135"/>
        <c:crosses val="autoZero"/>
        <c:auto val="1"/>
        <c:lblAlgn val="ctr"/>
        <c:lblOffset val="100"/>
        <c:noMultiLvlLbl val="0"/>
      </c:catAx>
      <c:valAx>
        <c:axId val="1895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811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4759405074366"/>
          <c:y val="5.0925925925925923E-2"/>
          <c:w val="0.85219685039370074"/>
          <c:h val="0.683686934966462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Résultats!$A$34</c:f>
              <c:strCache>
                <c:ptCount val="1"/>
                <c:pt idx="0">
                  <c:v>Energie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3-4B03-81FB-0333B09A8D98}"/>
            </c:ext>
          </c:extLst>
        </c:ser>
        <c:ser>
          <c:idx val="1"/>
          <c:order val="1"/>
          <c:tx>
            <c:strRef>
              <c:f>Résultats!$A$35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Résultats!$B$35:$E$35</c:f>
              <c:numCache>
                <c:formatCode>#,##0</c:formatCode>
                <c:ptCount val="4"/>
                <c:pt idx="0">
                  <c:v>22595.21120051519</c:v>
                </c:pt>
                <c:pt idx="1">
                  <c:v>16467.226494066581</c:v>
                </c:pt>
                <c:pt idx="2">
                  <c:v>13527.856442167027</c:v>
                </c:pt>
                <c:pt idx="3">
                  <c:v>10756.58989531611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3-4B03-81FB-0333B09A8D98}"/>
            </c:ext>
          </c:extLst>
        </c:ser>
        <c:ser>
          <c:idx val="2"/>
          <c:order val="2"/>
          <c:tx>
            <c:strRef>
              <c:f>Résultats!$A$36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Résultats!$B$36:$E$36</c:f>
              <c:numCache>
                <c:formatCode>#,##0</c:formatCode>
                <c:ptCount val="4"/>
                <c:pt idx="0">
                  <c:v>72724.001974812665</c:v>
                </c:pt>
                <c:pt idx="1">
                  <c:v>59107.143599473755</c:v>
                </c:pt>
                <c:pt idx="2">
                  <c:v>54381.501280066455</c:v>
                </c:pt>
                <c:pt idx="3">
                  <c:v>48964.706450822312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63-4B03-81FB-0333B09A8D98}"/>
            </c:ext>
          </c:extLst>
        </c:ser>
        <c:ser>
          <c:idx val="3"/>
          <c:order val="3"/>
          <c:tx>
            <c:strRef>
              <c:f>Résultats!$A$37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Résultats!$B$37:$E$37</c:f>
              <c:numCache>
                <c:formatCode>#,##0</c:formatCode>
                <c:ptCount val="4"/>
                <c:pt idx="0">
                  <c:v>8956.0754726763971</c:v>
                </c:pt>
                <c:pt idx="1">
                  <c:v>8753.9663150461474</c:v>
                </c:pt>
                <c:pt idx="2">
                  <c:v>8305.5385010957034</c:v>
                </c:pt>
                <c:pt idx="3">
                  <c:v>7473.4207509827047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63-4B03-81FB-0333B09A8D98}"/>
            </c:ext>
          </c:extLst>
        </c:ser>
        <c:ser>
          <c:idx val="4"/>
          <c:order val="4"/>
          <c:tx>
            <c:strRef>
              <c:f>Résultats!$A$38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Résultats!$B$38:$E$38</c:f>
              <c:numCache>
                <c:formatCode>#,##0</c:formatCode>
                <c:ptCount val="4"/>
                <c:pt idx="0">
                  <c:v>1272.5786804340246</c:v>
                </c:pt>
                <c:pt idx="1">
                  <c:v>1096.1877318231943</c:v>
                </c:pt>
                <c:pt idx="2">
                  <c:v>1044.2803407172721</c:v>
                </c:pt>
                <c:pt idx="3">
                  <c:v>969.07550599965407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3-4B03-81FB-0333B09A8D98}"/>
            </c:ext>
          </c:extLst>
        </c:ser>
        <c:ser>
          <c:idx val="5"/>
          <c:order val="5"/>
          <c:tx>
            <c:strRef>
              <c:f>Résultats!$A$39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Résultats!$B$39:$E$39</c:f>
              <c:numCache>
                <c:formatCode>#,##0</c:formatCode>
                <c:ptCount val="4"/>
                <c:pt idx="0">
                  <c:v>1509.2890182714991</c:v>
                </c:pt>
                <c:pt idx="1">
                  <c:v>1539.1784578563154</c:v>
                </c:pt>
                <c:pt idx="2">
                  <c:v>1625.3271270041228</c:v>
                </c:pt>
                <c:pt idx="3">
                  <c:v>1663.1942136168313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63-4B03-81FB-0333B09A8D98}"/>
            </c:ext>
          </c:extLst>
        </c:ser>
        <c:ser>
          <c:idx val="6"/>
          <c:order val="6"/>
          <c:tx>
            <c:strRef>
              <c:f>Résultats!$A$40</c:f>
              <c:strCache>
                <c:ptCount val="1"/>
                <c:pt idx="0">
                  <c:v>Electricité (PAC incluses)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Résultats!$B$40:$E$40</c:f>
              <c:numCache>
                <c:formatCode>#,##0</c:formatCode>
                <c:ptCount val="4"/>
                <c:pt idx="0">
                  <c:v>152768.75226378979</c:v>
                </c:pt>
                <c:pt idx="1">
                  <c:v>159614.32786450916</c:v>
                </c:pt>
                <c:pt idx="2">
                  <c:v>181788.45259736807</c:v>
                </c:pt>
                <c:pt idx="3">
                  <c:v>211029.62951317258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63-4B03-81FB-0333B09A8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548031"/>
        <c:axId val="1727546783"/>
      </c:barChart>
      <c:catAx>
        <c:axId val="172754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546783"/>
        <c:crosses val="autoZero"/>
        <c:auto val="1"/>
        <c:lblAlgn val="ctr"/>
        <c:lblOffset val="100"/>
        <c:noMultiLvlLbl val="0"/>
      </c:catAx>
      <c:valAx>
        <c:axId val="172754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54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824803149606284E-2"/>
          <c:y val="0.82349372995042291"/>
          <c:w val="0.87490594925634291"/>
          <c:h val="0.148728492271799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8067962486376"/>
          <c:y val="5.3528001045271202E-2"/>
          <c:w val="0.85190302106388238"/>
          <c:h val="0.623729333103435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Résultats!$X$34</c:f>
              <c:strCache>
                <c:ptCount val="1"/>
                <c:pt idx="0">
                  <c:v>Energie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F-45B1-977A-EEA61785EC9F}"/>
            </c:ext>
          </c:extLst>
        </c:ser>
        <c:ser>
          <c:idx val="1"/>
          <c:order val="1"/>
          <c:tx>
            <c:strRef>
              <c:f>Résultats!$X$35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Résultats!$Y$35:$AB$35</c:f>
              <c:numCache>
                <c:formatCode>#,##0</c:formatCode>
                <c:ptCount val="4"/>
                <c:pt idx="0">
                  <c:v>22595.21120051519</c:v>
                </c:pt>
                <c:pt idx="1">
                  <c:v>1657.255273291556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F-45B1-977A-EEA61785EC9F}"/>
            </c:ext>
          </c:extLst>
        </c:ser>
        <c:ser>
          <c:idx val="2"/>
          <c:order val="2"/>
          <c:tx>
            <c:strRef>
              <c:f>Résultats!$X$36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Résultats!$Y$36:$AB$36</c:f>
              <c:numCache>
                <c:formatCode>#,##0</c:formatCode>
                <c:ptCount val="4"/>
                <c:pt idx="0">
                  <c:v>72856.92088779372</c:v>
                </c:pt>
                <c:pt idx="1">
                  <c:v>50935.799159668109</c:v>
                </c:pt>
                <c:pt idx="2">
                  <c:v>21647.969746715669</c:v>
                </c:pt>
                <c:pt idx="3">
                  <c:v>2830.2407606982761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F-45B1-977A-EEA61785EC9F}"/>
            </c:ext>
          </c:extLst>
        </c:ser>
        <c:ser>
          <c:idx val="3"/>
          <c:order val="3"/>
          <c:tx>
            <c:strRef>
              <c:f>Résultats!$X$37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Résultats!$Y$37:$AB$37</c:f>
              <c:numCache>
                <c:formatCode>#,##0</c:formatCode>
                <c:ptCount val="4"/>
                <c:pt idx="0">
                  <c:v>8956.0754726763953</c:v>
                </c:pt>
                <c:pt idx="1">
                  <c:v>18541.8412446689</c:v>
                </c:pt>
                <c:pt idx="2">
                  <c:v>20367.209523690559</c:v>
                </c:pt>
                <c:pt idx="3">
                  <c:v>19367.231060009683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F-45B1-977A-EEA61785EC9F}"/>
            </c:ext>
          </c:extLst>
        </c:ser>
        <c:ser>
          <c:idx val="4"/>
          <c:order val="4"/>
          <c:tx>
            <c:strRef>
              <c:f>Résultats!$X$38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Résultats!$Y$38:$AB$38</c:f>
              <c:numCache>
                <c:formatCode>#,##0</c:formatCode>
                <c:ptCount val="4"/>
                <c:pt idx="0">
                  <c:v>1272.578680434025</c:v>
                </c:pt>
                <c:pt idx="1">
                  <c:v>767.39291953860936</c:v>
                </c:pt>
                <c:pt idx="2">
                  <c:v>433.5104529688582</c:v>
                </c:pt>
                <c:pt idx="3">
                  <c:v>44.699235741139397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BF-45B1-977A-EEA61785EC9F}"/>
            </c:ext>
          </c:extLst>
        </c:ser>
        <c:ser>
          <c:idx val="5"/>
          <c:order val="5"/>
          <c:tx>
            <c:strRef>
              <c:f>Résultats!$X$39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Résultats!$Y$39:$AB$39</c:f>
              <c:numCache>
                <c:formatCode>#,##0</c:formatCode>
                <c:ptCount val="4"/>
                <c:pt idx="0">
                  <c:v>1509.2890182714993</c:v>
                </c:pt>
                <c:pt idx="1">
                  <c:v>2468.9607340435023</c:v>
                </c:pt>
                <c:pt idx="2">
                  <c:v>2907.1974926872163</c:v>
                </c:pt>
                <c:pt idx="3">
                  <c:v>3632.0252095179899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BF-45B1-977A-EEA61785EC9F}"/>
            </c:ext>
          </c:extLst>
        </c:ser>
        <c:ser>
          <c:idx val="6"/>
          <c:order val="6"/>
          <c:tx>
            <c:strRef>
              <c:f>Résultats!$X$40</c:f>
              <c:strCache>
                <c:ptCount val="1"/>
                <c:pt idx="0">
                  <c:v>Electricité (PAC incluses)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Résultats!$Y$34:$AB$34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Résultats!$Y$40:$AB$40</c:f>
              <c:numCache>
                <c:formatCode>#,##0</c:formatCode>
                <c:ptCount val="4"/>
                <c:pt idx="0">
                  <c:v>145662.83125130209</c:v>
                </c:pt>
                <c:pt idx="1">
                  <c:v>137167.52100812527</c:v>
                </c:pt>
                <c:pt idx="2">
                  <c:v>140681.45672097127</c:v>
                </c:pt>
                <c:pt idx="3">
                  <c:v>143344.61571316083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BF-45B1-977A-EEA61785E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9923087"/>
        <c:axId val="1649920591"/>
      </c:barChart>
      <c:catAx>
        <c:axId val="164992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920591"/>
        <c:crosses val="autoZero"/>
        <c:auto val="1"/>
        <c:lblAlgn val="ctr"/>
        <c:lblOffset val="100"/>
        <c:noMultiLvlLbl val="0"/>
      </c:catAx>
      <c:valAx>
        <c:axId val="164992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92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685218420010485E-2"/>
          <c:y val="0.75608100082380203"/>
          <c:w val="0.82932914362682386"/>
          <c:h val="0.21958818307112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hors chauffage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Résultats!$A$114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Résultats!$B$114:$E$114</c:f>
              <c:numCache>
                <c:formatCode>_-* #\ ##0_-;\-* #\ ##0_-;_-* "-"??_-;_-@_-</c:formatCode>
                <c:ptCount val="4"/>
                <c:pt idx="0">
                  <c:v>135185.90450817489</c:v>
                </c:pt>
                <c:pt idx="1">
                  <c:v>143571.48465130985</c:v>
                </c:pt>
                <c:pt idx="2">
                  <c:v>166296.47997488041</c:v>
                </c:pt>
                <c:pt idx="3">
                  <c:v>196606.62358904525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9-4E0F-8169-7D149F47CDAC}"/>
            </c:ext>
          </c:extLst>
        </c:ser>
        <c:ser>
          <c:idx val="1"/>
          <c:order val="1"/>
          <c:tx>
            <c:strRef>
              <c:f>Résultats!$A$115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Résultats!$B$115:$E$115</c:f>
              <c:numCache>
                <c:formatCode>_-* #\ ##0_-;\-* #\ ##0_-;_-* "-"??_-;_-@_-</c:formatCode>
                <c:ptCount val="4"/>
                <c:pt idx="0">
                  <c:v>16918.432156631196</c:v>
                </c:pt>
                <c:pt idx="1">
                  <c:v>14402.066372549833</c:v>
                </c:pt>
                <c:pt idx="2">
                  <c:v>13527.232268561685</c:v>
                </c:pt>
                <c:pt idx="3">
                  <c:v>12627.611524259042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9-4E0F-8169-7D149F47CDAC}"/>
            </c:ext>
          </c:extLst>
        </c:ser>
        <c:ser>
          <c:idx val="2"/>
          <c:order val="2"/>
          <c:tx>
            <c:strRef>
              <c:f>Résultats!$A$116</c:f>
              <c:strCache>
                <c:ptCount val="1"/>
                <c:pt idx="0">
                  <c:v>Pétrole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Résultats!$B$116:$E$116</c:f>
              <c:numCache>
                <c:formatCode>_-* #\ ##0_-;\-* #\ ##0_-;_-* "-"??_-;_-@_-</c:formatCode>
                <c:ptCount val="4"/>
                <c:pt idx="0">
                  <c:v>4958.7960253733008</c:v>
                </c:pt>
                <c:pt idx="1">
                  <c:v>3883.0438834044844</c:v>
                </c:pt>
                <c:pt idx="2">
                  <c:v>3298.4830966687159</c:v>
                </c:pt>
                <c:pt idx="3">
                  <c:v>2934.6220514475667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19-4E0F-8169-7D149F47CDAC}"/>
            </c:ext>
          </c:extLst>
        </c:ser>
        <c:ser>
          <c:idx val="3"/>
          <c:order val="3"/>
          <c:tx>
            <c:strRef>
              <c:f>Résultats!$A$117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Résultats!$B$117:$E$117</c:f>
              <c:numCache>
                <c:formatCode>_-* #\ ##0_-;\-* #\ ##0_-;_-* "-"??_-;_-@_-</c:formatCode>
                <c:ptCount val="4"/>
                <c:pt idx="0">
                  <c:v>214.6153499104517</c:v>
                </c:pt>
                <c:pt idx="1">
                  <c:v>237.24516632789317</c:v>
                </c:pt>
                <c:pt idx="2">
                  <c:v>247.32151527102963</c:v>
                </c:pt>
                <c:pt idx="3">
                  <c:v>253.94561321281111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19-4E0F-8169-7D149F47CDAC}"/>
            </c:ext>
          </c:extLst>
        </c:ser>
        <c:ser>
          <c:idx val="4"/>
          <c:order val="4"/>
          <c:tx>
            <c:strRef>
              <c:f>Résultats!$A$118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Résultats!$B$118:$E$118</c:f>
              <c:numCache>
                <c:formatCode>_-* #\ ##0_-;\-* #\ ##0_-;_-* "-"??_-;_-@_-</c:formatCode>
                <c:ptCount val="4"/>
                <c:pt idx="0">
                  <c:v>1550.4931364675845</c:v>
                </c:pt>
                <c:pt idx="1">
                  <c:v>1705.013329449637</c:v>
                </c:pt>
                <c:pt idx="2">
                  <c:v>1647.084315696889</c:v>
                </c:pt>
                <c:pt idx="3">
                  <c:v>1557.3658025191423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19-4E0F-8169-7D149F47CDAC}"/>
            </c:ext>
          </c:extLst>
        </c:ser>
        <c:ser>
          <c:idx val="5"/>
          <c:order val="5"/>
          <c:tx>
            <c:strRef>
              <c:f>Résultats!$A$119</c:f>
              <c:strCache>
                <c:ptCount val="1"/>
                <c:pt idx="0">
                  <c:v>EnR thermique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Résultats!$B$119:$E$119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19-4E0F-8169-7D149F47C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hors chauffage en GWh AMS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Résultats!$A$114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Résultats!$Y$114:$AB$114</c:f>
              <c:numCache>
                <c:formatCode>_-* #\ ##0_-;\-* #\ ##0_-;_-* "-"??_-;_-@_-</c:formatCode>
                <c:ptCount val="4"/>
                <c:pt idx="0">
                  <c:v>128079.98349568721</c:v>
                </c:pt>
                <c:pt idx="1">
                  <c:v>116041.44804383353</c:v>
                </c:pt>
                <c:pt idx="2">
                  <c:v>115426.50807747479</c:v>
                </c:pt>
                <c:pt idx="3">
                  <c:v>116065.40866830367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D-47E5-92FF-FFC57E95CE96}"/>
            </c:ext>
          </c:extLst>
        </c:ser>
        <c:ser>
          <c:idx val="1"/>
          <c:order val="1"/>
          <c:tx>
            <c:strRef>
              <c:f>Résultats!$A$115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Résultats!$Y$115:$AB$115</c:f>
              <c:numCache>
                <c:formatCode>_-* #\ ##0_-;\-* #\ ##0_-;_-* "-"??_-;_-@_-</c:formatCode>
                <c:ptCount val="4"/>
                <c:pt idx="0">
                  <c:v>17051.351069612236</c:v>
                </c:pt>
                <c:pt idx="1">
                  <c:v>9743.2810929397365</c:v>
                </c:pt>
                <c:pt idx="2">
                  <c:v>4108.0765251679504</c:v>
                </c:pt>
                <c:pt idx="3">
                  <c:v>835.87520013279232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D-47E5-92FF-FFC57E95CE96}"/>
            </c:ext>
          </c:extLst>
        </c:ser>
        <c:ser>
          <c:idx val="2"/>
          <c:order val="2"/>
          <c:tx>
            <c:strRef>
              <c:f>Résultats!$A$116</c:f>
              <c:strCache>
                <c:ptCount val="1"/>
                <c:pt idx="0">
                  <c:v>Pétrole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Résultats!$Y$116:$AB$116</c:f>
              <c:numCache>
                <c:formatCode>_-* #\ ##0_-;\-* #\ ##0_-;_-* "-"??_-;_-@_-</c:formatCode>
                <c:ptCount val="4"/>
                <c:pt idx="0">
                  <c:v>4958.7960253733008</c:v>
                </c:pt>
                <c:pt idx="1">
                  <c:v>244.52002293735907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D-47E5-92FF-FFC57E95CE96}"/>
            </c:ext>
          </c:extLst>
        </c:ser>
        <c:ser>
          <c:idx val="3"/>
          <c:order val="3"/>
          <c:tx>
            <c:strRef>
              <c:f>Résultats!$A$117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Résultats!$Y$117:$AB$117</c:f>
              <c:numCache>
                <c:formatCode>_-* #\ ##0_-;\-* #\ ##0_-;_-* "-"??_-;_-@_-</c:formatCode>
                <c:ptCount val="4"/>
                <c:pt idx="0">
                  <c:v>214.6153499104517</c:v>
                </c:pt>
                <c:pt idx="1">
                  <c:v>663.01904787483431</c:v>
                </c:pt>
                <c:pt idx="2">
                  <c:v>533.48745170182087</c:v>
                </c:pt>
                <c:pt idx="3">
                  <c:v>436.08334641640846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CD-47E5-92FF-FFC57E95CE96}"/>
            </c:ext>
          </c:extLst>
        </c:ser>
        <c:ser>
          <c:idx val="4"/>
          <c:order val="4"/>
          <c:tx>
            <c:strRef>
              <c:f>Résultats!$A$118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Résultats!$Y$118:$AB$118</c:f>
              <c:numCache>
                <c:formatCode>_-* #\ ##0_-;\-* #\ ##0_-;_-* "-"??_-;_-@_-</c:formatCode>
                <c:ptCount val="4"/>
                <c:pt idx="0">
                  <c:v>1550.4931364675845</c:v>
                </c:pt>
                <c:pt idx="1">
                  <c:v>3511.2270385742158</c:v>
                </c:pt>
                <c:pt idx="2">
                  <c:v>3436.1166994956225</c:v>
                </c:pt>
                <c:pt idx="3">
                  <c:v>3059.0484809762529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CD-47E5-92FF-FFC57E95CE96}"/>
            </c:ext>
          </c:extLst>
        </c:ser>
        <c:ser>
          <c:idx val="5"/>
          <c:order val="5"/>
          <c:tx>
            <c:strRef>
              <c:f>Résultats!$A$119</c:f>
              <c:strCache>
                <c:ptCount val="1"/>
                <c:pt idx="0">
                  <c:v>EnR thermique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Résultats!$Y$56:$AB$56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Résultats!$Y$119:$AB$119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0.10237102088032926</c:v>
                </c:pt>
                <c:pt idx="2">
                  <c:v>0.17748115370700243</c:v>
                </c:pt>
                <c:pt idx="3">
                  <c:v>0.22978421623662629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CD-47E5-92FF-FFC57E95C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Résultats!$A$132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Résultats!$B$132:$E$132</c:f>
              <c:numCache>
                <c:formatCode>_-* #\ ##0_-;\-* #\ ##0_-;_-* "-"??_-;_-@_-</c:formatCode>
                <c:ptCount val="4"/>
                <c:pt idx="0">
                  <c:v>6.1222742263570664</c:v>
                </c:pt>
                <c:pt idx="1">
                  <c:v>4.4618691743810457</c:v>
                </c:pt>
                <c:pt idx="2">
                  <c:v>3.6654336221406592</c:v>
                </c:pt>
                <c:pt idx="3">
                  <c:v>2.9145464716030243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8-48A5-8AAF-BB76D8FE5F8B}"/>
            </c:ext>
          </c:extLst>
        </c:ser>
        <c:ser>
          <c:idx val="1"/>
          <c:order val="1"/>
          <c:tx>
            <c:strRef>
              <c:f>Résultats!$A$133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Résultats!$B$133:$E$133</c:f>
              <c:numCache>
                <c:formatCode>_-* #\ ##0_-;\-* #\ ##0_-;_-* "-"??_-;_-@_-</c:formatCode>
                <c:ptCount val="4"/>
                <c:pt idx="0">
                  <c:v>14.924105214138644</c:v>
                </c:pt>
                <c:pt idx="1">
                  <c:v>12.129712419996673</c:v>
                </c:pt>
                <c:pt idx="2">
                  <c:v>11.159936537700665</c:v>
                </c:pt>
                <c:pt idx="3">
                  <c:v>10.048325325998642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8-48A5-8AAF-BB76D8FE5F8B}"/>
            </c:ext>
          </c:extLst>
        </c:ser>
        <c:ser>
          <c:idx val="2"/>
          <c:order val="2"/>
          <c:tx>
            <c:strRef>
              <c:f>Résultats!$A$134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Résultats!$B$134:$E$134</c:f>
              <c:numCache>
                <c:formatCode>_-* #\ ##0_-;\-* #\ ##0_-;_-* "-"??_-;_-@_-</c:formatCode>
                <c:ptCount val="4"/>
                <c:pt idx="0">
                  <c:v>1.3434113209014595</c:v>
                </c:pt>
                <c:pt idx="1">
                  <c:v>1.313094947256922</c:v>
                </c:pt>
                <c:pt idx="2">
                  <c:v>1.2458307751643554</c:v>
                </c:pt>
                <c:pt idx="3">
                  <c:v>1.1210131126474054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8-48A5-8AAF-BB76D8FE5F8B}"/>
            </c:ext>
          </c:extLst>
        </c:ser>
        <c:ser>
          <c:idx val="3"/>
          <c:order val="3"/>
          <c:tx>
            <c:strRef>
              <c:f>Résultats!$A$135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Résultats!$B$135:$E$135</c:f>
              <c:numCache>
                <c:formatCode>_-* #\ ##0_-;\-* #\ ##0_-;_-* "-"??_-;_-@_-</c:formatCode>
                <c:ptCount val="4"/>
                <c:pt idx="0">
                  <c:v>0.34481092418623072</c:v>
                </c:pt>
                <c:pt idx="1">
                  <c:v>0.29701700232998635</c:v>
                </c:pt>
                <c:pt idx="2">
                  <c:v>0.28295246095858384</c:v>
                </c:pt>
                <c:pt idx="3">
                  <c:v>0.26257537232669625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8-48A5-8AAF-BB76D8FE5F8B}"/>
            </c:ext>
          </c:extLst>
        </c:ser>
        <c:ser>
          <c:idx val="4"/>
          <c:order val="4"/>
          <c:tx>
            <c:strRef>
              <c:f>Résultats!$A$136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Résultats!$B$131:$E$131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Résultats!$B$136:$E$136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8-48A5-8AAF-BB76D8FE5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66896"/>
        <c:axId val="179362320"/>
      </c:areaChart>
      <c:catAx>
        <c:axId val="17936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2320"/>
        <c:crosses val="autoZero"/>
        <c:auto val="1"/>
        <c:lblAlgn val="ctr"/>
        <c:lblOffset val="100"/>
        <c:noMultiLvlLbl val="0"/>
      </c:catAx>
      <c:valAx>
        <c:axId val="1793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Résultats!$A$132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Résultats!$Y$132:$AB$132</c:f>
              <c:numCache>
                <c:formatCode>_-* #\ ##0.0_-;\-* #\ ##0.0_-;_-* "-"??_-;_-@_-</c:formatCode>
                <c:ptCount val="4"/>
                <c:pt idx="0">
                  <c:v>6.1222742263570664</c:v>
                </c:pt>
                <c:pt idx="1">
                  <c:v>0.44904077931061287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1-4FE6-BA47-A6E6DCA90DEE}"/>
            </c:ext>
          </c:extLst>
        </c:ser>
        <c:ser>
          <c:idx val="1"/>
          <c:order val="1"/>
          <c:tx>
            <c:strRef>
              <c:f>Résultats!$A$133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Résultats!$Y$133:$AB$133</c:f>
              <c:numCache>
                <c:formatCode>_-* #\ ##0.0_-;\-* #\ ##0.0_-;_-* "-"??_-;_-@_-</c:formatCode>
                <c:ptCount val="4"/>
                <c:pt idx="0">
                  <c:v>14.951382258696302</c:v>
                </c:pt>
                <c:pt idx="1">
                  <c:v>10.452824448363009</c:v>
                </c:pt>
                <c:pt idx="2">
                  <c:v>4.4425027418646419</c:v>
                </c:pt>
                <c:pt idx="3">
                  <c:v>0.58080977046111826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1-4FE6-BA47-A6E6DCA90DEE}"/>
            </c:ext>
          </c:extLst>
        </c:ser>
        <c:ser>
          <c:idx val="2"/>
          <c:order val="2"/>
          <c:tx>
            <c:strRef>
              <c:f>Résultats!$A$134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Résultats!$Y$134:$AB$134</c:f>
              <c:numCache>
                <c:formatCode>_-* #\ ##0.0_-;\-* #\ ##0.0_-;_-* "-"??_-;_-@_-</c:formatCode>
                <c:ptCount val="4"/>
                <c:pt idx="0">
                  <c:v>1.3434113209014593</c:v>
                </c:pt>
                <c:pt idx="1">
                  <c:v>2.1632148118780381</c:v>
                </c:pt>
                <c:pt idx="2">
                  <c:v>1.5841162962870432</c:v>
                </c:pt>
                <c:pt idx="3">
                  <c:v>0.9683615530004841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91-4FE6-BA47-A6E6DCA90DEE}"/>
            </c:ext>
          </c:extLst>
        </c:ser>
        <c:ser>
          <c:idx val="3"/>
          <c:order val="3"/>
          <c:tx>
            <c:strRef>
              <c:f>Résultats!$A$135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Résultats!$Y$135:$AB$135</c:f>
              <c:numCache>
                <c:formatCode>_-* #\ ##0.0_-;\-* #\ ##0.0_-;_-* "-"??_-;_-@_-</c:formatCode>
                <c:ptCount val="4"/>
                <c:pt idx="0">
                  <c:v>0.34481092418623083</c:v>
                </c:pt>
                <c:pt idx="1">
                  <c:v>0.20792856730071224</c:v>
                </c:pt>
                <c:pt idx="2">
                  <c:v>0.1174616094319624</c:v>
                </c:pt>
                <c:pt idx="3">
                  <c:v>1.2111459215287026E-2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91-4FE6-BA47-A6E6DCA90DEE}"/>
            </c:ext>
          </c:extLst>
        </c:ser>
        <c:ser>
          <c:idx val="4"/>
          <c:order val="4"/>
          <c:tx>
            <c:strRef>
              <c:f>Résultats!$A$136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Résultats!$Y$131:$AB$131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Résultats!$Y$136:$AB$136</c:f>
              <c:numCache>
                <c:formatCode>_-* #\ ##0.0_-;\-* #\ ##0.0_-;_-*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91-4FE6-BA47-A6E6DCA90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66896"/>
        <c:axId val="179362320"/>
      </c:areaChart>
      <c:catAx>
        <c:axId val="17936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2320"/>
        <c:crosses val="autoZero"/>
        <c:auto val="1"/>
        <c:lblAlgn val="ctr"/>
        <c:lblOffset val="100"/>
        <c:noMultiLvlLbl val="0"/>
      </c:catAx>
      <c:valAx>
        <c:axId val="1793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Répartition du parc par</a:t>
            </a:r>
            <a:r>
              <a:rPr lang="fr-FR" sz="1200" baseline="0"/>
              <a:t> énergie en AMS (en milliers de m²)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Résultats!$X$155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Résultats!$Y$155:$AB$155</c:f>
              <c:numCache>
                <c:formatCode>_-* #\ ##0_-;\-* #\ ##0_-;_-* "-"??_-;_-@_-</c:formatCode>
                <c:ptCount val="4"/>
                <c:pt idx="0">
                  <c:v>141901.09343289433</c:v>
                </c:pt>
                <c:pt idx="1">
                  <c:v>12854.882597958662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A-4700-9A36-D9EE627EC5FF}"/>
            </c:ext>
          </c:extLst>
        </c:ser>
        <c:ser>
          <c:idx val="1"/>
          <c:order val="1"/>
          <c:tx>
            <c:strRef>
              <c:f>Résultats!$X$156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Résultats!$Y$156:$AB$156</c:f>
              <c:numCache>
                <c:formatCode>_-* #\ ##0_-;\-* #\ ##0_-;_-* "-"??_-;_-@_-</c:formatCode>
                <c:ptCount val="4"/>
                <c:pt idx="0">
                  <c:v>454344.37842089933</c:v>
                </c:pt>
                <c:pt idx="1">
                  <c:v>374396.920570335</c:v>
                </c:pt>
                <c:pt idx="2">
                  <c:v>177323.2924555307</c:v>
                </c:pt>
                <c:pt idx="3">
                  <c:v>21762.121059560359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A-4700-9A36-D9EE627EC5FF}"/>
            </c:ext>
          </c:extLst>
        </c:ser>
        <c:ser>
          <c:idx val="2"/>
          <c:order val="2"/>
          <c:tx>
            <c:strRef>
              <c:f>Résultats!$X$157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Résultats!$Y$157:$AB$157</c:f>
              <c:numCache>
                <c:formatCode>_-* #\ ##0_-;\-* #\ ##0_-;_-* "-"??_-;_-@_-</c:formatCode>
                <c:ptCount val="4"/>
                <c:pt idx="0">
                  <c:v>71441.245547844053</c:v>
                </c:pt>
                <c:pt idx="1">
                  <c:v>187778.06218926172</c:v>
                </c:pt>
                <c:pt idx="2">
                  <c:v>227415.30910128169</c:v>
                </c:pt>
                <c:pt idx="3">
                  <c:v>236382.27092098337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6A-4700-9A36-D9EE627EC5FF}"/>
            </c:ext>
          </c:extLst>
        </c:ser>
        <c:ser>
          <c:idx val="3"/>
          <c:order val="3"/>
          <c:tx>
            <c:strRef>
              <c:f>Résultats!$X$158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Résultats!$Y$158:$AB$158</c:f>
              <c:numCache>
                <c:formatCode>_-* #\ ##0_-;\-* #\ ##0_-;_-* "-"??_-;_-@_-</c:formatCode>
                <c:ptCount val="4"/>
                <c:pt idx="0">
                  <c:v>14072.698497935504</c:v>
                </c:pt>
                <c:pt idx="1">
                  <c:v>10239.909292832006</c:v>
                </c:pt>
                <c:pt idx="2">
                  <c:v>6168.4832918836091</c:v>
                </c:pt>
                <c:pt idx="3">
                  <c:v>723.61470960254644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6A-4700-9A36-D9EE627EC5FF}"/>
            </c:ext>
          </c:extLst>
        </c:ser>
        <c:ser>
          <c:idx val="4"/>
          <c:order val="4"/>
          <c:tx>
            <c:strRef>
              <c:f>Résultats!$X$159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Résultats!$Y$159:$AB$159</c:f>
              <c:numCache>
                <c:formatCode>_-* #\ ##0_-;\-* #\ ##0_-;_-* "-"??_-;_-@_-</c:formatCode>
                <c:ptCount val="4"/>
                <c:pt idx="0">
                  <c:v>12713.837338469146</c:v>
                </c:pt>
                <c:pt idx="1">
                  <c:v>21889.569103846479</c:v>
                </c:pt>
                <c:pt idx="2">
                  <c:v>32419.239495909082</c:v>
                </c:pt>
                <c:pt idx="3">
                  <c:v>45971.32954744211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6A-4700-9A36-D9EE627EC5FF}"/>
            </c:ext>
          </c:extLst>
        </c:ser>
        <c:ser>
          <c:idx val="5"/>
          <c:order val="5"/>
          <c:tx>
            <c:strRef>
              <c:f>Résultats!$X$160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Résultats!$Y$160:$AB$160</c:f>
              <c:numCache>
                <c:formatCode>_-* #\ ##0_-;\-* #\ ##0_-;_-* "-"??_-;_-@_-</c:formatCode>
                <c:ptCount val="4"/>
                <c:pt idx="0">
                  <c:v>230136.8893728843</c:v>
                </c:pt>
                <c:pt idx="1">
                  <c:v>155916.86465285215</c:v>
                </c:pt>
                <c:pt idx="2">
                  <c:v>107652.1492993209</c:v>
                </c:pt>
                <c:pt idx="3">
                  <c:v>101949.30514995787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6A-4700-9A36-D9EE627EC5FF}"/>
            </c:ext>
          </c:extLst>
        </c:ser>
        <c:ser>
          <c:idx val="6"/>
          <c:order val="6"/>
          <c:tx>
            <c:strRef>
              <c:f>Résultats!$X$161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Résultats!$Y$154:$AB$154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Résultats!$Y$161:$AB$161</c:f>
              <c:numCache>
                <c:formatCode>_-* #\ ##0_-;\-* #\ ##0_-;_-* "-"??_-;_-@_-</c:formatCode>
                <c:ptCount val="4"/>
                <c:pt idx="0">
                  <c:v>58665.760521050746</c:v>
                </c:pt>
                <c:pt idx="1">
                  <c:v>234717.75133310686</c:v>
                </c:pt>
                <c:pt idx="2">
                  <c:v>446701.41047538118</c:v>
                </c:pt>
                <c:pt idx="3">
                  <c:v>557837.93006101123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6A-4700-9A36-D9EE627E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203679"/>
        <c:axId val="2031204095"/>
      </c:areaChart>
      <c:catAx>
        <c:axId val="203120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4095"/>
        <c:crosses val="autoZero"/>
        <c:auto val="1"/>
        <c:lblAlgn val="ctr"/>
        <c:lblOffset val="100"/>
        <c:noMultiLvlLbl val="0"/>
      </c:catAx>
      <c:valAx>
        <c:axId val="20312040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Répartition du parc par</a:t>
            </a:r>
            <a:r>
              <a:rPr lang="fr-FR" sz="1200" baseline="0"/>
              <a:t> énergie en AMS (en milliers de m²)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Résultats!$H$156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Résultats!$I$156:$L$156</c:f>
              <c:numCache>
                <c:formatCode>_-* #\ ##0_-;\-* #\ ##0_-;_-* "-"??_-;_-@_-</c:formatCode>
                <c:ptCount val="4"/>
                <c:pt idx="0">
                  <c:v>141901.09343289433</c:v>
                </c:pt>
                <c:pt idx="1">
                  <c:v>119795.24600839353</c:v>
                </c:pt>
                <c:pt idx="2">
                  <c:v>106837.52312213337</c:v>
                </c:pt>
                <c:pt idx="3">
                  <c:v>89459.646012257595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E-46EB-B123-592B0EB7EF1A}"/>
            </c:ext>
          </c:extLst>
        </c:ser>
        <c:ser>
          <c:idx val="1"/>
          <c:order val="1"/>
          <c:tx>
            <c:strRef>
              <c:f>Résultats!$H$157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Résultats!$I$157:$L$157</c:f>
              <c:numCache>
                <c:formatCode>_-* #\ ##0_-;\-* #\ ##0_-;_-* "-"??_-;_-@_-</c:formatCode>
                <c:ptCount val="4"/>
                <c:pt idx="0">
                  <c:v>454344.37842089933</c:v>
                </c:pt>
                <c:pt idx="1">
                  <c:v>425698.0135294536</c:v>
                </c:pt>
                <c:pt idx="2">
                  <c:v>424752.27544970828</c:v>
                </c:pt>
                <c:pt idx="3">
                  <c:v>411072.66227964632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E-46EB-B123-592B0EB7EF1A}"/>
            </c:ext>
          </c:extLst>
        </c:ser>
        <c:ser>
          <c:idx val="2"/>
          <c:order val="2"/>
          <c:tx>
            <c:strRef>
              <c:f>Résultats!$H$158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Résultats!$I$158:$L$158</c:f>
              <c:numCache>
                <c:formatCode>_-* #\ ##0_-;\-* #\ ##0_-;_-* "-"??_-;_-@_-</c:formatCode>
                <c:ptCount val="4"/>
                <c:pt idx="0">
                  <c:v>71441.245547844053</c:v>
                </c:pt>
                <c:pt idx="1">
                  <c:v>81560.511200861423</c:v>
                </c:pt>
                <c:pt idx="2">
                  <c:v>82050.115232573749</c:v>
                </c:pt>
                <c:pt idx="3">
                  <c:v>77571.216481423311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4E-46EB-B123-592B0EB7EF1A}"/>
            </c:ext>
          </c:extLst>
        </c:ser>
        <c:ser>
          <c:idx val="3"/>
          <c:order val="3"/>
          <c:tx>
            <c:strRef>
              <c:f>Résultats!$H$159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Résultats!$I$159:$L$159</c:f>
              <c:numCache>
                <c:formatCode>_-* #\ ##0_-;\-* #\ ##0_-;_-* "-"??_-;_-@_-</c:formatCode>
                <c:ptCount val="4"/>
                <c:pt idx="0">
                  <c:v>14072.698497935502</c:v>
                </c:pt>
                <c:pt idx="1">
                  <c:v>14397.688968434337</c:v>
                </c:pt>
                <c:pt idx="2">
                  <c:v>14836.842407550766</c:v>
                </c:pt>
                <c:pt idx="3">
                  <c:v>14844.114596695159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4E-46EB-B123-592B0EB7EF1A}"/>
            </c:ext>
          </c:extLst>
        </c:ser>
        <c:ser>
          <c:idx val="4"/>
          <c:order val="4"/>
          <c:tx>
            <c:strRef>
              <c:f>Résultats!$H$160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Résultats!$I$160:$L$160</c:f>
              <c:numCache>
                <c:formatCode>_-* #\ ##0_-;\-* #\ ##0_-;_-* "-"??_-;_-@_-</c:formatCode>
                <c:ptCount val="4"/>
                <c:pt idx="0">
                  <c:v>12713.837338469146</c:v>
                </c:pt>
                <c:pt idx="1">
                  <c:v>14667.798089274911</c:v>
                </c:pt>
                <c:pt idx="2">
                  <c:v>16053.693516742846</c:v>
                </c:pt>
                <c:pt idx="3">
                  <c:v>17005.877321405918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4E-46EB-B123-592B0EB7EF1A}"/>
            </c:ext>
          </c:extLst>
        </c:ser>
        <c:ser>
          <c:idx val="5"/>
          <c:order val="5"/>
          <c:tx>
            <c:strRef>
              <c:f>Résultats!$H$161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Résultats!$I$161:$L$161</c:f>
              <c:numCache>
                <c:formatCode>_-* #\ ##0_-;\-* #\ ##0_-;_-* "-"??_-;_-@_-</c:formatCode>
                <c:ptCount val="4"/>
                <c:pt idx="0">
                  <c:v>230136.8893728843</c:v>
                </c:pt>
                <c:pt idx="1">
                  <c:v>197786.28475220225</c:v>
                </c:pt>
                <c:pt idx="2">
                  <c:v>172616.25557423016</c:v>
                </c:pt>
                <c:pt idx="3">
                  <c:v>139920.91422536096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4E-46EB-B123-592B0EB7EF1A}"/>
            </c:ext>
          </c:extLst>
        </c:ser>
        <c:ser>
          <c:idx val="6"/>
          <c:order val="6"/>
          <c:tx>
            <c:strRef>
              <c:f>Résultats!$H$162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Résultats!$I$155:$L$155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Résultats!$I$162:$L$162</c:f>
              <c:numCache>
                <c:formatCode>_-* #\ ##0_-;\-* #\ ##0_-;_-* "-"??_-;_-@_-</c:formatCode>
                <c:ptCount val="4"/>
                <c:pt idx="0">
                  <c:v>58665.760521050746</c:v>
                </c:pt>
                <c:pt idx="1">
                  <c:v>148376.85497280321</c:v>
                </c:pt>
                <c:pt idx="2">
                  <c:v>203668.18796500482</c:v>
                </c:pt>
                <c:pt idx="3">
                  <c:v>259565.63894468066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4E-46EB-B123-592B0EB7E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203679"/>
        <c:axId val="2031204095"/>
      </c:areaChart>
      <c:catAx>
        <c:axId val="203120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4095"/>
        <c:crosses val="autoZero"/>
        <c:auto val="1"/>
        <c:lblAlgn val="ctr"/>
        <c:lblOffset val="100"/>
        <c:noMultiLvlLbl val="0"/>
      </c:catAx>
      <c:valAx>
        <c:axId val="20312040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Résultats!$Y$24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Résultats!$Z$8:$AC$8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Résultats!$Z$24:$AC$24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943305.87487551966</c:v>
                </c:pt>
                <c:pt idx="2">
                  <c:v>954650.08370665286</c:v>
                </c:pt>
                <c:pt idx="3">
                  <c:v>931004.81064076687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80-498B-9660-A9649E434D01}"/>
            </c:ext>
          </c:extLst>
        </c:ser>
        <c:ser>
          <c:idx val="0"/>
          <c:order val="1"/>
          <c:tx>
            <c:strRef>
              <c:f>Résultats!$Y$23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Résultats!$Z$8:$AC$8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Résultats!$Z$23:$AC$23</c:f>
              <c:numCache>
                <c:formatCode>#,##0</c:formatCode>
                <c:ptCount val="4"/>
                <c:pt idx="0">
                  <c:v>0</c:v>
                </c:pt>
                <c:pt idx="1">
                  <c:v>54508.804549841887</c:v>
                </c:pt>
                <c:pt idx="2">
                  <c:v>43094.231129653381</c:v>
                </c:pt>
                <c:pt idx="3">
                  <c:v>33683.415838559042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80-498B-9660-A9649E434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51312"/>
        <c:axId val="1814052976"/>
      </c:areaChart>
      <c:catAx>
        <c:axId val="181405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4052976"/>
        <c:crosses val="autoZero"/>
        <c:auto val="1"/>
        <c:lblAlgn val="ctr"/>
        <c:lblOffset val="100"/>
        <c:noMultiLvlLbl val="0"/>
      </c:catAx>
      <c:valAx>
        <c:axId val="1814052976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milliers de</a:t>
                </a:r>
                <a:r>
                  <a:rPr lang="fr-FR" baseline="0"/>
                  <a:t> m²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4051312"/>
        <c:crosses val="autoZero"/>
        <c:crossBetween val="midCat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du parc par énergie (Mm²)</a:t>
            </a:r>
            <a:endParaRPr lang="fr-FR"/>
          </a:p>
        </c:rich>
      </c:tx>
      <c:layout>
        <c:manualLayout>
          <c:xMode val="edge"/>
          <c:yMode val="edge"/>
          <c:x val="0.3566158230221223"/>
          <c:y val="1.325051587023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Résultats!$X$167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Résultats!$Y$167:$AB$167</c:f>
              <c:numCache>
                <c:formatCode>_-* #\ ##0.0_-;\-* #\ ##0.0_-;_-* "-"??_-;_-@_-</c:formatCode>
                <c:ptCount val="4"/>
                <c:pt idx="0">
                  <c:v>141.90109343289433</c:v>
                </c:pt>
                <c:pt idx="1">
                  <c:v>12.854882597958662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3-445F-86B5-09475708041E}"/>
            </c:ext>
          </c:extLst>
        </c:ser>
        <c:ser>
          <c:idx val="1"/>
          <c:order val="1"/>
          <c:tx>
            <c:strRef>
              <c:f>Résultats!$X$168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Résultats!$Y$168:$AB$168</c:f>
              <c:numCache>
                <c:formatCode>_-* #\ ##0.0_-;\-* #\ ##0.0_-;_-* "-"??_-;_-@_-</c:formatCode>
                <c:ptCount val="4"/>
                <c:pt idx="0">
                  <c:v>454.34437842089932</c:v>
                </c:pt>
                <c:pt idx="1">
                  <c:v>374.396920570335</c:v>
                </c:pt>
                <c:pt idx="2">
                  <c:v>177.32329245553069</c:v>
                </c:pt>
                <c:pt idx="3">
                  <c:v>21.762121059560357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3-445F-86B5-09475708041E}"/>
            </c:ext>
          </c:extLst>
        </c:ser>
        <c:ser>
          <c:idx val="2"/>
          <c:order val="2"/>
          <c:tx>
            <c:strRef>
              <c:f>Résultats!$X$169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96825396825397E-3"/>
                  <c:y val="-3.312628967557885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03-445F-86B5-0947570804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Résultats!$Y$169:$AB$169</c:f>
              <c:numCache>
                <c:formatCode>_-* #\ ##0.0_-;\-* #\ ##0.0_-;_-* "-"??_-;_-@_-</c:formatCode>
                <c:ptCount val="4"/>
                <c:pt idx="0">
                  <c:v>71.441245547844048</c:v>
                </c:pt>
                <c:pt idx="1">
                  <c:v>187.77806218926173</c:v>
                </c:pt>
                <c:pt idx="2">
                  <c:v>227.41530910128168</c:v>
                </c:pt>
                <c:pt idx="3">
                  <c:v>236.38227092098336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3-445F-86B5-09475708041E}"/>
            </c:ext>
          </c:extLst>
        </c:ser>
        <c:ser>
          <c:idx val="5"/>
          <c:order val="3"/>
          <c:tx>
            <c:strRef>
              <c:f>Résultats!$X$172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Résultats!$Y$172:$AB$172</c:f>
              <c:numCache>
                <c:formatCode>_-* #\ ##0.0_-;\-* #\ ##0.0_-;_-* "-"??_-;_-@_-</c:formatCode>
                <c:ptCount val="4"/>
                <c:pt idx="0">
                  <c:v>230.1368893728843</c:v>
                </c:pt>
                <c:pt idx="1">
                  <c:v>155.91686465285215</c:v>
                </c:pt>
                <c:pt idx="2">
                  <c:v>107.6521492993209</c:v>
                </c:pt>
                <c:pt idx="3">
                  <c:v>101.94930514995787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03-445F-86B5-09475708041E}"/>
            </c:ext>
          </c:extLst>
        </c:ser>
        <c:ser>
          <c:idx val="6"/>
          <c:order val="4"/>
          <c:tx>
            <c:strRef>
              <c:f>Résultats!$X$173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625257935115771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03-445F-86B5-0947570804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Résultats!$Y$173:$AB$173</c:f>
              <c:numCache>
                <c:formatCode>_-* #\ ##0.0_-;\-* #\ ##0.0_-;_-* "-"??_-;_-@_-</c:formatCode>
                <c:ptCount val="4"/>
                <c:pt idx="0">
                  <c:v>58.66576052105075</c:v>
                </c:pt>
                <c:pt idx="1">
                  <c:v>234.71775133310686</c:v>
                </c:pt>
                <c:pt idx="2">
                  <c:v>446.70141047538118</c:v>
                </c:pt>
                <c:pt idx="3">
                  <c:v>557.83793006101121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03-445F-86B5-09475708041E}"/>
            </c:ext>
          </c:extLst>
        </c:ser>
        <c:ser>
          <c:idx val="4"/>
          <c:order val="5"/>
          <c:tx>
            <c:strRef>
              <c:f>Résultats!$X$171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Résultats!$Y$171:$AB$171</c:f>
              <c:numCache>
                <c:formatCode>_-* #\ ##0.0_-;\-* #\ ##0.0_-;_-* "-"??_-;_-@_-</c:formatCode>
                <c:ptCount val="4"/>
                <c:pt idx="0">
                  <c:v>12.713837338469146</c:v>
                </c:pt>
                <c:pt idx="1">
                  <c:v>21.88956910384648</c:v>
                </c:pt>
                <c:pt idx="2">
                  <c:v>32.419239495909082</c:v>
                </c:pt>
                <c:pt idx="3">
                  <c:v>45.97132954744211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03-445F-86B5-09475708041E}"/>
            </c:ext>
          </c:extLst>
        </c:ser>
        <c:ser>
          <c:idx val="3"/>
          <c:order val="6"/>
          <c:tx>
            <c:strRef>
              <c:f>Résultats!$X$170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Résultats!$Y$166:$AB$166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Résultats!$Y$170:$AB$170</c:f>
              <c:numCache>
                <c:formatCode>_-* #\ ##0.0_-;\-* #\ ##0.0_-;_-* "-"??_-;_-@_-</c:formatCode>
                <c:ptCount val="4"/>
                <c:pt idx="0">
                  <c:v>14.072698497935503</c:v>
                </c:pt>
                <c:pt idx="1">
                  <c:v>10.239909292832007</c:v>
                </c:pt>
                <c:pt idx="2">
                  <c:v>6.168483291883609</c:v>
                </c:pt>
                <c:pt idx="3">
                  <c:v>0.72361470960254648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3-445F-86B5-0947570804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95880736"/>
        <c:axId val="1495886560"/>
      </c:barChart>
      <c:catAx>
        <c:axId val="14958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6560"/>
        <c:crosses val="autoZero"/>
        <c:auto val="1"/>
        <c:lblAlgn val="ctr"/>
        <c:lblOffset val="100"/>
        <c:noMultiLvlLbl val="0"/>
      </c:catAx>
      <c:valAx>
        <c:axId val="14958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milliers</a:t>
                </a:r>
                <a:r>
                  <a:rPr lang="fr-FR" baseline="0"/>
                  <a:t> de m²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tertiaire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traitement'!$B$23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traitement'!$C$8:$F$8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traitement'!$C$23:$F$23</c:f>
              <c:numCache>
                <c:formatCode>#,##0</c:formatCode>
                <c:ptCount val="4"/>
                <c:pt idx="0">
                  <c:v>0</c:v>
                </c:pt>
                <c:pt idx="1">
                  <c:v>58277.964078281715</c:v>
                </c:pt>
                <c:pt idx="2">
                  <c:v>44695.977271057833</c:v>
                </c:pt>
                <c:pt idx="3">
                  <c:v>36825.330038225744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1-44A0-BAC2-4032FFC8BCD1}"/>
            </c:ext>
          </c:extLst>
        </c:ser>
        <c:ser>
          <c:idx val="1"/>
          <c:order val="1"/>
          <c:tx>
            <c:strRef>
              <c:f>'Résultats - post traitement'!$B$24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traitement'!$C$8:$F$8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traitement'!$C$24:$F$24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944733.51227938244</c:v>
                </c:pt>
                <c:pt idx="2">
                  <c:v>973895.55314713239</c:v>
                </c:pt>
                <c:pt idx="3">
                  <c:v>972631.48261654528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81-44A0-BAC2-4032FFC8B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783488"/>
        <c:axId val="1017780992"/>
      </c:barChart>
      <c:catAx>
        <c:axId val="10177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0992"/>
        <c:crosses val="autoZero"/>
        <c:auto val="1"/>
        <c:lblAlgn val="ctr"/>
        <c:lblOffset val="100"/>
        <c:noMultiLvlLbl val="0"/>
      </c:catAx>
      <c:valAx>
        <c:axId val="10177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totale de chauffage en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traitement'!$A$57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traitement'!$B$57:$E$57</c:f>
              <c:numCache>
                <c:formatCode>#,##0</c:formatCode>
                <c:ptCount val="4"/>
                <c:pt idx="0">
                  <c:v>17636.41517514189</c:v>
                </c:pt>
                <c:pt idx="1">
                  <c:v>12584.182610662096</c:v>
                </c:pt>
                <c:pt idx="2">
                  <c:v>10229.37334549831</c:v>
                </c:pt>
                <c:pt idx="3">
                  <c:v>7821.9678438685432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F-4ABC-8D65-806F922DA59F}"/>
            </c:ext>
          </c:extLst>
        </c:ser>
        <c:ser>
          <c:idx val="1"/>
          <c:order val="1"/>
          <c:tx>
            <c:strRef>
              <c:f>'Résultats - post traitement'!$A$58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traitement'!$B$58:$E$58</c:f>
              <c:numCache>
                <c:formatCode>#,##0</c:formatCode>
                <c:ptCount val="4"/>
                <c:pt idx="0">
                  <c:v>55805.569818181473</c:v>
                </c:pt>
                <c:pt idx="1">
                  <c:v>44705.077226923924</c:v>
                </c:pt>
                <c:pt idx="2">
                  <c:v>40854.269011504766</c:v>
                </c:pt>
                <c:pt idx="3">
                  <c:v>36337.094926563266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F-4ABC-8D65-806F922DA59F}"/>
            </c:ext>
          </c:extLst>
        </c:ser>
        <c:ser>
          <c:idx val="2"/>
          <c:order val="2"/>
          <c:tx>
            <c:strRef>
              <c:f>'Résultats - post traitement'!$A$59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traitement'!$B$59:$E$59</c:f>
              <c:numCache>
                <c:formatCode>#,##0</c:formatCode>
                <c:ptCount val="4"/>
                <c:pt idx="0">
                  <c:v>7405.5823362088131</c:v>
                </c:pt>
                <c:pt idx="1">
                  <c:v>7048.9529855965102</c:v>
                </c:pt>
                <c:pt idx="2">
                  <c:v>6658.4541853988148</c:v>
                </c:pt>
                <c:pt idx="3">
                  <c:v>5916.0549484635621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F-4ABC-8D65-806F922DA59F}"/>
            </c:ext>
          </c:extLst>
        </c:ser>
        <c:ser>
          <c:idx val="3"/>
          <c:order val="3"/>
          <c:tx>
            <c:strRef>
              <c:f>'Résultats - post traitement'!$A$60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traitement'!$B$60:$E$60</c:f>
              <c:numCache>
                <c:formatCode>#,##0</c:formatCode>
                <c:ptCount val="4"/>
                <c:pt idx="0">
                  <c:v>1272.5786804340246</c:v>
                </c:pt>
                <c:pt idx="1">
                  <c:v>1096.1877318231943</c:v>
                </c:pt>
                <c:pt idx="2">
                  <c:v>1044.2803407172721</c:v>
                </c:pt>
                <c:pt idx="3">
                  <c:v>969.07550599965407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2F-4ABC-8D65-806F922DA59F}"/>
            </c:ext>
          </c:extLst>
        </c:ser>
        <c:ser>
          <c:idx val="4"/>
          <c:order val="4"/>
          <c:tx>
            <c:strRef>
              <c:f>'Résultats - post traitement'!$A$61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traitement'!$B$61:$E$61</c:f>
              <c:numCache>
                <c:formatCode>#,##0</c:formatCode>
                <c:ptCount val="4"/>
                <c:pt idx="0">
                  <c:v>1294.6736683610475</c:v>
                </c:pt>
                <c:pt idx="1">
                  <c:v>1301.9332915284222</c:v>
                </c:pt>
                <c:pt idx="2">
                  <c:v>1378.0056117330932</c:v>
                </c:pt>
                <c:pt idx="3">
                  <c:v>1409.2486004040202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2F-4ABC-8D65-806F922DA59F}"/>
            </c:ext>
          </c:extLst>
        </c:ser>
        <c:ser>
          <c:idx val="5"/>
          <c:order val="5"/>
          <c:tx>
            <c:strRef>
              <c:f>'Résultats - post traitement'!$A$62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traitement'!$B$62:$E$62</c:f>
              <c:numCache>
                <c:formatCode>#,##0</c:formatCode>
                <c:ptCount val="4"/>
                <c:pt idx="0">
                  <c:v>14607.452993119286</c:v>
                </c:pt>
                <c:pt idx="1">
                  <c:v>10422.470509805571</c:v>
                </c:pt>
                <c:pt idx="2">
                  <c:v>8187.5358792873649</c:v>
                </c:pt>
                <c:pt idx="3">
                  <c:v>5993.7366700902885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2F-4ABC-8D65-806F922DA59F}"/>
            </c:ext>
          </c:extLst>
        </c:ser>
        <c:ser>
          <c:idx val="6"/>
          <c:order val="6"/>
          <c:tx>
            <c:strRef>
              <c:f>'Résultats - post traitement'!$A$63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traitement'!$B$63:$E$63</c:f>
              <c:numCache>
                <c:formatCode>#,##0</c:formatCode>
                <c:ptCount val="4"/>
                <c:pt idx="0">
                  <c:v>2975.3947624956108</c:v>
                </c:pt>
                <c:pt idx="1">
                  <c:v>5620.3727033937375</c:v>
                </c:pt>
                <c:pt idx="2">
                  <c:v>7304.4367432002919</c:v>
                </c:pt>
                <c:pt idx="3">
                  <c:v>8429.2692540370481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2F-4ABC-8D65-806F922DA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suivant le décret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traitement'!$A$81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traitement'!$B$81:$E$81</c:f>
              <c:numCache>
                <c:formatCode>#,##0</c:formatCode>
                <c:ptCount val="4"/>
                <c:pt idx="0">
                  <c:v>6972.2797501238183</c:v>
                </c:pt>
                <c:pt idx="1">
                  <c:v>4111.1754441729572</c:v>
                </c:pt>
                <c:pt idx="2">
                  <c:v>3116.8321546808706</c:v>
                </c:pt>
                <c:pt idx="3">
                  <c:v>2159.2824101097335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6-4CEB-9BE5-4DAF09ADF014}"/>
            </c:ext>
          </c:extLst>
        </c:ser>
        <c:ser>
          <c:idx val="1"/>
          <c:order val="1"/>
          <c:tx>
            <c:strRef>
              <c:f>'Résultats - post traitement'!$A$82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traitement'!$B$82:$E$82</c:f>
              <c:numCache>
                <c:formatCode>#,##0</c:formatCode>
                <c:ptCount val="4"/>
                <c:pt idx="0">
                  <c:v>21704.940201780224</c:v>
                </c:pt>
                <c:pt idx="1">
                  <c:v>14287.534621015844</c:v>
                </c:pt>
                <c:pt idx="2">
                  <c:v>12077.573828638489</c:v>
                </c:pt>
                <c:pt idx="3">
                  <c:v>9839.8144785180684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6-4CEB-9BE5-4DAF09ADF014}"/>
            </c:ext>
          </c:extLst>
        </c:ser>
        <c:ser>
          <c:idx val="2"/>
          <c:order val="2"/>
          <c:tx>
            <c:strRef>
              <c:f>'Résultats - post traitement'!$A$83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traitement'!$B$83:$E$83</c:f>
              <c:numCache>
                <c:formatCode>#,##0</c:formatCode>
                <c:ptCount val="4"/>
                <c:pt idx="0">
                  <c:v>2920.2151325253244</c:v>
                </c:pt>
                <c:pt idx="1">
                  <c:v>2518.4435815088054</c:v>
                </c:pt>
                <c:pt idx="2">
                  <c:v>2207.783880149022</c:v>
                </c:pt>
                <c:pt idx="3">
                  <c:v>1779.3642797679097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F6-4CEB-9BE5-4DAF09ADF014}"/>
            </c:ext>
          </c:extLst>
        </c:ser>
        <c:ser>
          <c:idx val="3"/>
          <c:order val="3"/>
          <c:tx>
            <c:strRef>
              <c:f>'Résultats - post traitement'!$A$84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traitement'!$B$84:$E$84</c:f>
              <c:numCache>
                <c:formatCode>#,##0</c:formatCode>
                <c:ptCount val="4"/>
                <c:pt idx="0">
                  <c:v>495.96140968305934</c:v>
                </c:pt>
                <c:pt idx="1">
                  <c:v>341.84976693568865</c:v>
                </c:pt>
                <c:pt idx="2">
                  <c:v>307.33843778195393</c:v>
                </c:pt>
                <c:pt idx="3">
                  <c:v>269.30055743257861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F6-4CEB-9BE5-4DAF09ADF014}"/>
            </c:ext>
          </c:extLst>
        </c:ser>
        <c:ser>
          <c:idx val="4"/>
          <c:order val="4"/>
          <c:tx>
            <c:strRef>
              <c:f>'Résultats - post traitement'!$A$85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traitement'!$B$85:$E$85</c:f>
              <c:numCache>
                <c:formatCode>#,##0</c:formatCode>
                <c:ptCount val="4"/>
                <c:pt idx="0">
                  <c:v>490.36175602403921</c:v>
                </c:pt>
                <c:pt idx="1">
                  <c:v>355.28732675483184</c:v>
                </c:pt>
                <c:pt idx="2">
                  <c:v>328.35295993095224</c:v>
                </c:pt>
                <c:pt idx="3">
                  <c:v>294.00984290647494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F6-4CEB-9BE5-4DAF09ADF014}"/>
            </c:ext>
          </c:extLst>
        </c:ser>
        <c:ser>
          <c:idx val="5"/>
          <c:order val="5"/>
          <c:tx>
            <c:strRef>
              <c:f>'Résultats - post traitement'!$A$86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traitement'!$B$86:$E$86</c:f>
              <c:numCache>
                <c:formatCode>#,##0</c:formatCode>
                <c:ptCount val="4"/>
                <c:pt idx="0">
                  <c:v>5412.3541772314884</c:v>
                </c:pt>
                <c:pt idx="1">
                  <c:v>3196.4902213444984</c:v>
                </c:pt>
                <c:pt idx="2">
                  <c:v>2492.2800875622565</c:v>
                </c:pt>
                <c:pt idx="3">
                  <c:v>1740.3836633885383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F6-4CEB-9BE5-4DAF09ADF014}"/>
            </c:ext>
          </c:extLst>
        </c:ser>
        <c:ser>
          <c:idx val="6"/>
          <c:order val="6"/>
          <c:tx>
            <c:strRef>
              <c:f>'Résultats - post traitement'!$A$87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traitement'!$B$87:$E$87</c:f>
              <c:numCache>
                <c:formatCode>#,##0</c:formatCode>
                <c:ptCount val="4"/>
                <c:pt idx="0">
                  <c:v>1068.6056721929394</c:v>
                </c:pt>
                <c:pt idx="1">
                  <c:v>1615.9998514832994</c:v>
                </c:pt>
                <c:pt idx="2">
                  <c:v>2249.9941176167463</c:v>
                </c:pt>
                <c:pt idx="3">
                  <c:v>2784.0591419598318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F6-4CEB-9BE5-4DAF09ADF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hors décret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traitement'!$A$93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traitement'!$B$93:$E$93</c:f>
              <c:numCache>
                <c:formatCode>#,##0</c:formatCode>
                <c:ptCount val="4"/>
                <c:pt idx="0">
                  <c:v>10664.135425018072</c:v>
                </c:pt>
                <c:pt idx="1">
                  <c:v>8469.3394445919093</c:v>
                </c:pt>
                <c:pt idx="2">
                  <c:v>7111.1063475589381</c:v>
                </c:pt>
                <c:pt idx="3">
                  <c:v>5661.3849403460372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3-469D-920E-4719803711F4}"/>
            </c:ext>
          </c:extLst>
        </c:ser>
        <c:ser>
          <c:idx val="1"/>
          <c:order val="1"/>
          <c:tx>
            <c:strRef>
              <c:f>'Résultats - post traitement'!$A$94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traitement'!$B$94:$E$94</c:f>
              <c:numCache>
                <c:formatCode>#,##0</c:formatCode>
                <c:ptCount val="4"/>
                <c:pt idx="0">
                  <c:v>34100.629616401253</c:v>
                </c:pt>
                <c:pt idx="1">
                  <c:v>30417.542605908071</c:v>
                </c:pt>
                <c:pt idx="2">
                  <c:v>28776.695182866275</c:v>
                </c:pt>
                <c:pt idx="3">
                  <c:v>26497.280448045203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3-469D-920E-4719803711F4}"/>
            </c:ext>
          </c:extLst>
        </c:ser>
        <c:ser>
          <c:idx val="2"/>
          <c:order val="2"/>
          <c:tx>
            <c:strRef>
              <c:f>'Résultats - post traitement'!$A$95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traitement'!$B$95:$E$95</c:f>
              <c:numCache>
                <c:formatCode>#,##0</c:formatCode>
                <c:ptCount val="4"/>
                <c:pt idx="0">
                  <c:v>4485.3672036834887</c:v>
                </c:pt>
                <c:pt idx="1">
                  <c:v>4107.7016038147231</c:v>
                </c:pt>
                <c:pt idx="2">
                  <c:v>4101.0629682288627</c:v>
                </c:pt>
                <c:pt idx="3">
                  <c:v>3861.5949442739256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3-469D-920E-4719803711F4}"/>
            </c:ext>
          </c:extLst>
        </c:ser>
        <c:ser>
          <c:idx val="3"/>
          <c:order val="3"/>
          <c:tx>
            <c:strRef>
              <c:f>'Résultats - post traitement'!$A$96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traitement'!$B$96:$E$96</c:f>
              <c:numCache>
                <c:formatCode>#,##0</c:formatCode>
                <c:ptCount val="4"/>
                <c:pt idx="0">
                  <c:v>776.61727075096542</c:v>
                </c:pt>
                <c:pt idx="1">
                  <c:v>708.74035963160782</c:v>
                </c:pt>
                <c:pt idx="2">
                  <c:v>698.31184745678729</c:v>
                </c:pt>
                <c:pt idx="3">
                  <c:v>670.69558321777947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23-469D-920E-4719803711F4}"/>
            </c:ext>
          </c:extLst>
        </c:ser>
        <c:ser>
          <c:idx val="4"/>
          <c:order val="4"/>
          <c:tx>
            <c:strRef>
              <c:f>'Résultats - post traitement'!$A$97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traitement'!$B$97:$E$97</c:f>
              <c:numCache>
                <c:formatCode>#,##0</c:formatCode>
                <c:ptCount val="4"/>
                <c:pt idx="0">
                  <c:v>804.31191233700827</c:v>
                </c:pt>
                <c:pt idx="1">
                  <c:v>869.15982965288754</c:v>
                </c:pt>
                <c:pt idx="2">
                  <c:v>986.02448796196029</c:v>
                </c:pt>
                <c:pt idx="3">
                  <c:v>1065.407126212112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23-469D-920E-4719803711F4}"/>
            </c:ext>
          </c:extLst>
        </c:ser>
        <c:ser>
          <c:idx val="5"/>
          <c:order val="5"/>
          <c:tx>
            <c:strRef>
              <c:f>'Résultats - post traitement'!$A$98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traitement'!$B$98:$E$98</c:f>
              <c:numCache>
                <c:formatCode>#,##0</c:formatCode>
                <c:ptCount val="4"/>
                <c:pt idx="0">
                  <c:v>9195.0988158877972</c:v>
                </c:pt>
                <c:pt idx="1">
                  <c:v>6909.9241139897831</c:v>
                </c:pt>
                <c:pt idx="2">
                  <c:v>5455.2332800261493</c:v>
                </c:pt>
                <c:pt idx="3">
                  <c:v>4046.2273051491525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23-469D-920E-4719803711F4}"/>
            </c:ext>
          </c:extLst>
        </c:ser>
        <c:ser>
          <c:idx val="6"/>
          <c:order val="6"/>
          <c:tx>
            <c:strRef>
              <c:f>'Résultats - post traitement'!$A$99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traitement'!$B$99:$E$99</c:f>
              <c:numCache>
                <c:formatCode>#,##0</c:formatCode>
                <c:ptCount val="4"/>
                <c:pt idx="0">
                  <c:v>1906.7890903026712</c:v>
                </c:pt>
                <c:pt idx="1">
                  <c:v>2967.0521594826173</c:v>
                </c:pt>
                <c:pt idx="2">
                  <c:v>4262.1098486524752</c:v>
                </c:pt>
                <c:pt idx="3">
                  <c:v>4989.1781380424372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23-469D-920E-471980371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tertiaire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traitement'!$B$23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traitement'!$Z$23:$AC$23</c:f>
              <c:numCache>
                <c:formatCode>#,##0</c:formatCode>
                <c:ptCount val="4"/>
                <c:pt idx="0">
                  <c:v>0</c:v>
                </c:pt>
                <c:pt idx="1">
                  <c:v>54508.804549841887</c:v>
                </c:pt>
                <c:pt idx="2">
                  <c:v>43094.231129653381</c:v>
                </c:pt>
                <c:pt idx="3">
                  <c:v>33683.415838559042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D-4BDC-8B0F-720CA6F4D8A7}"/>
            </c:ext>
          </c:extLst>
        </c:ser>
        <c:ser>
          <c:idx val="1"/>
          <c:order val="1"/>
          <c:tx>
            <c:strRef>
              <c:f>'Résultats - post traitement'!$B$24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traitement'!$Z$24:$AC$24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943305.87487551966</c:v>
                </c:pt>
                <c:pt idx="2">
                  <c:v>954650.08370665286</c:v>
                </c:pt>
                <c:pt idx="3">
                  <c:v>931004.81064076687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D-4BDC-8B0F-720CA6F4D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783488"/>
        <c:axId val="1017780992"/>
      </c:barChart>
      <c:catAx>
        <c:axId val="10177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0992"/>
        <c:crosses val="autoZero"/>
        <c:auto val="1"/>
        <c:lblAlgn val="ctr"/>
        <c:lblOffset val="100"/>
        <c:noMultiLvlLbl val="0"/>
      </c:catAx>
      <c:valAx>
        <c:axId val="10177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7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totale de chauffage en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traitement'!$A$57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traitement'!$Y$57:$AB$57</c:f>
              <c:numCache>
                <c:formatCode>#,##0</c:formatCode>
                <c:ptCount val="4"/>
                <c:pt idx="0">
                  <c:v>17636.41517514189</c:v>
                </c:pt>
                <c:pt idx="1">
                  <c:v>1412.735250354197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2-43C8-8C82-66CBB46261AA}"/>
            </c:ext>
          </c:extLst>
        </c:ser>
        <c:ser>
          <c:idx val="1"/>
          <c:order val="1"/>
          <c:tx>
            <c:strRef>
              <c:f>'Résultats - post traitement'!$A$58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traitement'!$Y$58:$AB$58</c:f>
              <c:numCache>
                <c:formatCode>#,##0</c:formatCode>
                <c:ptCount val="4"/>
                <c:pt idx="0">
                  <c:v>55805.569818181481</c:v>
                </c:pt>
                <c:pt idx="1">
                  <c:v>41297.252644923028</c:v>
                </c:pt>
                <c:pt idx="2">
                  <c:v>18429.244108393057</c:v>
                </c:pt>
                <c:pt idx="3">
                  <c:v>3619.7931957079927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2-43C8-8C82-66CBB46261AA}"/>
            </c:ext>
          </c:extLst>
        </c:ser>
        <c:ser>
          <c:idx val="2"/>
          <c:order val="2"/>
          <c:tx>
            <c:strRef>
              <c:f>'Résultats - post traitement'!$A$59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traitement'!$Y$61:$AB$61</c:f>
              <c:numCache>
                <c:formatCode>#,##0</c:formatCode>
                <c:ptCount val="4"/>
                <c:pt idx="0">
                  <c:v>7405.5823362088113</c:v>
                </c:pt>
                <c:pt idx="1">
                  <c:v>15030.614206094684</c:v>
                </c:pt>
                <c:pt idx="2">
                  <c:v>16931.092824194937</c:v>
                </c:pt>
                <c:pt idx="3">
                  <c:v>16308.18257903343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2-43C8-8C82-66CBB46261AA}"/>
            </c:ext>
          </c:extLst>
        </c:ser>
        <c:ser>
          <c:idx val="3"/>
          <c:order val="3"/>
          <c:tx>
            <c:strRef>
              <c:f>'Résultats - post traitement'!$A$60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traitement'!$Y$62:$AB$62</c:f>
              <c:numCache>
                <c:formatCode>#,##0</c:formatCode>
                <c:ptCount val="4"/>
                <c:pt idx="0">
                  <c:v>1272.578680434025</c:v>
                </c:pt>
                <c:pt idx="1">
                  <c:v>767.39291953860936</c:v>
                </c:pt>
                <c:pt idx="2">
                  <c:v>433.5104529688582</c:v>
                </c:pt>
                <c:pt idx="3">
                  <c:v>44.699235741139397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2-43C8-8C82-66CBB46261AA}"/>
            </c:ext>
          </c:extLst>
        </c:ser>
        <c:ser>
          <c:idx val="4"/>
          <c:order val="4"/>
          <c:tx>
            <c:strRef>
              <c:f>'Résultats - post traitement'!$A$61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traitement'!$Y$63:$AB$63</c:f>
              <c:numCache>
                <c:formatCode>#,##0</c:formatCode>
                <c:ptCount val="4"/>
                <c:pt idx="0">
                  <c:v>1294.6736683610477</c:v>
                </c:pt>
                <c:pt idx="1">
                  <c:v>1805.8393151477878</c:v>
                </c:pt>
                <c:pt idx="2">
                  <c:v>2373.5325598316886</c:v>
                </c:pt>
                <c:pt idx="3">
                  <c:v>3195.7120788853449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2-43C8-8C82-66CBB46261AA}"/>
            </c:ext>
          </c:extLst>
        </c:ser>
        <c:ser>
          <c:idx val="5"/>
          <c:order val="5"/>
          <c:tx>
            <c:strRef>
              <c:f>'Résultats - post traitement'!$A$62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traitement'!$Y$64:$AB$64</c:f>
              <c:numCache>
                <c:formatCode>#,##0</c:formatCode>
                <c:ptCount val="4"/>
                <c:pt idx="0">
                  <c:v>14607.452993119286</c:v>
                </c:pt>
                <c:pt idx="1">
                  <c:v>9642.0183376842924</c:v>
                </c:pt>
                <c:pt idx="2">
                  <c:v>5751.6397214495782</c:v>
                </c:pt>
                <c:pt idx="3">
                  <c:v>5000.8677473995149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42-43C8-8C82-66CBB46261AA}"/>
            </c:ext>
          </c:extLst>
        </c:ser>
        <c:ser>
          <c:idx val="6"/>
          <c:order val="6"/>
          <c:tx>
            <c:strRef>
              <c:f>'Résultats - post traitement'!$A$63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traitement'!$Y$65:$AB$65</c:f>
              <c:numCache>
                <c:formatCode>#,##0</c:formatCode>
                <c:ptCount val="4"/>
                <c:pt idx="0">
                  <c:v>2975.3947624956104</c:v>
                </c:pt>
                <c:pt idx="1">
                  <c:v>11189.18579606095</c:v>
                </c:pt>
                <c:pt idx="2">
                  <c:v>18630.402145359065</c:v>
                </c:pt>
                <c:pt idx="3">
                  <c:v>20828.480582890079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2-43C8-8C82-66CBB4626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parc suivant le décret en GWh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traitement'!$A$81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traitement'!$Y$81:$AB$81</c:f>
              <c:numCache>
                <c:formatCode>#,##0</c:formatCode>
                <c:ptCount val="4"/>
                <c:pt idx="0">
                  <c:v>15677.951348786632</c:v>
                </c:pt>
                <c:pt idx="1">
                  <c:v>1264.105666769377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2-41C1-90B8-8B5C5D937F58}"/>
            </c:ext>
          </c:extLst>
        </c:ser>
        <c:ser>
          <c:idx val="1"/>
          <c:order val="1"/>
          <c:tx>
            <c:strRef>
              <c:f>'Résultats - post traitement'!$A$82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traitement'!$Y$82:$AB$82</c:f>
              <c:numCache>
                <c:formatCode>#,##0</c:formatCode>
                <c:ptCount val="4"/>
                <c:pt idx="0">
                  <c:v>49305.068395925598</c:v>
                </c:pt>
                <c:pt idx="1">
                  <c:v>36178.937339397955</c:v>
                </c:pt>
                <c:pt idx="2">
                  <c:v>15335.266335892529</c:v>
                </c:pt>
                <c:pt idx="3">
                  <c:v>1736.2960703027061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2-41C1-90B8-8B5C5D937F58}"/>
            </c:ext>
          </c:extLst>
        </c:ser>
        <c:ser>
          <c:idx val="2"/>
          <c:order val="2"/>
          <c:tx>
            <c:strRef>
              <c:f>'Résultats - post traitement'!$A$83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traitement'!$Y$83:$AB$83</c:f>
              <c:numCache>
                <c:formatCode>#,##0</c:formatCode>
                <c:ptCount val="4"/>
                <c:pt idx="0">
                  <c:v>6576.8119096490082</c:v>
                </c:pt>
                <c:pt idx="1">
                  <c:v>12224.423276681671</c:v>
                </c:pt>
                <c:pt idx="2">
                  <c:v>13882.247394654343</c:v>
                </c:pt>
                <c:pt idx="3">
                  <c:v>13420.577043788588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A2-41C1-90B8-8B5C5D937F58}"/>
            </c:ext>
          </c:extLst>
        </c:ser>
        <c:ser>
          <c:idx val="3"/>
          <c:order val="3"/>
          <c:tx>
            <c:strRef>
              <c:f>'Résultats - post traitement'!$A$84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traitement'!$Y$84:$AB$84</c:f>
              <c:numCache>
                <c:formatCode>#,##0</c:formatCode>
                <c:ptCount val="4"/>
                <c:pt idx="0">
                  <c:v>1122.0413510600783</c:v>
                </c:pt>
                <c:pt idx="1">
                  <c:v>596.48222146252886</c:v>
                </c:pt>
                <c:pt idx="2">
                  <c:v>321.73629410015496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A2-41C1-90B8-8B5C5D937F58}"/>
            </c:ext>
          </c:extLst>
        </c:ser>
        <c:ser>
          <c:idx val="4"/>
          <c:order val="4"/>
          <c:tx>
            <c:strRef>
              <c:f>'Résultats - post traitement'!$A$85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traitement'!$Y$85:$AB$85</c:f>
              <c:numCache>
                <c:formatCode>#,##0</c:formatCode>
                <c:ptCount val="4"/>
                <c:pt idx="0">
                  <c:v>1122.8654222832949</c:v>
                </c:pt>
                <c:pt idx="1">
                  <c:v>1455.4778882397552</c:v>
                </c:pt>
                <c:pt idx="2">
                  <c:v>1933.581178129054</c:v>
                </c:pt>
                <c:pt idx="3">
                  <c:v>2587.3303114516871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A2-41C1-90B8-8B5C5D937F58}"/>
            </c:ext>
          </c:extLst>
        </c:ser>
        <c:ser>
          <c:idx val="5"/>
          <c:order val="5"/>
          <c:tx>
            <c:strRef>
              <c:f>'Résultats - post traitement'!$A$86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traitement'!$Y$86:$AB$86</c:f>
              <c:numCache>
                <c:formatCode>#,##0</c:formatCode>
                <c:ptCount val="4"/>
                <c:pt idx="0">
                  <c:v>12624.855913302805</c:v>
                </c:pt>
                <c:pt idx="1">
                  <c:v>8151.8233260947982</c:v>
                </c:pt>
                <c:pt idx="2">
                  <c:v>4952.0376360351775</c:v>
                </c:pt>
                <c:pt idx="3">
                  <c:v>4384.8516099739791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A2-41C1-90B8-8B5C5D937F58}"/>
            </c:ext>
          </c:extLst>
        </c:ser>
        <c:ser>
          <c:idx val="6"/>
          <c:order val="6"/>
          <c:tx>
            <c:strRef>
              <c:f>'Résultats - post traitement'!$A$87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traitement'!$Y$87:$AB$87</c:f>
              <c:numCache>
                <c:formatCode>#,##0</c:formatCode>
                <c:ptCount val="4"/>
                <c:pt idx="0">
                  <c:v>2527.148602483825</c:v>
                </c:pt>
                <c:pt idx="1">
                  <c:v>9089.5882713156825</c:v>
                </c:pt>
                <c:pt idx="2">
                  <c:v>16364.513090055359</c:v>
                </c:pt>
                <c:pt idx="3">
                  <c:v>19145.295607414995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A2-41C1-90B8-8B5C5D937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de chauffage du du parc hors décret en GWh AMS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traitement'!$A$93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traitement'!$Y$93:$AB$93</c:f>
              <c:numCache>
                <c:formatCode>#,##0</c:formatCode>
                <c:ptCount val="4"/>
                <c:pt idx="0">
                  <c:v>1958.4638263552558</c:v>
                </c:pt>
                <c:pt idx="1">
                  <c:v>148.62958358481993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8-4772-9DE2-63D843A46866}"/>
            </c:ext>
          </c:extLst>
        </c:ser>
        <c:ser>
          <c:idx val="1"/>
          <c:order val="1"/>
          <c:tx>
            <c:strRef>
              <c:f>'Résultats - post traitement'!$A$94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traitement'!$Y$94:$AB$94</c:f>
              <c:numCache>
                <c:formatCode>#,##0</c:formatCode>
                <c:ptCount val="4"/>
                <c:pt idx="0">
                  <c:v>6500.5014222558739</c:v>
                </c:pt>
                <c:pt idx="1">
                  <c:v>4982.0249989386975</c:v>
                </c:pt>
                <c:pt idx="2">
                  <c:v>2185.2270034080384</c:v>
                </c:pt>
                <c:pt idx="3">
                  <c:v>246.26690350592375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8-4772-9DE2-63D843A46866}"/>
            </c:ext>
          </c:extLst>
        </c:ser>
        <c:ser>
          <c:idx val="2"/>
          <c:order val="2"/>
          <c:tx>
            <c:strRef>
              <c:f>'Résultats - post traitement'!$A$95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traitement'!$Y$95:$AB$95</c:f>
              <c:numCache>
                <c:formatCode>#,##0</c:formatCode>
                <c:ptCount val="4"/>
                <c:pt idx="0">
                  <c:v>828.77042655980381</c:v>
                </c:pt>
                <c:pt idx="1">
                  <c:v>1729.5923783732455</c:v>
                </c:pt>
                <c:pt idx="2">
                  <c:v>2166.5327814169841</c:v>
                </c:pt>
                <c:pt idx="3">
                  <c:v>2268.5550789167792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8-4772-9DE2-63D843A46866}"/>
            </c:ext>
          </c:extLst>
        </c:ser>
        <c:ser>
          <c:idx val="3"/>
          <c:order val="3"/>
          <c:tx>
            <c:strRef>
              <c:f>'Résultats - post traitement'!$A$96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traitement'!$Y$96:$AB$96</c:f>
              <c:numCache>
                <c:formatCode>#,##0</c:formatCode>
                <c:ptCount val="4"/>
                <c:pt idx="0">
                  <c:v>150.53732937394653</c:v>
                </c:pt>
                <c:pt idx="1">
                  <c:v>91.961003463984241</c:v>
                </c:pt>
                <c:pt idx="2">
                  <c:v>47.619275982460785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78-4772-9DE2-63D843A46866}"/>
            </c:ext>
          </c:extLst>
        </c:ser>
        <c:ser>
          <c:idx val="4"/>
          <c:order val="4"/>
          <c:tx>
            <c:strRef>
              <c:f>'Résultats - post traitement'!$A$97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traitement'!$Y$97:$AB$97</c:f>
              <c:numCache>
                <c:formatCode>#,##0</c:formatCode>
                <c:ptCount val="4"/>
                <c:pt idx="0">
                  <c:v>171.80824607775244</c:v>
                </c:pt>
                <c:pt idx="1">
                  <c:v>222.7834502447312</c:v>
                </c:pt>
                <c:pt idx="2">
                  <c:v>291.11526134109982</c:v>
                </c:pt>
                <c:pt idx="3">
                  <c:v>430.90688771250166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78-4772-9DE2-63D843A46866}"/>
            </c:ext>
          </c:extLst>
        </c:ser>
        <c:ser>
          <c:idx val="5"/>
          <c:order val="5"/>
          <c:tx>
            <c:strRef>
              <c:f>'Résultats - post traitement'!$A$98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traitement'!$Y$98:$AB$98</c:f>
              <c:numCache>
                <c:formatCode>#,##0</c:formatCode>
                <c:ptCount val="4"/>
                <c:pt idx="0">
                  <c:v>1982.5970798164833</c:v>
                </c:pt>
                <c:pt idx="1">
                  <c:v>1060.0354331916919</c:v>
                </c:pt>
                <c:pt idx="2">
                  <c:v>693.61101996576963</c:v>
                </c:pt>
                <c:pt idx="3">
                  <c:v>586.61881586736911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78-4772-9DE2-63D843A46866}"/>
            </c:ext>
          </c:extLst>
        </c:ser>
        <c:ser>
          <c:idx val="6"/>
          <c:order val="6"/>
          <c:tx>
            <c:strRef>
              <c:f>'Résultats - post traitement'!$A$99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traitement'!$Y$99:$AB$99</c:f>
              <c:numCache>
                <c:formatCode>#,##0</c:formatCode>
                <c:ptCount val="4"/>
                <c:pt idx="0">
                  <c:v>448.24616001178532</c:v>
                </c:pt>
                <c:pt idx="1">
                  <c:v>1291.395074758743</c:v>
                </c:pt>
                <c:pt idx="2">
                  <c:v>2113.6986119763219</c:v>
                </c:pt>
                <c:pt idx="3">
                  <c:v>2304.0709945824424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78-4772-9DE2-63D843A46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traitement'!$A$29</c:f>
              <c:strCache>
                <c:ptCount val="1"/>
                <c:pt idx="0">
                  <c:v>Chauffage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'Résultats - post traitement'!$B$28:$E$28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traitement'!$B$29:$E$29</c:f>
              <c:numCache>
                <c:formatCode>#,##0</c:formatCode>
                <c:ptCount val="4"/>
                <c:pt idx="0">
                  <c:v>100997.66743394214</c:v>
                </c:pt>
                <c:pt idx="1">
                  <c:v>82779.17705973344</c:v>
                </c:pt>
                <c:pt idx="2">
                  <c:v>75656.355117339903</c:v>
                </c:pt>
                <c:pt idx="3">
                  <c:v>66876.447749426385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4-4CE9-850D-AFBA4103ABBD}"/>
            </c:ext>
          </c:extLst>
        </c:ser>
        <c:ser>
          <c:idx val="1"/>
          <c:order val="1"/>
          <c:tx>
            <c:strRef>
              <c:f>'Résultats - post traitement'!$A$30</c:f>
              <c:strCache>
                <c:ptCount val="1"/>
                <c:pt idx="0">
                  <c:v>Hors chauffage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'Résultats - post traitement'!$B$28:$E$28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traitement'!$B$30:$E$30</c:f>
              <c:numCache>
                <c:formatCode>#,##0</c:formatCode>
                <c:ptCount val="4"/>
                <c:pt idx="0">
                  <c:v>158828.24117655741</c:v>
                </c:pt>
                <c:pt idx="1">
                  <c:v>163798.85340304166</c:v>
                </c:pt>
                <c:pt idx="2">
                  <c:v>185016.60117107874</c:v>
                </c:pt>
                <c:pt idx="3">
                  <c:v>213980.16858048382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4-4CE9-850D-AFBA4103A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18207"/>
        <c:axId val="1895409135"/>
      </c:areaChart>
      <c:catAx>
        <c:axId val="164811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5409135"/>
        <c:crosses val="autoZero"/>
        <c:auto val="1"/>
        <c:lblAlgn val="ctr"/>
        <c:lblOffset val="100"/>
        <c:noMultiLvlLbl val="0"/>
      </c:catAx>
      <c:valAx>
        <c:axId val="1895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811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traitement'!$A$29</c:f>
              <c:strCache>
                <c:ptCount val="1"/>
                <c:pt idx="0">
                  <c:v>Chauffage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traitement'!$Y$28:$AB$28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traitement'!$Y$29:$AB$29</c:f>
              <c:numCache>
                <c:formatCode>#,##0</c:formatCode>
                <c:ptCount val="4"/>
                <c:pt idx="0">
                  <c:v>100997.66743394214</c:v>
                </c:pt>
                <c:pt idx="1">
                  <c:v>81145.038469803549</c:v>
                </c:pt>
                <c:pt idx="2">
                  <c:v>62549.421812197194</c:v>
                </c:pt>
                <c:pt idx="3">
                  <c:v>48997.735419657503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B-45D9-947D-CAF15E2FC3C1}"/>
            </c:ext>
          </c:extLst>
        </c:ser>
        <c:ser>
          <c:idx val="1"/>
          <c:order val="1"/>
          <c:tx>
            <c:strRef>
              <c:f>'Résultats - post traitement'!$A$30</c:f>
              <c:strCache>
                <c:ptCount val="1"/>
                <c:pt idx="0">
                  <c:v>Hors chauffage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traitement'!$Y$28:$AB$28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traitement'!$Y$30:$AB$30</c:f>
              <c:numCache>
                <c:formatCode>#,##0</c:formatCode>
                <c:ptCount val="4"/>
                <c:pt idx="0">
                  <c:v>151855.23907705076</c:v>
                </c:pt>
                <c:pt idx="1">
                  <c:v>130305.86626704002</c:v>
                </c:pt>
                <c:pt idx="2">
                  <c:v>123681.66990754718</c:v>
                </c:pt>
                <c:pt idx="3">
                  <c:v>120626.19991206576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B-45D9-947D-CAF15E2F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18207"/>
        <c:axId val="1895409135"/>
      </c:areaChart>
      <c:catAx>
        <c:axId val="164811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5409135"/>
        <c:crosses val="autoZero"/>
        <c:auto val="1"/>
        <c:lblAlgn val="ctr"/>
        <c:lblOffset val="100"/>
        <c:noMultiLvlLbl val="0"/>
      </c:catAx>
      <c:valAx>
        <c:axId val="1895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811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4759405074366"/>
          <c:y val="5.0925925925925923E-2"/>
          <c:w val="0.85219685039370074"/>
          <c:h val="0.683686934966462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traitement'!$A$34</c:f>
              <c:strCache>
                <c:ptCount val="1"/>
                <c:pt idx="0">
                  <c:v>Energie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0-4FEA-B26D-52D4DB65E367}"/>
            </c:ext>
          </c:extLst>
        </c:ser>
        <c:ser>
          <c:idx val="1"/>
          <c:order val="1"/>
          <c:tx>
            <c:strRef>
              <c:f>'Résultats - post traitement'!$A$35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traitement'!$B$35:$E$35</c:f>
              <c:numCache>
                <c:formatCode>#,##0</c:formatCode>
                <c:ptCount val="4"/>
                <c:pt idx="0">
                  <c:v>22595.21120051519</c:v>
                </c:pt>
                <c:pt idx="1">
                  <c:v>16467.226494066581</c:v>
                </c:pt>
                <c:pt idx="2">
                  <c:v>13527.856442167027</c:v>
                </c:pt>
                <c:pt idx="3">
                  <c:v>10756.58989531611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0-4FEA-B26D-52D4DB65E367}"/>
            </c:ext>
          </c:extLst>
        </c:ser>
        <c:ser>
          <c:idx val="2"/>
          <c:order val="2"/>
          <c:tx>
            <c:strRef>
              <c:f>'Résultats - post traitement'!$A$36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traitement'!$B$36:$E$36</c:f>
              <c:numCache>
                <c:formatCode>#,##0</c:formatCode>
                <c:ptCount val="4"/>
                <c:pt idx="0">
                  <c:v>72724.001974812665</c:v>
                </c:pt>
                <c:pt idx="1">
                  <c:v>59107.143599473755</c:v>
                </c:pt>
                <c:pt idx="2">
                  <c:v>54381.501280066455</c:v>
                </c:pt>
                <c:pt idx="3">
                  <c:v>48964.706450822312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0-4FEA-B26D-52D4DB65E367}"/>
            </c:ext>
          </c:extLst>
        </c:ser>
        <c:ser>
          <c:idx val="3"/>
          <c:order val="3"/>
          <c:tx>
            <c:strRef>
              <c:f>'Résultats - post traitement'!$A$37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traitement'!$B$37:$E$37</c:f>
              <c:numCache>
                <c:formatCode>#,##0</c:formatCode>
                <c:ptCount val="4"/>
                <c:pt idx="0">
                  <c:v>8956.0754726763971</c:v>
                </c:pt>
                <c:pt idx="1">
                  <c:v>8753.9663150461474</c:v>
                </c:pt>
                <c:pt idx="2">
                  <c:v>8305.5385010957034</c:v>
                </c:pt>
                <c:pt idx="3">
                  <c:v>7473.4207509827047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20-4FEA-B26D-52D4DB65E367}"/>
            </c:ext>
          </c:extLst>
        </c:ser>
        <c:ser>
          <c:idx val="4"/>
          <c:order val="4"/>
          <c:tx>
            <c:strRef>
              <c:f>'Résultats - post traitement'!$A$38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traitement'!$B$38:$E$38</c:f>
              <c:numCache>
                <c:formatCode>#,##0</c:formatCode>
                <c:ptCount val="4"/>
                <c:pt idx="0">
                  <c:v>1272.5786804340246</c:v>
                </c:pt>
                <c:pt idx="1">
                  <c:v>1096.1877318231943</c:v>
                </c:pt>
                <c:pt idx="2">
                  <c:v>1044.2803407172721</c:v>
                </c:pt>
                <c:pt idx="3">
                  <c:v>969.07550599965407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20-4FEA-B26D-52D4DB65E367}"/>
            </c:ext>
          </c:extLst>
        </c:ser>
        <c:ser>
          <c:idx val="5"/>
          <c:order val="5"/>
          <c:tx>
            <c:strRef>
              <c:f>'Résultats - post traitement'!$A$39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traitement'!$B$39:$E$39</c:f>
              <c:numCache>
                <c:formatCode>#,##0</c:formatCode>
                <c:ptCount val="4"/>
                <c:pt idx="0">
                  <c:v>1509.2890182714991</c:v>
                </c:pt>
                <c:pt idx="1">
                  <c:v>1539.1784578563154</c:v>
                </c:pt>
                <c:pt idx="2">
                  <c:v>1625.3271270041228</c:v>
                </c:pt>
                <c:pt idx="3">
                  <c:v>1663.1942136168313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20-4FEA-B26D-52D4DB65E367}"/>
            </c:ext>
          </c:extLst>
        </c:ser>
        <c:ser>
          <c:idx val="6"/>
          <c:order val="6"/>
          <c:tx>
            <c:strRef>
              <c:f>'Résultats - post traitement'!$A$40</c:f>
              <c:strCache>
                <c:ptCount val="1"/>
                <c:pt idx="0">
                  <c:v>Electricité (PAC incluses)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traitement'!$B$34:$E$34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traitement'!$B$40:$E$40</c:f>
              <c:numCache>
                <c:formatCode>#,##0</c:formatCode>
                <c:ptCount val="4"/>
                <c:pt idx="0">
                  <c:v>152768.75226378979</c:v>
                </c:pt>
                <c:pt idx="1">
                  <c:v>159614.32786450916</c:v>
                </c:pt>
                <c:pt idx="2">
                  <c:v>181788.45259736807</c:v>
                </c:pt>
                <c:pt idx="3">
                  <c:v>211029.62951317258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20-4FEA-B26D-52D4DB65E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548031"/>
        <c:axId val="1727546783"/>
      </c:barChart>
      <c:catAx>
        <c:axId val="172754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546783"/>
        <c:crosses val="autoZero"/>
        <c:auto val="1"/>
        <c:lblAlgn val="ctr"/>
        <c:lblOffset val="100"/>
        <c:noMultiLvlLbl val="0"/>
      </c:catAx>
      <c:valAx>
        <c:axId val="172754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54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824803149606284E-2"/>
          <c:y val="0.82349372995042291"/>
          <c:w val="0.87490594925634291"/>
          <c:h val="0.148728492271799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8067962486376"/>
          <c:y val="5.3528001045271202E-2"/>
          <c:w val="0.85190302106388238"/>
          <c:h val="0.623729333103435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traitement'!$X$34</c:f>
              <c:strCache>
                <c:ptCount val="1"/>
                <c:pt idx="0">
                  <c:v>Energie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0-4622-8C46-E644D1E140CC}"/>
            </c:ext>
          </c:extLst>
        </c:ser>
        <c:ser>
          <c:idx val="1"/>
          <c:order val="1"/>
          <c:tx>
            <c:strRef>
              <c:f>'Résultats - post traitement'!$X$35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traitement'!$Y$35:$AB$35</c:f>
              <c:numCache>
                <c:formatCode>#,##0</c:formatCode>
                <c:ptCount val="4"/>
                <c:pt idx="0">
                  <c:v>22595.21120051519</c:v>
                </c:pt>
                <c:pt idx="1">
                  <c:v>1657.255273291556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0-4622-8C46-E644D1E140CC}"/>
            </c:ext>
          </c:extLst>
        </c:ser>
        <c:ser>
          <c:idx val="2"/>
          <c:order val="2"/>
          <c:tx>
            <c:strRef>
              <c:f>'Résultats - post traitement'!$X$36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traitement'!$Y$36:$AB$36</c:f>
              <c:numCache>
                <c:formatCode>#,##0</c:formatCode>
                <c:ptCount val="4"/>
                <c:pt idx="0">
                  <c:v>72856.92088779372</c:v>
                </c:pt>
                <c:pt idx="1">
                  <c:v>51040.533737862766</c:v>
                </c:pt>
                <c:pt idx="2">
                  <c:v>22537.320633561008</c:v>
                </c:pt>
                <c:pt idx="3">
                  <c:v>4455.6683958407848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60-4622-8C46-E644D1E140CC}"/>
            </c:ext>
          </c:extLst>
        </c:ser>
        <c:ser>
          <c:idx val="3"/>
          <c:order val="3"/>
          <c:tx>
            <c:strRef>
              <c:f>'Résultats - post traitement'!$X$37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traitement'!$Y$37:$AB$37</c:f>
              <c:numCache>
                <c:formatCode>#,##0</c:formatCode>
                <c:ptCount val="4"/>
                <c:pt idx="0">
                  <c:v>8956.0754726763953</c:v>
                </c:pt>
                <c:pt idx="1">
                  <c:v>18541.8412446689</c:v>
                </c:pt>
                <c:pt idx="2">
                  <c:v>20367.209523690559</c:v>
                </c:pt>
                <c:pt idx="3">
                  <c:v>19367.231060009683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60-4622-8C46-E644D1E140CC}"/>
            </c:ext>
          </c:extLst>
        </c:ser>
        <c:ser>
          <c:idx val="4"/>
          <c:order val="4"/>
          <c:tx>
            <c:strRef>
              <c:f>'Résultats - post traitement'!$X$38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traitement'!$Y$38:$AB$38</c:f>
              <c:numCache>
                <c:formatCode>#,##0</c:formatCode>
                <c:ptCount val="4"/>
                <c:pt idx="0">
                  <c:v>1272.578680434025</c:v>
                </c:pt>
                <c:pt idx="1">
                  <c:v>767.39291953860936</c:v>
                </c:pt>
                <c:pt idx="2">
                  <c:v>433.5104529688582</c:v>
                </c:pt>
                <c:pt idx="3">
                  <c:v>44.699235741139397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60-4622-8C46-E644D1E140CC}"/>
            </c:ext>
          </c:extLst>
        </c:ser>
        <c:ser>
          <c:idx val="5"/>
          <c:order val="5"/>
          <c:tx>
            <c:strRef>
              <c:f>'Résultats - post traitement'!$X$39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traitement'!$Y$39:$AB$39</c:f>
              <c:numCache>
                <c:formatCode>#,##0</c:formatCode>
                <c:ptCount val="4"/>
                <c:pt idx="0">
                  <c:v>1509.2890182714993</c:v>
                </c:pt>
                <c:pt idx="1">
                  <c:v>2468.9607340435023</c:v>
                </c:pt>
                <c:pt idx="2">
                  <c:v>2907.1974926872163</c:v>
                </c:pt>
                <c:pt idx="3">
                  <c:v>3632.0252095179899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60-4622-8C46-E644D1E140CC}"/>
            </c:ext>
          </c:extLst>
        </c:ser>
        <c:ser>
          <c:idx val="6"/>
          <c:order val="6"/>
          <c:tx>
            <c:strRef>
              <c:f>'Résultats - post traitement'!$X$40</c:f>
              <c:strCache>
                <c:ptCount val="1"/>
                <c:pt idx="0">
                  <c:v>Electricité (PAC incluses)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'Résultats - post traitement'!$Y$34:$AB$34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traitement'!$Y$40:$AB$40</c:f>
              <c:numCache>
                <c:formatCode>#,##0</c:formatCode>
                <c:ptCount val="4"/>
                <c:pt idx="0">
                  <c:v>145662.83125130209</c:v>
                </c:pt>
                <c:pt idx="1">
                  <c:v>136872.65217757877</c:v>
                </c:pt>
                <c:pt idx="2">
                  <c:v>139808.54994428344</c:v>
                </c:pt>
                <c:pt idx="3">
                  <c:v>141894.75699859328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60-4622-8C46-E644D1E14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9923087"/>
        <c:axId val="1649920591"/>
      </c:barChart>
      <c:catAx>
        <c:axId val="164992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920591"/>
        <c:crosses val="autoZero"/>
        <c:auto val="1"/>
        <c:lblAlgn val="ctr"/>
        <c:lblOffset val="100"/>
        <c:noMultiLvlLbl val="0"/>
      </c:catAx>
      <c:valAx>
        <c:axId val="164992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992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685218420010485E-2"/>
          <c:y val="0.75608100082380203"/>
          <c:w val="0.82932914362682386"/>
          <c:h val="0.21958818307112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hors chauffage en GWh AME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traitement'!$A$114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traitement'!$B$114:$E$114</c:f>
              <c:numCache>
                <c:formatCode>_-* #\ ##0_-;\-* #\ ##0_-;_-* "-"??_-;_-@_-</c:formatCode>
                <c:ptCount val="4"/>
                <c:pt idx="0">
                  <c:v>135185.90450817489</c:v>
                </c:pt>
                <c:pt idx="1">
                  <c:v>143571.48465130985</c:v>
                </c:pt>
                <c:pt idx="2">
                  <c:v>166296.47997488041</c:v>
                </c:pt>
                <c:pt idx="3">
                  <c:v>196606.62358904525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5-43D0-AF34-9C5F00B6D539}"/>
            </c:ext>
          </c:extLst>
        </c:ser>
        <c:ser>
          <c:idx val="1"/>
          <c:order val="1"/>
          <c:tx>
            <c:strRef>
              <c:f>'Résultats - post traitement'!$A$115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traitement'!$B$115:$E$115</c:f>
              <c:numCache>
                <c:formatCode>_-* #\ ##0_-;\-* #\ ##0_-;_-* "-"??_-;_-@_-</c:formatCode>
                <c:ptCount val="4"/>
                <c:pt idx="0">
                  <c:v>16918.432156631196</c:v>
                </c:pt>
                <c:pt idx="1">
                  <c:v>14402.066372549833</c:v>
                </c:pt>
                <c:pt idx="2">
                  <c:v>13527.232268561685</c:v>
                </c:pt>
                <c:pt idx="3">
                  <c:v>12627.611524259042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5-43D0-AF34-9C5F00B6D539}"/>
            </c:ext>
          </c:extLst>
        </c:ser>
        <c:ser>
          <c:idx val="2"/>
          <c:order val="2"/>
          <c:tx>
            <c:strRef>
              <c:f>'Résultats - post traitement'!$A$116</c:f>
              <c:strCache>
                <c:ptCount val="1"/>
                <c:pt idx="0">
                  <c:v>Pétrole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traitement'!$B$116:$E$116</c:f>
              <c:numCache>
                <c:formatCode>_-* #\ ##0_-;\-* #\ ##0_-;_-* "-"??_-;_-@_-</c:formatCode>
                <c:ptCount val="4"/>
                <c:pt idx="0">
                  <c:v>4958.7960253733008</c:v>
                </c:pt>
                <c:pt idx="1">
                  <c:v>3883.0438834044844</c:v>
                </c:pt>
                <c:pt idx="2">
                  <c:v>3298.4830966687159</c:v>
                </c:pt>
                <c:pt idx="3">
                  <c:v>2934.6220514475667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5-43D0-AF34-9C5F00B6D539}"/>
            </c:ext>
          </c:extLst>
        </c:ser>
        <c:ser>
          <c:idx val="3"/>
          <c:order val="3"/>
          <c:tx>
            <c:strRef>
              <c:f>'Résultats - post traitement'!$A$117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traitement'!$B$117:$E$117</c:f>
              <c:numCache>
                <c:formatCode>_-* #\ ##0_-;\-* #\ ##0_-;_-* "-"??_-;_-@_-</c:formatCode>
                <c:ptCount val="4"/>
                <c:pt idx="0">
                  <c:v>214.6153499104517</c:v>
                </c:pt>
                <c:pt idx="1">
                  <c:v>237.24516632789317</c:v>
                </c:pt>
                <c:pt idx="2">
                  <c:v>247.32151527102963</c:v>
                </c:pt>
                <c:pt idx="3">
                  <c:v>253.94561321281111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D5-43D0-AF34-9C5F00B6D539}"/>
            </c:ext>
          </c:extLst>
        </c:ser>
        <c:ser>
          <c:idx val="4"/>
          <c:order val="4"/>
          <c:tx>
            <c:strRef>
              <c:f>'Résultats - post traitement'!$A$118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traitement'!$B$118:$E$118</c:f>
              <c:numCache>
                <c:formatCode>_-* #\ ##0_-;\-* #\ ##0_-;_-* "-"??_-;_-@_-</c:formatCode>
                <c:ptCount val="4"/>
                <c:pt idx="0">
                  <c:v>1550.4931364675845</c:v>
                </c:pt>
                <c:pt idx="1">
                  <c:v>1705.013329449637</c:v>
                </c:pt>
                <c:pt idx="2">
                  <c:v>1647.084315696889</c:v>
                </c:pt>
                <c:pt idx="3">
                  <c:v>1557.3658025191423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5-43D0-AF34-9C5F00B6D539}"/>
            </c:ext>
          </c:extLst>
        </c:ser>
        <c:ser>
          <c:idx val="5"/>
          <c:order val="5"/>
          <c:tx>
            <c:strRef>
              <c:f>'Résultats - post traitement'!$A$119</c:f>
              <c:strCache>
                <c:ptCount val="1"/>
                <c:pt idx="0">
                  <c:v>EnR thermique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traitement'!$B$56:$E$56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traitement'!$B$119:$E$119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D5-43D0-AF34-9C5F00B6D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Consommation hors chauffage en GWh AMS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traitement'!$A$114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traitement'!$Y$114:$AB$114</c:f>
              <c:numCache>
                <c:formatCode>_-* #\ ##0_-;\-* #\ ##0_-;_-* "-"??_-;_-@_-</c:formatCode>
                <c:ptCount val="4"/>
                <c:pt idx="0">
                  <c:v>128079.98349568721</c:v>
                </c:pt>
                <c:pt idx="1">
                  <c:v>116041.44804383353</c:v>
                </c:pt>
                <c:pt idx="2">
                  <c:v>115426.50807747479</c:v>
                </c:pt>
                <c:pt idx="3">
                  <c:v>116065.40866830367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8-49DF-B419-7AD2D127BEC6}"/>
            </c:ext>
          </c:extLst>
        </c:ser>
        <c:ser>
          <c:idx val="1"/>
          <c:order val="1"/>
          <c:tx>
            <c:strRef>
              <c:f>'Résultats - post traitement'!$A$115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traitement'!$Y$115:$AB$115</c:f>
              <c:numCache>
                <c:formatCode>_-* #\ ##0_-;\-* #\ ##0_-;_-* "-"??_-;_-@_-</c:formatCode>
                <c:ptCount val="4"/>
                <c:pt idx="0">
                  <c:v>17051.351069612236</c:v>
                </c:pt>
                <c:pt idx="1">
                  <c:v>9743.2810929397365</c:v>
                </c:pt>
                <c:pt idx="2">
                  <c:v>4108.0765251679504</c:v>
                </c:pt>
                <c:pt idx="3">
                  <c:v>835.87520013279232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8-49DF-B419-7AD2D127BEC6}"/>
            </c:ext>
          </c:extLst>
        </c:ser>
        <c:ser>
          <c:idx val="2"/>
          <c:order val="2"/>
          <c:tx>
            <c:strRef>
              <c:f>'Résultats - post traitement'!$A$116</c:f>
              <c:strCache>
                <c:ptCount val="1"/>
                <c:pt idx="0">
                  <c:v>Pétrole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traitement'!$Y$116:$AB$116</c:f>
              <c:numCache>
                <c:formatCode>_-* #\ ##0_-;\-* #\ ##0_-;_-* "-"??_-;_-@_-</c:formatCode>
                <c:ptCount val="4"/>
                <c:pt idx="0">
                  <c:v>4958.7960253733008</c:v>
                </c:pt>
                <c:pt idx="1">
                  <c:v>244.52002293735907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08-49DF-B419-7AD2D127BEC6}"/>
            </c:ext>
          </c:extLst>
        </c:ser>
        <c:ser>
          <c:idx val="3"/>
          <c:order val="3"/>
          <c:tx>
            <c:strRef>
              <c:f>'Résultats - post traitement'!$A$117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traitement'!$Y$117:$AB$117</c:f>
              <c:numCache>
                <c:formatCode>_-* #\ ##0_-;\-* #\ ##0_-;_-* "-"??_-;_-@_-</c:formatCode>
                <c:ptCount val="4"/>
                <c:pt idx="0">
                  <c:v>214.6153499104517</c:v>
                </c:pt>
                <c:pt idx="1">
                  <c:v>663.01904787483431</c:v>
                </c:pt>
                <c:pt idx="2">
                  <c:v>533.48745170182087</c:v>
                </c:pt>
                <c:pt idx="3">
                  <c:v>436.08334641640846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8-49DF-B419-7AD2D127BEC6}"/>
            </c:ext>
          </c:extLst>
        </c:ser>
        <c:ser>
          <c:idx val="4"/>
          <c:order val="4"/>
          <c:tx>
            <c:strRef>
              <c:f>'Résultats - post traitement'!$A$118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traitement'!$Y$118:$AB$118</c:f>
              <c:numCache>
                <c:formatCode>_-* #\ ##0_-;\-* #\ ##0_-;_-* "-"??_-;_-@_-</c:formatCode>
                <c:ptCount val="4"/>
                <c:pt idx="0">
                  <c:v>1550.4931364675845</c:v>
                </c:pt>
                <c:pt idx="1">
                  <c:v>3511.2270385742158</c:v>
                </c:pt>
                <c:pt idx="2">
                  <c:v>3436.1166994956225</c:v>
                </c:pt>
                <c:pt idx="3">
                  <c:v>3059.0484809762529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08-49DF-B419-7AD2D127BEC6}"/>
            </c:ext>
          </c:extLst>
        </c:ser>
        <c:ser>
          <c:idx val="5"/>
          <c:order val="5"/>
          <c:tx>
            <c:strRef>
              <c:f>'Résultats - post traitement'!$A$119</c:f>
              <c:strCache>
                <c:ptCount val="1"/>
                <c:pt idx="0">
                  <c:v>EnR thermique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'Résultats - post traitement'!$Y$56:$AB$56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traitement'!$Y$119:$AB$119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0.10237102088032926</c:v>
                </c:pt>
                <c:pt idx="2">
                  <c:v>0.17748115370700243</c:v>
                </c:pt>
                <c:pt idx="3">
                  <c:v>0.22978421623662629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08-49DF-B419-7AD2D127B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94832"/>
        <c:axId val="1242079440"/>
      </c:barChart>
      <c:catAx>
        <c:axId val="12420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79440"/>
        <c:crosses val="autoZero"/>
        <c:auto val="1"/>
        <c:lblAlgn val="ctr"/>
        <c:lblOffset val="100"/>
        <c:noMultiLvlLbl val="0"/>
      </c:catAx>
      <c:valAx>
        <c:axId val="1242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0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03771444153896"/>
          <c:y val="0.82762253198897495"/>
          <c:w val="0.76023977522290231"/>
          <c:h val="0.17237746801102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traitement'!$A$132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traitement'!$B$132:$E$132</c:f>
              <c:numCache>
                <c:formatCode>_-* #\ ##0_-;\-* #\ ##0_-;_-* "-"??_-;_-@_-</c:formatCode>
                <c:ptCount val="4"/>
                <c:pt idx="0">
                  <c:v>6.1222742263570664</c:v>
                </c:pt>
                <c:pt idx="1">
                  <c:v>4.4618691743810457</c:v>
                </c:pt>
                <c:pt idx="2">
                  <c:v>3.6654336221406592</c:v>
                </c:pt>
                <c:pt idx="3">
                  <c:v>2.9145464716030243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F-4EA5-BEA0-23DE06CBA7F5}"/>
            </c:ext>
          </c:extLst>
        </c:ser>
        <c:ser>
          <c:idx val="1"/>
          <c:order val="1"/>
          <c:tx>
            <c:strRef>
              <c:f>'Résultats - post traitement'!$A$133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traitement'!$B$133:$E$133</c:f>
              <c:numCache>
                <c:formatCode>_-* #\ ##0_-;\-* #\ ##0_-;_-* "-"??_-;_-@_-</c:formatCode>
                <c:ptCount val="4"/>
                <c:pt idx="0">
                  <c:v>14.924105214138644</c:v>
                </c:pt>
                <c:pt idx="1">
                  <c:v>12.129712419996673</c:v>
                </c:pt>
                <c:pt idx="2">
                  <c:v>11.159936537700665</c:v>
                </c:pt>
                <c:pt idx="3">
                  <c:v>10.048325325998642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F-4EA5-BEA0-23DE06CBA7F5}"/>
            </c:ext>
          </c:extLst>
        </c:ser>
        <c:ser>
          <c:idx val="2"/>
          <c:order val="2"/>
          <c:tx>
            <c:strRef>
              <c:f>'Résultats - post traitement'!$A$134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traitement'!$B$134:$E$134</c:f>
              <c:numCache>
                <c:formatCode>_-* #\ ##0_-;\-* #\ ##0_-;_-* "-"??_-;_-@_-</c:formatCode>
                <c:ptCount val="4"/>
                <c:pt idx="0">
                  <c:v>1.3434113209014595</c:v>
                </c:pt>
                <c:pt idx="1">
                  <c:v>1.313094947256922</c:v>
                </c:pt>
                <c:pt idx="2">
                  <c:v>1.2458307751643554</c:v>
                </c:pt>
                <c:pt idx="3">
                  <c:v>1.1210131126474054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F-4EA5-BEA0-23DE06CBA7F5}"/>
            </c:ext>
          </c:extLst>
        </c:ser>
        <c:ser>
          <c:idx val="3"/>
          <c:order val="3"/>
          <c:tx>
            <c:strRef>
              <c:f>'Résultats - post traitement'!$A$135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traitement'!$B$135:$E$135</c:f>
              <c:numCache>
                <c:formatCode>_-* #\ ##0_-;\-* #\ ##0_-;_-* "-"??_-;_-@_-</c:formatCode>
                <c:ptCount val="4"/>
                <c:pt idx="0">
                  <c:v>0.34481092418623072</c:v>
                </c:pt>
                <c:pt idx="1">
                  <c:v>0.29701700232998635</c:v>
                </c:pt>
                <c:pt idx="2">
                  <c:v>0.28295246095858384</c:v>
                </c:pt>
                <c:pt idx="3">
                  <c:v>0.26257537232669625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BF-4EA5-BEA0-23DE06CBA7F5}"/>
            </c:ext>
          </c:extLst>
        </c:ser>
        <c:ser>
          <c:idx val="4"/>
          <c:order val="4"/>
          <c:tx>
            <c:strRef>
              <c:f>'Résultats - post traitement'!$A$136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'Résultats - post traitement'!$B$131:$E$131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traitement'!$B$136:$E$136</c:f>
              <c:numCache>
                <c:formatCode>_-* #\ ##0_-;\-* #\ 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BF-4EA5-BEA0-23DE06CBA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66896"/>
        <c:axId val="179362320"/>
      </c:areaChart>
      <c:catAx>
        <c:axId val="17936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2320"/>
        <c:crosses val="autoZero"/>
        <c:auto val="1"/>
        <c:lblAlgn val="ctr"/>
        <c:lblOffset val="100"/>
        <c:noMultiLvlLbl val="0"/>
      </c:catAx>
      <c:valAx>
        <c:axId val="1793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traitement'!$A$132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traitement'!$Y$132:$AB$132</c:f>
              <c:numCache>
                <c:formatCode>_-* #\ ##0.0_-;\-* #\ ##0.0_-;_-* "-"??_-;_-@_-</c:formatCode>
                <c:ptCount val="4"/>
                <c:pt idx="0">
                  <c:v>6.1222742263570664</c:v>
                </c:pt>
                <c:pt idx="1">
                  <c:v>0.44904077931061287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8-4B25-A78D-970E5DE26CC4}"/>
            </c:ext>
          </c:extLst>
        </c:ser>
        <c:ser>
          <c:idx val="1"/>
          <c:order val="1"/>
          <c:tx>
            <c:strRef>
              <c:f>'Résultats - post traitement'!$A$133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traitement'!$Y$133:$AB$133</c:f>
              <c:numCache>
                <c:formatCode>_-* #\ ##0.0_-;\-* #\ ##0.0_-;_-* "-"??_-;_-@_-</c:formatCode>
                <c:ptCount val="4"/>
                <c:pt idx="0">
                  <c:v>14.951382258696302</c:v>
                </c:pt>
                <c:pt idx="1">
                  <c:v>10.474317625609729</c:v>
                </c:pt>
                <c:pt idx="2">
                  <c:v>4.6250114851563584</c:v>
                </c:pt>
                <c:pt idx="3">
                  <c:v>0.91437300111551667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F8-4B25-A78D-970E5DE26CC4}"/>
            </c:ext>
          </c:extLst>
        </c:ser>
        <c:ser>
          <c:idx val="2"/>
          <c:order val="2"/>
          <c:tx>
            <c:strRef>
              <c:f>'Résultats - post traitement'!$A$134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traitement'!$Y$134:$AB$134</c:f>
              <c:numCache>
                <c:formatCode>_-* #\ ##0.0_-;\-* #\ ##0.0_-;_-* "-"??_-;_-@_-</c:formatCode>
                <c:ptCount val="4"/>
                <c:pt idx="0">
                  <c:v>1.3434113209014593</c:v>
                </c:pt>
                <c:pt idx="1">
                  <c:v>2.1632148118780381</c:v>
                </c:pt>
                <c:pt idx="2">
                  <c:v>1.5841162962870432</c:v>
                </c:pt>
                <c:pt idx="3">
                  <c:v>0.9683615530004841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8-4B25-A78D-970E5DE26CC4}"/>
            </c:ext>
          </c:extLst>
        </c:ser>
        <c:ser>
          <c:idx val="3"/>
          <c:order val="3"/>
          <c:tx>
            <c:strRef>
              <c:f>'Résultats - post traitement'!$A$135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traitement'!$Y$135:$AB$135</c:f>
              <c:numCache>
                <c:formatCode>_-* #\ ##0.0_-;\-* #\ ##0.0_-;_-* "-"??_-;_-@_-</c:formatCode>
                <c:ptCount val="4"/>
                <c:pt idx="0">
                  <c:v>0.34481092418623083</c:v>
                </c:pt>
                <c:pt idx="1">
                  <c:v>0.20792856730071224</c:v>
                </c:pt>
                <c:pt idx="2">
                  <c:v>0.1174616094319624</c:v>
                </c:pt>
                <c:pt idx="3">
                  <c:v>1.2111459215287026E-2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F8-4B25-A78D-970E5DE26CC4}"/>
            </c:ext>
          </c:extLst>
        </c:ser>
        <c:ser>
          <c:idx val="4"/>
          <c:order val="4"/>
          <c:tx>
            <c:strRef>
              <c:f>'Résultats - post traitement'!$A$136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'Résultats - post traitement'!$Y$131:$AB$131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traitement'!$Y$136:$AB$136</c:f>
              <c:numCache>
                <c:formatCode>_-* #\ ##0.0_-;\-* #\ ##0.0_-;_-*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F8-4B25-A78D-970E5DE26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66896"/>
        <c:axId val="179362320"/>
      </c:areaChart>
      <c:catAx>
        <c:axId val="17936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2320"/>
        <c:crosses val="autoZero"/>
        <c:auto val="1"/>
        <c:lblAlgn val="ctr"/>
        <c:lblOffset val="100"/>
        <c:noMultiLvlLbl val="0"/>
      </c:catAx>
      <c:valAx>
        <c:axId val="1793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6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Répartition du parc par</a:t>
            </a:r>
            <a:r>
              <a:rPr lang="fr-FR" sz="1200" baseline="0"/>
              <a:t> énergie en AMS (en milliers de m²)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traitement'!$X$155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traitement'!$Y$155:$AB$155</c:f>
              <c:numCache>
                <c:formatCode>_-* #\ ##0_-;\-* #\ ##0_-;_-* "-"??_-;_-@_-</c:formatCode>
                <c:ptCount val="4"/>
                <c:pt idx="0">
                  <c:v>141901.09343289433</c:v>
                </c:pt>
                <c:pt idx="1">
                  <c:v>12854.882597958662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D-47D2-858A-8A1B147B27DD}"/>
            </c:ext>
          </c:extLst>
        </c:ser>
        <c:ser>
          <c:idx val="1"/>
          <c:order val="1"/>
          <c:tx>
            <c:strRef>
              <c:f>'Résultats - post traitement'!$X$156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traitement'!$Y$156:$AB$156</c:f>
              <c:numCache>
                <c:formatCode>_-* #\ ##0_-;\-* #\ ##0_-;_-* "-"??_-;_-@_-</c:formatCode>
                <c:ptCount val="4"/>
                <c:pt idx="0">
                  <c:v>454344.37842089933</c:v>
                </c:pt>
                <c:pt idx="1">
                  <c:v>374396.920570335</c:v>
                </c:pt>
                <c:pt idx="2">
                  <c:v>177323.2924555307</c:v>
                </c:pt>
                <c:pt idx="3">
                  <c:v>21762.121059560359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D-47D2-858A-8A1B147B27DD}"/>
            </c:ext>
          </c:extLst>
        </c:ser>
        <c:ser>
          <c:idx val="2"/>
          <c:order val="2"/>
          <c:tx>
            <c:strRef>
              <c:f>'Résultats - post traitement'!$X$157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traitement'!$Y$157:$AB$157</c:f>
              <c:numCache>
                <c:formatCode>_-* #\ ##0_-;\-* #\ ##0_-;_-* "-"??_-;_-@_-</c:formatCode>
                <c:ptCount val="4"/>
                <c:pt idx="0">
                  <c:v>71441.245547844053</c:v>
                </c:pt>
                <c:pt idx="1">
                  <c:v>187778.06218926172</c:v>
                </c:pt>
                <c:pt idx="2">
                  <c:v>227415.30910128169</c:v>
                </c:pt>
                <c:pt idx="3">
                  <c:v>236382.27092098337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8D-47D2-858A-8A1B147B27DD}"/>
            </c:ext>
          </c:extLst>
        </c:ser>
        <c:ser>
          <c:idx val="3"/>
          <c:order val="3"/>
          <c:tx>
            <c:strRef>
              <c:f>'Résultats - post traitement'!$X$158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traitement'!$Y$158:$AB$158</c:f>
              <c:numCache>
                <c:formatCode>_-* #\ ##0_-;\-* #\ ##0_-;_-* "-"??_-;_-@_-</c:formatCode>
                <c:ptCount val="4"/>
                <c:pt idx="0">
                  <c:v>14072.698497935504</c:v>
                </c:pt>
                <c:pt idx="1">
                  <c:v>10239.909292832006</c:v>
                </c:pt>
                <c:pt idx="2">
                  <c:v>6168.4832918836091</c:v>
                </c:pt>
                <c:pt idx="3">
                  <c:v>723.61470960254644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8D-47D2-858A-8A1B147B27DD}"/>
            </c:ext>
          </c:extLst>
        </c:ser>
        <c:ser>
          <c:idx val="4"/>
          <c:order val="4"/>
          <c:tx>
            <c:strRef>
              <c:f>'Résultats - post traitement'!$X$159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traitement'!$Y$159:$AB$159</c:f>
              <c:numCache>
                <c:formatCode>_-* #\ ##0_-;\-* #\ ##0_-;_-* "-"??_-;_-@_-</c:formatCode>
                <c:ptCount val="4"/>
                <c:pt idx="0">
                  <c:v>12713.837338469146</c:v>
                </c:pt>
                <c:pt idx="1">
                  <c:v>21889.569103846479</c:v>
                </c:pt>
                <c:pt idx="2">
                  <c:v>32419.239495909082</c:v>
                </c:pt>
                <c:pt idx="3">
                  <c:v>45971.32954744211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8D-47D2-858A-8A1B147B27DD}"/>
            </c:ext>
          </c:extLst>
        </c:ser>
        <c:ser>
          <c:idx val="5"/>
          <c:order val="5"/>
          <c:tx>
            <c:strRef>
              <c:f>'Résultats - post traitement'!$X$160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traitement'!$Y$160:$AB$160</c:f>
              <c:numCache>
                <c:formatCode>_-* #\ ##0_-;\-* #\ ##0_-;_-* "-"??_-;_-@_-</c:formatCode>
                <c:ptCount val="4"/>
                <c:pt idx="0">
                  <c:v>230136.8893728843</c:v>
                </c:pt>
                <c:pt idx="1">
                  <c:v>155916.86465285215</c:v>
                </c:pt>
                <c:pt idx="2">
                  <c:v>107652.1492993209</c:v>
                </c:pt>
                <c:pt idx="3">
                  <c:v>101949.30514995787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8D-47D2-858A-8A1B147B27DD}"/>
            </c:ext>
          </c:extLst>
        </c:ser>
        <c:ser>
          <c:idx val="6"/>
          <c:order val="6"/>
          <c:tx>
            <c:strRef>
              <c:f>'Résultats - post traitement'!$X$161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'Résultats - post traitement'!$Y$154:$AB$154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traitement'!$Y$161:$AB$161</c:f>
              <c:numCache>
                <c:formatCode>_-* #\ ##0_-;\-* #\ ##0_-;_-* "-"??_-;_-@_-</c:formatCode>
                <c:ptCount val="4"/>
                <c:pt idx="0">
                  <c:v>58665.760521050746</c:v>
                </c:pt>
                <c:pt idx="1">
                  <c:v>234717.75133310686</c:v>
                </c:pt>
                <c:pt idx="2">
                  <c:v>446701.41047538118</c:v>
                </c:pt>
                <c:pt idx="3">
                  <c:v>557837.93006101123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8D-47D2-858A-8A1B147B2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203679"/>
        <c:axId val="2031204095"/>
      </c:areaChart>
      <c:catAx>
        <c:axId val="203120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4095"/>
        <c:crosses val="autoZero"/>
        <c:auto val="1"/>
        <c:lblAlgn val="ctr"/>
        <c:lblOffset val="100"/>
        <c:noMultiLvlLbl val="0"/>
      </c:catAx>
      <c:valAx>
        <c:axId val="20312040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Répartition du parc par</a:t>
            </a:r>
            <a:r>
              <a:rPr lang="fr-FR" sz="1200" baseline="0"/>
              <a:t> énergie en AMS (en milliers de m²)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'Résultats - post traitement'!$H$156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traitement'!$I$156:$L$156</c:f>
              <c:numCache>
                <c:formatCode>_-* #\ ##0_-;\-* #\ ##0_-;_-* "-"??_-;_-@_-</c:formatCode>
                <c:ptCount val="4"/>
                <c:pt idx="0">
                  <c:v>141901.09343289433</c:v>
                </c:pt>
                <c:pt idx="1">
                  <c:v>119795.24600839353</c:v>
                </c:pt>
                <c:pt idx="2">
                  <c:v>106837.52312213337</c:v>
                </c:pt>
                <c:pt idx="3">
                  <c:v>89459.646012257595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F-42A6-8F6F-90647015C263}"/>
            </c:ext>
          </c:extLst>
        </c:ser>
        <c:ser>
          <c:idx val="1"/>
          <c:order val="1"/>
          <c:tx>
            <c:strRef>
              <c:f>'Résultats - post traitement'!$H$157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traitement'!$I$157:$L$157</c:f>
              <c:numCache>
                <c:formatCode>_-* #\ ##0_-;\-* #\ ##0_-;_-* "-"??_-;_-@_-</c:formatCode>
                <c:ptCount val="4"/>
                <c:pt idx="0">
                  <c:v>454344.37842089933</c:v>
                </c:pt>
                <c:pt idx="1">
                  <c:v>425698.0135294536</c:v>
                </c:pt>
                <c:pt idx="2">
                  <c:v>424752.27544970828</c:v>
                </c:pt>
                <c:pt idx="3">
                  <c:v>411072.66227964632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F-42A6-8F6F-90647015C263}"/>
            </c:ext>
          </c:extLst>
        </c:ser>
        <c:ser>
          <c:idx val="2"/>
          <c:order val="2"/>
          <c:tx>
            <c:strRef>
              <c:f>'Résultats - post traitement'!$H$158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traitement'!$I$158:$L$158</c:f>
              <c:numCache>
                <c:formatCode>_-* #\ ##0_-;\-* #\ ##0_-;_-* "-"??_-;_-@_-</c:formatCode>
                <c:ptCount val="4"/>
                <c:pt idx="0">
                  <c:v>71441.245547844053</c:v>
                </c:pt>
                <c:pt idx="1">
                  <c:v>81560.511200861423</c:v>
                </c:pt>
                <c:pt idx="2">
                  <c:v>82050.115232573749</c:v>
                </c:pt>
                <c:pt idx="3">
                  <c:v>77571.216481423311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8F-42A6-8F6F-90647015C263}"/>
            </c:ext>
          </c:extLst>
        </c:ser>
        <c:ser>
          <c:idx val="3"/>
          <c:order val="3"/>
          <c:tx>
            <c:strRef>
              <c:f>'Résultats - post traitement'!$H$159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traitement'!$I$159:$L$159</c:f>
              <c:numCache>
                <c:formatCode>_-* #\ ##0_-;\-* #\ ##0_-;_-* "-"??_-;_-@_-</c:formatCode>
                <c:ptCount val="4"/>
                <c:pt idx="0">
                  <c:v>14072.698497935502</c:v>
                </c:pt>
                <c:pt idx="1">
                  <c:v>14397.688968434337</c:v>
                </c:pt>
                <c:pt idx="2">
                  <c:v>14836.842407550766</c:v>
                </c:pt>
                <c:pt idx="3">
                  <c:v>14844.114596695159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8F-42A6-8F6F-90647015C263}"/>
            </c:ext>
          </c:extLst>
        </c:ser>
        <c:ser>
          <c:idx val="4"/>
          <c:order val="4"/>
          <c:tx>
            <c:strRef>
              <c:f>'Résultats - post traitement'!$H$160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traitement'!$I$160:$L$160</c:f>
              <c:numCache>
                <c:formatCode>_-* #\ ##0_-;\-* #\ ##0_-;_-* "-"??_-;_-@_-</c:formatCode>
                <c:ptCount val="4"/>
                <c:pt idx="0">
                  <c:v>12713.837338469146</c:v>
                </c:pt>
                <c:pt idx="1">
                  <c:v>14667.798089274911</c:v>
                </c:pt>
                <c:pt idx="2">
                  <c:v>16053.693516742846</c:v>
                </c:pt>
                <c:pt idx="3">
                  <c:v>17005.877321405918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8F-42A6-8F6F-90647015C263}"/>
            </c:ext>
          </c:extLst>
        </c:ser>
        <c:ser>
          <c:idx val="5"/>
          <c:order val="5"/>
          <c:tx>
            <c:strRef>
              <c:f>'Résultats - post traitement'!$H$161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traitement'!$I$161:$L$161</c:f>
              <c:numCache>
                <c:formatCode>_-* #\ ##0_-;\-* #\ ##0_-;_-* "-"??_-;_-@_-</c:formatCode>
                <c:ptCount val="4"/>
                <c:pt idx="0">
                  <c:v>230136.8893728843</c:v>
                </c:pt>
                <c:pt idx="1">
                  <c:v>197786.28475220225</c:v>
                </c:pt>
                <c:pt idx="2">
                  <c:v>172616.25557423016</c:v>
                </c:pt>
                <c:pt idx="3">
                  <c:v>139920.91422536096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8F-42A6-8F6F-90647015C263}"/>
            </c:ext>
          </c:extLst>
        </c:ser>
        <c:ser>
          <c:idx val="6"/>
          <c:order val="6"/>
          <c:tx>
            <c:strRef>
              <c:f>'Résultats - post traitement'!$H$162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'Résultats - post traitement'!$I$155:$L$155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traitement'!$I$162:$L$162</c:f>
              <c:numCache>
                <c:formatCode>_-* #\ ##0_-;\-* #\ ##0_-;_-* "-"??_-;_-@_-</c:formatCode>
                <c:ptCount val="4"/>
                <c:pt idx="0">
                  <c:v>58665.760521050746</c:v>
                </c:pt>
                <c:pt idx="1">
                  <c:v>148376.85497280321</c:v>
                </c:pt>
                <c:pt idx="2">
                  <c:v>203668.18796500482</c:v>
                </c:pt>
                <c:pt idx="3">
                  <c:v>259565.63894468066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8F-42A6-8F6F-90647015C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203679"/>
        <c:axId val="2031204095"/>
      </c:areaChart>
      <c:catAx>
        <c:axId val="203120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4095"/>
        <c:crosses val="autoZero"/>
        <c:auto val="1"/>
        <c:lblAlgn val="ctr"/>
        <c:lblOffset val="100"/>
        <c:noMultiLvlLbl val="0"/>
      </c:catAx>
      <c:valAx>
        <c:axId val="20312040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120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'Résultats - post traitement'!$Y$24</c:f>
              <c:strCache>
                <c:ptCount val="1"/>
                <c:pt idx="0">
                  <c:v>Existant 2020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'Résultats - post traitement'!$Z$8:$AC$8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traitement'!$Z$24:$AC$24</c:f>
              <c:numCache>
                <c:formatCode>#,##0</c:formatCode>
                <c:ptCount val="4"/>
                <c:pt idx="0">
                  <c:v>983437.0555157949</c:v>
                </c:pt>
                <c:pt idx="1">
                  <c:v>943305.87487551966</c:v>
                </c:pt>
                <c:pt idx="2">
                  <c:v>954650.08370665286</c:v>
                </c:pt>
                <c:pt idx="3">
                  <c:v>931004.81064076687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F-4480-B509-1677AC063E9F}"/>
            </c:ext>
          </c:extLst>
        </c:ser>
        <c:ser>
          <c:idx val="0"/>
          <c:order val="1"/>
          <c:tx>
            <c:strRef>
              <c:f>'Résultats - post traitement'!$Y$23</c:f>
              <c:strCache>
                <c:ptCount val="1"/>
                <c:pt idx="0">
                  <c:v>Neuf post 2020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'Résultats - post traitement'!$Z$8:$AC$8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traitement'!$Z$23:$AC$23</c:f>
              <c:numCache>
                <c:formatCode>#,##0</c:formatCode>
                <c:ptCount val="4"/>
                <c:pt idx="0">
                  <c:v>0</c:v>
                </c:pt>
                <c:pt idx="1">
                  <c:v>54508.804549841887</c:v>
                </c:pt>
                <c:pt idx="2">
                  <c:v>43094.231129653381</c:v>
                </c:pt>
                <c:pt idx="3">
                  <c:v>33683.415838559042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F-4480-B509-1677AC06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51312"/>
        <c:axId val="1814052976"/>
      </c:areaChart>
      <c:catAx>
        <c:axId val="181405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4052976"/>
        <c:crosses val="autoZero"/>
        <c:auto val="1"/>
        <c:lblAlgn val="ctr"/>
        <c:lblOffset val="100"/>
        <c:noMultiLvlLbl val="0"/>
      </c:catAx>
      <c:valAx>
        <c:axId val="1814052976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milliers de</a:t>
                </a:r>
                <a:r>
                  <a:rPr lang="fr-FR" baseline="0"/>
                  <a:t> m²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4051312"/>
        <c:crosses val="autoZero"/>
        <c:crossBetween val="midCat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du parc par énergie (Mm²)</a:t>
            </a:r>
            <a:endParaRPr lang="fr-FR"/>
          </a:p>
        </c:rich>
      </c:tx>
      <c:layout>
        <c:manualLayout>
          <c:xMode val="edge"/>
          <c:yMode val="edge"/>
          <c:x val="0.3566158230221223"/>
          <c:y val="1.325051587023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'Résultats - post traitement'!$X$170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traitement'!$Y$170:$AB$170</c:f>
              <c:numCache>
                <c:formatCode>_-* #\ ##0.0_-;\-* #\ ##0.0_-;_-* "-"??_-;_-@_-</c:formatCode>
                <c:ptCount val="4"/>
                <c:pt idx="0">
                  <c:v>141.90109343289433</c:v>
                </c:pt>
                <c:pt idx="1">
                  <c:v>12.854882597958662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F-4580-98B0-E3E49578B143}"/>
            </c:ext>
          </c:extLst>
        </c:ser>
        <c:ser>
          <c:idx val="1"/>
          <c:order val="1"/>
          <c:tx>
            <c:strRef>
              <c:f>'Résultats - post traitement'!$X$171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traitement'!$Y$171:$AB$171</c:f>
              <c:numCache>
                <c:formatCode>_-* #\ ##0.0_-;\-* #\ ##0.0_-;_-* "-"??_-;_-@_-</c:formatCode>
                <c:ptCount val="4"/>
                <c:pt idx="0">
                  <c:v>454.34437842089932</c:v>
                </c:pt>
                <c:pt idx="1">
                  <c:v>374.396920570335</c:v>
                </c:pt>
                <c:pt idx="2">
                  <c:v>177.32329245553069</c:v>
                </c:pt>
                <c:pt idx="3">
                  <c:v>21.762121059560357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F-4580-98B0-E3E49578B143}"/>
            </c:ext>
          </c:extLst>
        </c:ser>
        <c:ser>
          <c:idx val="2"/>
          <c:order val="2"/>
          <c:tx>
            <c:strRef>
              <c:f>'Résultats - post traitement'!$X$172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96825396825397E-3"/>
                  <c:y val="-3.312628967557885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FF-4580-98B0-E3E49578B1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traitement'!$Y$172:$AB$172</c:f>
              <c:numCache>
                <c:formatCode>_-* #\ ##0.0_-;\-* #\ ##0.0_-;_-* "-"??_-;_-@_-</c:formatCode>
                <c:ptCount val="4"/>
                <c:pt idx="0">
                  <c:v>71.441245547844048</c:v>
                </c:pt>
                <c:pt idx="1">
                  <c:v>187.77806218926173</c:v>
                </c:pt>
                <c:pt idx="2">
                  <c:v>227.41530910128168</c:v>
                </c:pt>
                <c:pt idx="3">
                  <c:v>236.38227092098336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FF-4580-98B0-E3E49578B143}"/>
            </c:ext>
          </c:extLst>
        </c:ser>
        <c:ser>
          <c:idx val="5"/>
          <c:order val="3"/>
          <c:tx>
            <c:strRef>
              <c:f>'Résultats - post traitement'!$X$175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traitement'!$Y$175:$AB$175</c:f>
              <c:numCache>
                <c:formatCode>_-* #\ ##0.0_-;\-* #\ ##0.0_-;_-* "-"??_-;_-@_-</c:formatCode>
                <c:ptCount val="4"/>
                <c:pt idx="0">
                  <c:v>230.1368893728843</c:v>
                </c:pt>
                <c:pt idx="1">
                  <c:v>155.91686465285215</c:v>
                </c:pt>
                <c:pt idx="2">
                  <c:v>107.6521492993209</c:v>
                </c:pt>
                <c:pt idx="3">
                  <c:v>101.94930514995787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FF-4580-98B0-E3E49578B143}"/>
            </c:ext>
          </c:extLst>
        </c:ser>
        <c:ser>
          <c:idx val="6"/>
          <c:order val="4"/>
          <c:tx>
            <c:strRef>
              <c:f>'Résultats - post traitement'!$X$176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625257935115771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FF-4580-98B0-E3E49578B1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traitement'!$Y$176:$AB$176</c:f>
              <c:numCache>
                <c:formatCode>_-* #\ ##0.0_-;\-* #\ ##0.0_-;_-* "-"??_-;_-@_-</c:formatCode>
                <c:ptCount val="4"/>
                <c:pt idx="0">
                  <c:v>58.66576052105075</c:v>
                </c:pt>
                <c:pt idx="1">
                  <c:v>234.71775133310686</c:v>
                </c:pt>
                <c:pt idx="2">
                  <c:v>446.70141047538118</c:v>
                </c:pt>
                <c:pt idx="3">
                  <c:v>557.83793006101121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FF-4580-98B0-E3E49578B143}"/>
            </c:ext>
          </c:extLst>
        </c:ser>
        <c:ser>
          <c:idx val="4"/>
          <c:order val="5"/>
          <c:tx>
            <c:strRef>
              <c:f>'Résultats - post traitement'!$X$174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traitement'!$Y$174:$AB$174</c:f>
              <c:numCache>
                <c:formatCode>_-* #\ ##0.0_-;\-* #\ ##0.0_-;_-* "-"??_-;_-@_-</c:formatCode>
                <c:ptCount val="4"/>
                <c:pt idx="0">
                  <c:v>12.713837338469146</c:v>
                </c:pt>
                <c:pt idx="1">
                  <c:v>21.88956910384648</c:v>
                </c:pt>
                <c:pt idx="2">
                  <c:v>32.419239495909082</c:v>
                </c:pt>
                <c:pt idx="3">
                  <c:v>45.97132954744211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FF-4580-98B0-E3E49578B143}"/>
            </c:ext>
          </c:extLst>
        </c:ser>
        <c:ser>
          <c:idx val="3"/>
          <c:order val="6"/>
          <c:tx>
            <c:strRef>
              <c:f>'Résultats - post traitement'!$X$173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'Résultats - post traitement'!$Y$169:$AB$169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'Résultats - post traitement'!$Y$173:$AB$173</c:f>
              <c:numCache>
                <c:formatCode>_-* #\ ##0.0_-;\-* #\ ##0.0_-;_-* "-"??_-;_-@_-</c:formatCode>
                <c:ptCount val="4"/>
                <c:pt idx="0">
                  <c:v>14.072698497935503</c:v>
                </c:pt>
                <c:pt idx="1">
                  <c:v>10.239909292832007</c:v>
                </c:pt>
                <c:pt idx="2">
                  <c:v>6.168483291883609</c:v>
                </c:pt>
                <c:pt idx="3">
                  <c:v>0.72361470960254648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FF-4580-98B0-E3E49578B1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95880736"/>
        <c:axId val="1495886560"/>
      </c:barChart>
      <c:catAx>
        <c:axId val="14958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6560"/>
        <c:crosses val="autoZero"/>
        <c:auto val="1"/>
        <c:lblAlgn val="ctr"/>
        <c:lblOffset val="100"/>
        <c:noMultiLvlLbl val="0"/>
      </c:catAx>
      <c:valAx>
        <c:axId val="14958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milliers</a:t>
                </a:r>
                <a:r>
                  <a:rPr lang="fr-FR" baseline="0"/>
                  <a:t> de m²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88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AME'!$H$13:$K$13</c:f>
              <c:numCache>
                <c:formatCode>#,##0</c:formatCode>
                <c:ptCount val="4"/>
                <c:pt idx="0">
                  <c:v>3705.16846907939</c:v>
                </c:pt>
                <c:pt idx="1">
                  <c:v>2535.2488876939278</c:v>
                </c:pt>
                <c:pt idx="2">
                  <c:v>1849.6380122881747</c:v>
                </c:pt>
                <c:pt idx="3">
                  <c:v>1270.1720577734352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4-400F-8A64-2D32F603F3E9}"/>
            </c:ext>
          </c:extLst>
        </c:ser>
        <c:ser>
          <c:idx val="1"/>
          <c:order val="1"/>
          <c:tx>
            <c:strRef>
              <c:f>'Bureaux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AME'!$H$14:$K$14</c:f>
              <c:numCache>
                <c:formatCode>#,##0</c:formatCode>
                <c:ptCount val="4"/>
                <c:pt idx="0">
                  <c:v>17519.297184247305</c:v>
                </c:pt>
                <c:pt idx="1">
                  <c:v>14064.468612966739</c:v>
                </c:pt>
                <c:pt idx="2">
                  <c:v>12178.540690198633</c:v>
                </c:pt>
                <c:pt idx="3">
                  <c:v>10558.976644641007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4-400F-8A64-2D32F603F3E9}"/>
            </c:ext>
          </c:extLst>
        </c:ser>
        <c:ser>
          <c:idx val="2"/>
          <c:order val="2"/>
          <c:tx>
            <c:strRef>
              <c:f>'Bureaux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AME'!$H$15:$K$15</c:f>
              <c:numCache>
                <c:formatCode>#,##0</c:formatCode>
                <c:ptCount val="4"/>
                <c:pt idx="0">
                  <c:v>2766.1150896935142</c:v>
                </c:pt>
                <c:pt idx="1">
                  <c:v>2535.3244043351169</c:v>
                </c:pt>
                <c:pt idx="2">
                  <c:v>2323.5713690795424</c:v>
                </c:pt>
                <c:pt idx="3">
                  <c:v>2055.4151584710185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24-400F-8A64-2D32F603F3E9}"/>
            </c:ext>
          </c:extLst>
        </c:ser>
        <c:ser>
          <c:idx val="3"/>
          <c:order val="3"/>
          <c:tx>
            <c:strRef>
              <c:f>'Bureaux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AME'!$H$16:$K$16</c:f>
              <c:numCache>
                <c:formatCode>#,##0</c:formatCode>
                <c:ptCount val="4"/>
                <c:pt idx="0">
                  <c:v>394.01187233155542</c:v>
                </c:pt>
                <c:pt idx="1">
                  <c:v>302.77797812911427</c:v>
                </c:pt>
                <c:pt idx="2">
                  <c:v>255.44488197166822</c:v>
                </c:pt>
                <c:pt idx="3">
                  <c:v>212.45280019903859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24-400F-8A64-2D32F603F3E9}"/>
            </c:ext>
          </c:extLst>
        </c:ser>
        <c:ser>
          <c:idx val="4"/>
          <c:order val="4"/>
          <c:tx>
            <c:strRef>
              <c:f>'Bureaux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AME'!$H$17:$K$17</c:f>
              <c:numCache>
                <c:formatCode>#,##0</c:formatCode>
                <c:ptCount val="4"/>
                <c:pt idx="0">
                  <c:v>411.65001129323497</c:v>
                </c:pt>
                <c:pt idx="1">
                  <c:v>427.87867337585004</c:v>
                </c:pt>
                <c:pt idx="2">
                  <c:v>464.91367483614022</c:v>
                </c:pt>
                <c:pt idx="3">
                  <c:v>489.59611720793072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24-400F-8A64-2D32F603F3E9}"/>
            </c:ext>
          </c:extLst>
        </c:ser>
        <c:ser>
          <c:idx val="5"/>
          <c:order val="5"/>
          <c:tx>
            <c:strRef>
              <c:f>'Bureaux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AME'!$H$18:$K$18</c:f>
              <c:numCache>
                <c:formatCode>#,##0</c:formatCode>
                <c:ptCount val="4"/>
                <c:pt idx="0">
                  <c:v>6418.4622476422319</c:v>
                </c:pt>
                <c:pt idx="1">
                  <c:v>4703.0267969750648</c:v>
                </c:pt>
                <c:pt idx="2">
                  <c:v>3735.1156579025806</c:v>
                </c:pt>
                <c:pt idx="3">
                  <c:v>2905.3549191243555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24-400F-8A64-2D32F603F3E9}"/>
            </c:ext>
          </c:extLst>
        </c:ser>
        <c:ser>
          <c:idx val="6"/>
          <c:order val="6"/>
          <c:tx>
            <c:strRef>
              <c:f>'Bureaux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AME'!$H$19:$K$19</c:f>
              <c:numCache>
                <c:formatCode>#,##0</c:formatCode>
                <c:ptCount val="4"/>
                <c:pt idx="0">
                  <c:v>1152.0826387608718</c:v>
                </c:pt>
                <c:pt idx="1">
                  <c:v>1595.5654718999112</c:v>
                </c:pt>
                <c:pt idx="2">
                  <c:v>2205.5392330518689</c:v>
                </c:pt>
                <c:pt idx="3">
                  <c:v>2444.3126962431202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24-400F-8A64-2D32F603F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'Bureaux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'Bureaux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AME'!$H$8:$K$8</c:f>
              <c:numCache>
                <c:formatCode>#,##0</c:formatCode>
                <c:ptCount val="4"/>
                <c:pt idx="0">
                  <c:v>0</c:v>
                </c:pt>
                <c:pt idx="1">
                  <c:v>6206.4099090819327</c:v>
                </c:pt>
                <c:pt idx="2">
                  <c:v>6411.8444638873989</c:v>
                </c:pt>
                <c:pt idx="3">
                  <c:v>5961.6497428461562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E-4534-AB3C-D6EC2E08ED06}"/>
            </c:ext>
          </c:extLst>
        </c:ser>
        <c:ser>
          <c:idx val="1"/>
          <c:order val="1"/>
          <c:tx>
            <c:strRef>
              <c:f>'Bureaux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'Bureaux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AME'!$H$9:$K$9</c:f>
              <c:numCache>
                <c:formatCode>#,##0</c:formatCode>
                <c:ptCount val="4"/>
                <c:pt idx="0">
                  <c:v>287333.79208712652</c:v>
                </c:pt>
                <c:pt idx="1">
                  <c:v>269335.75939351093</c:v>
                </c:pt>
                <c:pt idx="2">
                  <c:v>269590.45844565687</c:v>
                </c:pt>
                <c:pt idx="3">
                  <c:v>263785.0239682839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E-4534-AB3C-D6EC2E0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AME'!$H$111:$K$111</c:f>
              <c:numCache>
                <c:formatCode>_-* #\ ##0_-;\-* #\ ##0_-;_-* "-"??_-;_-@_-</c:formatCode>
                <c:ptCount val="4"/>
                <c:pt idx="0" formatCode="0">
                  <c:v>1323.486177155158</c:v>
                </c:pt>
                <c:pt idx="1">
                  <c:v>766.70866262584013</c:v>
                </c:pt>
                <c:pt idx="2">
                  <c:v>490.35652596024755</c:v>
                </c:pt>
                <c:pt idx="3">
                  <c:v>294.13353994374381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C-4729-90E2-BFCD3E581386}"/>
            </c:ext>
          </c:extLst>
        </c:ser>
        <c:ser>
          <c:idx val="1"/>
          <c:order val="1"/>
          <c:tx>
            <c:strRef>
              <c:f>'Bureaux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AME'!$H$112:$K$112</c:f>
              <c:numCache>
                <c:formatCode>_-* #\ ##0_-;\-* #\ ##0_-;_-* "-"??_-;_-@_-</c:formatCode>
                <c:ptCount val="4"/>
                <c:pt idx="0" formatCode="0">
                  <c:v>6257.8929542131382</c:v>
                </c:pt>
                <c:pt idx="1">
                  <c:v>4152.5698869838916</c:v>
                </c:pt>
                <c:pt idx="2">
                  <c:v>3191.4468470930515</c:v>
                </c:pt>
                <c:pt idx="3">
                  <c:v>2503.3742174042231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C-4729-90E2-BFCD3E581386}"/>
            </c:ext>
          </c:extLst>
        </c:ser>
        <c:ser>
          <c:idx val="2"/>
          <c:order val="2"/>
          <c:tx>
            <c:strRef>
              <c:f>'Bureaux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AME'!$H$113:$K$113</c:f>
              <c:numCache>
                <c:formatCode>_-* #\ ##0_-;\-* #\ ##0_-;_-* "-"??_-;_-@_-</c:formatCode>
                <c:ptCount val="4"/>
                <c:pt idx="0" formatCode="0">
                  <c:v>988.05631003852329</c:v>
                </c:pt>
                <c:pt idx="1">
                  <c:v>878.09954630148968</c:v>
                </c:pt>
                <c:pt idx="2">
                  <c:v>726.77353035813621</c:v>
                </c:pt>
                <c:pt idx="3">
                  <c:v>555.82986333029851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7C-4729-90E2-BFCD3E581386}"/>
            </c:ext>
          </c:extLst>
        </c:ser>
        <c:ser>
          <c:idx val="3"/>
          <c:order val="3"/>
          <c:tx>
            <c:strRef>
              <c:f>'Bureaux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AME'!$H$114:$K$114</c:f>
              <c:numCache>
                <c:formatCode>_-* #\ ##0_-;\-* #\ ##0_-;_-* "-"??_-;_-@_-</c:formatCode>
                <c:ptCount val="4"/>
                <c:pt idx="0" formatCode="0">
                  <c:v>140.74104079683161</c:v>
                </c:pt>
                <c:pt idx="1">
                  <c:v>92.365693597333618</c:v>
                </c:pt>
                <c:pt idx="2">
                  <c:v>70.077319870984709</c:v>
                </c:pt>
                <c:pt idx="3">
                  <c:v>54.135862968955905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7C-4729-90E2-BFCD3E581386}"/>
            </c:ext>
          </c:extLst>
        </c:ser>
        <c:ser>
          <c:idx val="4"/>
          <c:order val="4"/>
          <c:tx>
            <c:strRef>
              <c:f>'Bureaux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AME'!$H$115:$K$115</c:f>
              <c:numCache>
                <c:formatCode>_-* #\ ##0_-;\-* #\ ##0_-;_-* "-"??_-;_-@_-</c:formatCode>
                <c:ptCount val="4"/>
                <c:pt idx="0" formatCode="0">
                  <c:v>147.04138403394353</c:v>
                </c:pt>
                <c:pt idx="1">
                  <c:v>127.77379716837866</c:v>
                </c:pt>
                <c:pt idx="2">
                  <c:v>124.98209991255588</c:v>
                </c:pt>
                <c:pt idx="3">
                  <c:v>122.54511102194797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7C-4729-90E2-BFCD3E581386}"/>
            </c:ext>
          </c:extLst>
        </c:ser>
        <c:ser>
          <c:idx val="5"/>
          <c:order val="5"/>
          <c:tx>
            <c:strRef>
              <c:f>'Bureaux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AME'!$H$116:$K$116</c:f>
              <c:numCache>
                <c:formatCode>_-* #\ ##0_-;\-* #\ ##0_-;_-* "-"??_-;_-@_-</c:formatCode>
                <c:ptCount val="4"/>
                <c:pt idx="0" formatCode="0">
                  <c:v>2292.6747148578056</c:v>
                </c:pt>
                <c:pt idx="1">
                  <c:v>1477.3218802704735</c:v>
                </c:pt>
                <c:pt idx="2">
                  <c:v>1096.341818778878</c:v>
                </c:pt>
                <c:pt idx="3">
                  <c:v>824.23557216092968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7C-4729-90E2-BFCD3E581386}"/>
            </c:ext>
          </c:extLst>
        </c:ser>
        <c:ser>
          <c:idx val="6"/>
          <c:order val="6"/>
          <c:tx>
            <c:strRef>
              <c:f>'Bureaux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AME'!$H$117:$K$117</c:f>
              <c:numCache>
                <c:formatCode>_-* #\ ##0_-;\-* #\ ##0_-;_-* "-"??_-;_-@_-</c:formatCode>
                <c:ptCount val="4"/>
                <c:pt idx="0" formatCode="0">
                  <c:v>411.52391856538338</c:v>
                </c:pt>
                <c:pt idx="1">
                  <c:v>521.03586456746859</c:v>
                </c:pt>
                <c:pt idx="2">
                  <c:v>663.45215699914809</c:v>
                </c:pt>
                <c:pt idx="3">
                  <c:v>789.29238291058368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7C-4729-90E2-BFCD3E581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AME'!$H$122:$K$122</c:f>
              <c:numCache>
                <c:formatCode>_-* #\ ##0_-;\-* #\ ##0_-;_-* "-"??_-;_-@_-</c:formatCode>
                <c:ptCount val="4"/>
                <c:pt idx="0">
                  <c:v>2381.6822919242318</c:v>
                </c:pt>
                <c:pt idx="1">
                  <c:v>1767.2890173421508</c:v>
                </c:pt>
                <c:pt idx="2">
                  <c:v>1357.9888631450813</c:v>
                </c:pt>
                <c:pt idx="3">
                  <c:v>974.83665357533971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2-4513-9DF4-25C4D7C44C39}"/>
            </c:ext>
          </c:extLst>
        </c:ser>
        <c:ser>
          <c:idx val="1"/>
          <c:order val="1"/>
          <c:tx>
            <c:strRef>
              <c:f>'Bureaux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AME'!$H$123:$K$123</c:f>
              <c:numCache>
                <c:formatCode>_-* #\ ##0_-;\-* #\ ##0_-;_-* "-"??_-;_-@_-</c:formatCode>
                <c:ptCount val="4"/>
                <c:pt idx="0">
                  <c:v>11261.404230034166</c:v>
                </c:pt>
                <c:pt idx="1">
                  <c:v>9911.8987259828464</c:v>
                </c:pt>
                <c:pt idx="2">
                  <c:v>8987.093843105582</c:v>
                </c:pt>
                <c:pt idx="3">
                  <c:v>8055.602427236784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2-4513-9DF4-25C4D7C44C39}"/>
            </c:ext>
          </c:extLst>
        </c:ser>
        <c:ser>
          <c:idx val="2"/>
          <c:order val="2"/>
          <c:tx>
            <c:strRef>
              <c:f>'Bureaux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AME'!$H$124:$K$124</c:f>
              <c:numCache>
                <c:formatCode>_-* #\ ##0_-;\-* #\ ##0_-;_-* "-"??_-;_-@_-</c:formatCode>
                <c:ptCount val="4"/>
                <c:pt idx="0">
                  <c:v>1778.058779654991</c:v>
                </c:pt>
                <c:pt idx="1">
                  <c:v>1600.2732130315555</c:v>
                </c:pt>
                <c:pt idx="2">
                  <c:v>1537.9610723677267</c:v>
                </c:pt>
                <c:pt idx="3">
                  <c:v>1444.8796336141688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D2-4513-9DF4-25C4D7C44C39}"/>
            </c:ext>
          </c:extLst>
        </c:ser>
        <c:ser>
          <c:idx val="3"/>
          <c:order val="3"/>
          <c:tx>
            <c:strRef>
              <c:f>'Bureaux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AME'!$H$125:$K$125</c:f>
              <c:numCache>
                <c:formatCode>_-* #\ ##0_-;\-* #\ ##0_-;_-* "-"??_-;_-@_-</c:formatCode>
                <c:ptCount val="4"/>
                <c:pt idx="0">
                  <c:v>253.27083153472384</c:v>
                </c:pt>
                <c:pt idx="1">
                  <c:v>210.41228453178067</c:v>
                </c:pt>
                <c:pt idx="2">
                  <c:v>185.36756210068353</c:v>
                </c:pt>
                <c:pt idx="3">
                  <c:v>158.31693723008269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D2-4513-9DF4-25C4D7C44C39}"/>
            </c:ext>
          </c:extLst>
        </c:ser>
        <c:ser>
          <c:idx val="4"/>
          <c:order val="4"/>
          <c:tx>
            <c:strRef>
              <c:f>'Bureaux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AME'!$H$126:$K$126</c:f>
              <c:numCache>
                <c:formatCode>_-* #\ ##0_-;\-* #\ ##0_-;_-* "-"??_-;_-@_-</c:formatCode>
                <c:ptCount val="4"/>
                <c:pt idx="0">
                  <c:v>264.60862725929144</c:v>
                </c:pt>
                <c:pt idx="1">
                  <c:v>291.0731844087515</c:v>
                </c:pt>
                <c:pt idx="2">
                  <c:v>330.60093065298611</c:v>
                </c:pt>
                <c:pt idx="3">
                  <c:v>358.37549427522191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D2-4513-9DF4-25C4D7C44C39}"/>
            </c:ext>
          </c:extLst>
        </c:ser>
        <c:ser>
          <c:idx val="5"/>
          <c:order val="5"/>
          <c:tx>
            <c:strRef>
              <c:f>'Bureaux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AME'!$H$127:$K$127</c:f>
              <c:numCache>
                <c:formatCode>_-* #\ ##0_-;\-* #\ ##0_-;_-* "-"??_-;_-@_-</c:formatCode>
                <c:ptCount val="4"/>
                <c:pt idx="0">
                  <c:v>4125.7875327844267</c:v>
                </c:pt>
                <c:pt idx="1">
                  <c:v>3183.7525501803389</c:v>
                </c:pt>
                <c:pt idx="2">
                  <c:v>2595.4328331337697</c:v>
                </c:pt>
                <c:pt idx="3">
                  <c:v>2040.8214422544393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D2-4513-9DF4-25C4D7C44C39}"/>
            </c:ext>
          </c:extLst>
        </c:ser>
        <c:ser>
          <c:idx val="6"/>
          <c:order val="6"/>
          <c:tx>
            <c:strRef>
              <c:f>'Bureaux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AME'!$H$128:$K$128</c:f>
              <c:numCache>
                <c:formatCode>_-* #\ ##0_-;\-* #\ ##0_-;_-* "-"??_-;_-@_-</c:formatCode>
                <c:ptCount val="4"/>
                <c:pt idx="0">
                  <c:v>740.55872019548826</c:v>
                </c:pt>
                <c:pt idx="1">
                  <c:v>950.12583408088619</c:v>
                </c:pt>
                <c:pt idx="2">
                  <c:v>1413.5654900642619</c:v>
                </c:pt>
                <c:pt idx="3">
                  <c:v>1535.5226111699765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D2-4513-9DF4-25C4D7C44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AME'!$H$13:$K$13</c:f>
              <c:numCache>
                <c:formatCode>#,##0</c:formatCode>
                <c:ptCount val="4"/>
                <c:pt idx="0">
                  <c:v>1146.8355656667195</c:v>
                </c:pt>
                <c:pt idx="1">
                  <c:v>835.17618964683982</c:v>
                </c:pt>
                <c:pt idx="2">
                  <c:v>675.50310556953502</c:v>
                </c:pt>
                <c:pt idx="3">
                  <c:v>510.20016314096335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8-4149-A088-DA33DFC81370}"/>
            </c:ext>
          </c:extLst>
        </c:ser>
        <c:ser>
          <c:idx val="1"/>
          <c:order val="1"/>
          <c:tx>
            <c:strRef>
              <c:f>'CaHoREs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AME'!$H$14:$K$14</c:f>
              <c:numCache>
                <c:formatCode>#,##0</c:formatCode>
                <c:ptCount val="4"/>
                <c:pt idx="0">
                  <c:v>3676.1473473989763</c:v>
                </c:pt>
                <c:pt idx="1">
                  <c:v>3015.526438822641</c:v>
                </c:pt>
                <c:pt idx="2">
                  <c:v>2811.9835045819577</c:v>
                </c:pt>
                <c:pt idx="3">
                  <c:v>2529.5396658581626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8-4149-A088-DA33DFC81370}"/>
            </c:ext>
          </c:extLst>
        </c:ser>
        <c:ser>
          <c:idx val="2"/>
          <c:order val="2"/>
          <c:tx>
            <c:strRef>
              <c:f>'CaHoREs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AME'!$H$15:$K$15</c:f>
              <c:numCache>
                <c:formatCode>#,##0</c:formatCode>
                <c:ptCount val="4"/>
                <c:pt idx="0">
                  <c:v>623.71893019819117</c:v>
                </c:pt>
                <c:pt idx="1">
                  <c:v>712.05599625033801</c:v>
                </c:pt>
                <c:pt idx="2">
                  <c:v>753.2093097672365</c:v>
                </c:pt>
                <c:pt idx="3">
                  <c:v>632.38683333557231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8-4149-A088-DA33DFC81370}"/>
            </c:ext>
          </c:extLst>
        </c:ser>
        <c:ser>
          <c:idx val="3"/>
          <c:order val="3"/>
          <c:tx>
            <c:strRef>
              <c:f>'CaHoREs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AME'!$H$16:$K$16</c:f>
              <c:numCache>
                <c:formatCode>#,##0</c:formatCode>
                <c:ptCount val="4"/>
                <c:pt idx="0">
                  <c:v>125.59756428433398</c:v>
                </c:pt>
                <c:pt idx="1">
                  <c:v>98.05625594622849</c:v>
                </c:pt>
                <c:pt idx="2">
                  <c:v>86.136962440908079</c:v>
                </c:pt>
                <c:pt idx="3">
                  <c:v>72.036390049353869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D8-4149-A088-DA33DFC81370}"/>
            </c:ext>
          </c:extLst>
        </c:ser>
        <c:ser>
          <c:idx val="4"/>
          <c:order val="4"/>
          <c:tx>
            <c:strRef>
              <c:f>'CaHoREs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AME'!$H$17:$K$17</c:f>
              <c:numCache>
                <c:formatCode>#,##0</c:formatCode>
                <c:ptCount val="4"/>
                <c:pt idx="0">
                  <c:v>213.99844443112971</c:v>
                </c:pt>
                <c:pt idx="1">
                  <c:v>288.4087099110024</c:v>
                </c:pt>
                <c:pt idx="2">
                  <c:v>378.06855077986063</c:v>
                </c:pt>
                <c:pt idx="3">
                  <c:v>452.31176105738109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D8-4149-A088-DA33DFC81370}"/>
            </c:ext>
          </c:extLst>
        </c:ser>
        <c:ser>
          <c:idx val="5"/>
          <c:order val="5"/>
          <c:tx>
            <c:strRef>
              <c:f>'CaHoREs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AME'!$H$18:$K$18</c:f>
              <c:numCache>
                <c:formatCode>#,##0</c:formatCode>
                <c:ptCount val="4"/>
                <c:pt idx="0">
                  <c:v>1168.4294749555543</c:v>
                </c:pt>
                <c:pt idx="1">
                  <c:v>836.42399986477778</c:v>
                </c:pt>
                <c:pt idx="2">
                  <c:v>682.92741153911754</c:v>
                </c:pt>
                <c:pt idx="3">
                  <c:v>544.06695270796627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D8-4149-A088-DA33DFC81370}"/>
            </c:ext>
          </c:extLst>
        </c:ser>
        <c:ser>
          <c:idx val="6"/>
          <c:order val="6"/>
          <c:tx>
            <c:strRef>
              <c:f>'CaHoREs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AME'!$H$19:$K$19</c:f>
              <c:numCache>
                <c:formatCode>#,##0</c:formatCode>
                <c:ptCount val="4"/>
                <c:pt idx="0">
                  <c:v>330.973842841916</c:v>
                </c:pt>
                <c:pt idx="1">
                  <c:v>472.41984610914938</c:v>
                </c:pt>
                <c:pt idx="2">
                  <c:v>531.33972995010924</c:v>
                </c:pt>
                <c:pt idx="3">
                  <c:v>567.53440965474181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8-4149-A088-DA33DFC81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'CaHoREs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'CaHoREs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AME'!$H$8:$K$8</c:f>
              <c:numCache>
                <c:formatCode>#,##0</c:formatCode>
                <c:ptCount val="4"/>
                <c:pt idx="0">
                  <c:v>0</c:v>
                </c:pt>
                <c:pt idx="1">
                  <c:v>4554.2951187047984</c:v>
                </c:pt>
                <c:pt idx="2">
                  <c:v>3048.0726788650627</c:v>
                </c:pt>
                <c:pt idx="3">
                  <c:v>2041.8509200297726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F-4EB1-A3B3-00755418A127}"/>
            </c:ext>
          </c:extLst>
        </c:ser>
        <c:ser>
          <c:idx val="1"/>
          <c:order val="1"/>
          <c:tx>
            <c:strRef>
              <c:f>'CaHoREs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'CaHoREs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AME'!$H$9:$K$9</c:f>
              <c:numCache>
                <c:formatCode>#,##0</c:formatCode>
                <c:ptCount val="4"/>
                <c:pt idx="0">
                  <c:v>67243.869415029592</c:v>
                </c:pt>
                <c:pt idx="1">
                  <c:v>65307.245975876736</c:v>
                </c:pt>
                <c:pt idx="2">
                  <c:v>67849.528711057588</c:v>
                </c:pt>
                <c:pt idx="3">
                  <c:v>68171.331097608199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F-4EB1-A3B3-00755418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AME'!$H$111:$K$111</c:f>
              <c:numCache>
                <c:formatCode>_-* #\ ##0_-;\-* #\ ##0_-;_-* "-"??_-;_-@_-</c:formatCode>
                <c:ptCount val="4"/>
                <c:pt idx="0" formatCode="0">
                  <c:v>314.80636277551451</c:v>
                </c:pt>
                <c:pt idx="1">
                  <c:v>178.11220672963955</c:v>
                </c:pt>
                <c:pt idx="2">
                  <c:v>131.75381496573479</c:v>
                </c:pt>
                <c:pt idx="3">
                  <c:v>87.117955791394436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0-4E4F-8EDB-9D55E2ACE3DC}"/>
            </c:ext>
          </c:extLst>
        </c:ser>
        <c:ser>
          <c:idx val="1"/>
          <c:order val="1"/>
          <c:tx>
            <c:strRef>
              <c:f>'CaHoREs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AME'!$H$112:$K$112</c:f>
              <c:numCache>
                <c:formatCode>_-* #\ ##0_-;\-* #\ ##0_-;_-* "-"??_-;_-@_-</c:formatCode>
                <c:ptCount val="4"/>
                <c:pt idx="0" formatCode="0">
                  <c:v>1009.102446861019</c:v>
                </c:pt>
                <c:pt idx="1">
                  <c:v>642.09320287473929</c:v>
                </c:pt>
                <c:pt idx="2">
                  <c:v>553.92943722827397</c:v>
                </c:pt>
                <c:pt idx="3">
                  <c:v>453.28188768052894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0-4E4F-8EDB-9D55E2ACE3DC}"/>
            </c:ext>
          </c:extLst>
        </c:ser>
        <c:ser>
          <c:idx val="2"/>
          <c:order val="2"/>
          <c:tx>
            <c:strRef>
              <c:f>'CaHoREs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AME'!$H$113:$K$113</c:f>
              <c:numCache>
                <c:formatCode>_-* #\ ##0_-;\-* #\ ##0_-;_-* "-"??_-;_-@_-</c:formatCode>
                <c:ptCount val="4"/>
                <c:pt idx="0" formatCode="0">
                  <c:v>171.21084633940347</c:v>
                </c:pt>
                <c:pt idx="1">
                  <c:v>176.1240921025007</c:v>
                </c:pt>
                <c:pt idx="2">
                  <c:v>162.85394940044964</c:v>
                </c:pt>
                <c:pt idx="3">
                  <c:v>129.21829854880872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80-4E4F-8EDB-9D55E2ACE3DC}"/>
            </c:ext>
          </c:extLst>
        </c:ser>
        <c:ser>
          <c:idx val="3"/>
          <c:order val="3"/>
          <c:tx>
            <c:strRef>
              <c:f>'CaHoREs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AME'!$H$114:$K$114</c:f>
              <c:numCache>
                <c:formatCode>_-* #\ ##0_-;\-* #\ ##0_-;_-* "-"??_-;_-@_-</c:formatCode>
                <c:ptCount val="4"/>
                <c:pt idx="0" formatCode="0">
                  <c:v>34.47653139604968</c:v>
                </c:pt>
                <c:pt idx="1">
                  <c:v>21.178212469711841</c:v>
                </c:pt>
                <c:pt idx="2">
                  <c:v>17.521212193706674</c:v>
                </c:pt>
                <c:pt idx="3">
                  <c:v>13.629806823474727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80-4E4F-8EDB-9D55E2ACE3DC}"/>
            </c:ext>
          </c:extLst>
        </c:ser>
        <c:ser>
          <c:idx val="4"/>
          <c:order val="4"/>
          <c:tx>
            <c:strRef>
              <c:f>'CaHoREs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AME'!$H$115:$K$115</c:f>
              <c:numCache>
                <c:formatCode>_-* #\ ##0_-;\-* #\ ##0_-;_-* "-"??_-;_-@_-</c:formatCode>
                <c:ptCount val="4"/>
                <c:pt idx="0" formatCode="0">
                  <c:v>58.74257299634511</c:v>
                </c:pt>
                <c:pt idx="1">
                  <c:v>41.359822021255546</c:v>
                </c:pt>
                <c:pt idx="2">
                  <c:v>39.609390131324815</c:v>
                </c:pt>
                <c:pt idx="3">
                  <c:v>36.12473135160316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80-4E4F-8EDB-9D55E2ACE3DC}"/>
            </c:ext>
          </c:extLst>
        </c:ser>
        <c:ser>
          <c:idx val="5"/>
          <c:order val="5"/>
          <c:tx>
            <c:strRef>
              <c:f>'CaHoREs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AME'!$H$116:$K$116</c:f>
              <c:numCache>
                <c:formatCode>_-* #\ ##0_-;\-* #\ ##0_-;_-* "-"??_-;_-@_-</c:formatCode>
                <c:ptCount val="4"/>
                <c:pt idx="0" formatCode="0">
                  <c:v>320.73389087529961</c:v>
                </c:pt>
                <c:pt idx="1">
                  <c:v>186.47877385440447</c:v>
                </c:pt>
                <c:pt idx="2">
                  <c:v>150.17962067271253</c:v>
                </c:pt>
                <c:pt idx="3">
                  <c:v>112.78680352482503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80-4E4F-8EDB-9D55E2ACE3DC}"/>
            </c:ext>
          </c:extLst>
        </c:ser>
        <c:ser>
          <c:idx val="6"/>
          <c:order val="6"/>
          <c:tx>
            <c:strRef>
              <c:f>'CaHoREs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AME'!$H$117:$K$117</c:f>
              <c:numCache>
                <c:formatCode>_-* #\ ##0_-;\-* #\ ##0_-;_-* "-"??_-;_-@_-</c:formatCode>
                <c:ptCount val="4"/>
                <c:pt idx="0" formatCode="0">
                  <c:v>90.852319860105936</c:v>
                </c:pt>
                <c:pt idx="1">
                  <c:v>92.236678432439561</c:v>
                </c:pt>
                <c:pt idx="2">
                  <c:v>127.9306015121435</c:v>
                </c:pt>
                <c:pt idx="3">
                  <c:v>150.3821855066069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80-4E4F-8EDB-9D55E2ACE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AME'!$H$122:$K$122</c:f>
              <c:numCache>
                <c:formatCode>_-* #\ ##0_-;\-* #\ ##0_-;_-* "-"??_-;_-@_-</c:formatCode>
                <c:ptCount val="4"/>
                <c:pt idx="0">
                  <c:v>832.02920289120505</c:v>
                </c:pt>
                <c:pt idx="1">
                  <c:v>657.06398291720029</c:v>
                </c:pt>
                <c:pt idx="2">
                  <c:v>543.7492906038002</c:v>
                </c:pt>
                <c:pt idx="3">
                  <c:v>423.08220734956893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1-449A-AE71-D55159A355BC}"/>
            </c:ext>
          </c:extLst>
        </c:ser>
        <c:ser>
          <c:idx val="1"/>
          <c:order val="1"/>
          <c:tx>
            <c:strRef>
              <c:f>'CaHoREs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AME'!$H$123:$K$123</c:f>
              <c:numCache>
                <c:formatCode>_-* #\ ##0_-;\-* #\ ##0_-;_-* "-"??_-;_-@_-</c:formatCode>
                <c:ptCount val="4"/>
                <c:pt idx="0">
                  <c:v>2667.0449005379573</c:v>
                </c:pt>
                <c:pt idx="1">
                  <c:v>2373.4332359479017</c:v>
                </c:pt>
                <c:pt idx="2">
                  <c:v>2258.0540673536839</c:v>
                </c:pt>
                <c:pt idx="3">
                  <c:v>2076.2577781776336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1-449A-AE71-D55159A355BC}"/>
            </c:ext>
          </c:extLst>
        </c:ser>
        <c:ser>
          <c:idx val="2"/>
          <c:order val="2"/>
          <c:tx>
            <c:strRef>
              <c:f>'CaHoREs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AME'!$H$124:$K$124</c:f>
              <c:numCache>
                <c:formatCode>_-* #\ ##0_-;\-* #\ ##0_-;_-* "-"??_-;_-@_-</c:formatCode>
                <c:ptCount val="4"/>
                <c:pt idx="0">
                  <c:v>452.50808385878764</c:v>
                </c:pt>
                <c:pt idx="1">
                  <c:v>511.47189610199632</c:v>
                </c:pt>
                <c:pt idx="2">
                  <c:v>573.98490559692755</c:v>
                </c:pt>
                <c:pt idx="3">
                  <c:v>492.20225161218104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1-449A-AE71-D55159A355BC}"/>
            </c:ext>
          </c:extLst>
        </c:ser>
        <c:ser>
          <c:idx val="3"/>
          <c:order val="3"/>
          <c:tx>
            <c:strRef>
              <c:f>'CaHoREs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AME'!$H$125:$K$125</c:f>
              <c:numCache>
                <c:formatCode>_-* #\ ##0_-;\-* #\ ##0_-;_-* "-"??_-;_-@_-</c:formatCode>
                <c:ptCount val="4"/>
                <c:pt idx="0">
                  <c:v>91.121032888284304</c:v>
                </c:pt>
                <c:pt idx="1">
                  <c:v>76.878043476516652</c:v>
                </c:pt>
                <c:pt idx="2">
                  <c:v>68.615750247201404</c:v>
                </c:pt>
                <c:pt idx="3">
                  <c:v>58.406583225879139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11-449A-AE71-D55159A355BC}"/>
            </c:ext>
          </c:extLst>
        </c:ser>
        <c:ser>
          <c:idx val="4"/>
          <c:order val="4"/>
          <c:tx>
            <c:strRef>
              <c:f>'CaHoREs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AME'!$H$126:$K$126</c:f>
              <c:numCache>
                <c:formatCode>_-* #\ ##0_-;\-* #\ ##0_-;_-* "-"??_-;_-@_-</c:formatCode>
                <c:ptCount val="4"/>
                <c:pt idx="0">
                  <c:v>155.25587143478461</c:v>
                </c:pt>
                <c:pt idx="1">
                  <c:v>239.50643953325996</c:v>
                </c:pt>
                <c:pt idx="2">
                  <c:v>333.41119380230816</c:v>
                </c:pt>
                <c:pt idx="3">
                  <c:v>412.80548443596905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11-449A-AE71-D55159A355BC}"/>
            </c:ext>
          </c:extLst>
        </c:ser>
        <c:ser>
          <c:idx val="5"/>
          <c:order val="5"/>
          <c:tx>
            <c:strRef>
              <c:f>'CaHoREs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AME'!$H$127:$K$127</c:f>
              <c:numCache>
                <c:formatCode>_-* #\ ##0_-;\-* #\ ##0_-;_-* "-"??_-;_-@_-</c:formatCode>
                <c:ptCount val="4"/>
                <c:pt idx="0">
                  <c:v>847.69558408025466</c:v>
                </c:pt>
                <c:pt idx="1">
                  <c:v>640.39245407640112</c:v>
                </c:pt>
                <c:pt idx="2">
                  <c:v>526.35436611450825</c:v>
                </c:pt>
                <c:pt idx="3">
                  <c:v>426.99730504286885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11-449A-AE71-D55159A355BC}"/>
            </c:ext>
          </c:extLst>
        </c:ser>
        <c:ser>
          <c:idx val="6"/>
          <c:order val="6"/>
          <c:tx>
            <c:strRef>
              <c:f>'CaHoREs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AME'!$H$128:$K$128</c:f>
              <c:numCache>
                <c:formatCode>_-* #\ ##0_-;\-* #\ ##0_-;_-* "-"??_-;_-@_-</c:formatCode>
                <c:ptCount val="4"/>
                <c:pt idx="0">
                  <c:v>240.12152298181007</c:v>
                </c:pt>
                <c:pt idx="1">
                  <c:v>286.39731896111186</c:v>
                </c:pt>
                <c:pt idx="2">
                  <c:v>340.64067016214727</c:v>
                </c:pt>
                <c:pt idx="3">
                  <c:v>375.10472470102462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11-449A-AE71-D55159A35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'Commerce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'Commerce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AME'!$H$8:$K$8</c:f>
              <c:numCache>
                <c:formatCode>#,##0</c:formatCode>
                <c:ptCount val="4"/>
                <c:pt idx="0">
                  <c:v>0</c:v>
                </c:pt>
                <c:pt idx="1">
                  <c:v>13164.331097787628</c:v>
                </c:pt>
                <c:pt idx="2">
                  <c:v>8969.5375212372728</c:v>
                </c:pt>
                <c:pt idx="3">
                  <c:v>8772.0507016362499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4C5A-A908-E86654FB7120}"/>
            </c:ext>
          </c:extLst>
        </c:ser>
        <c:ser>
          <c:idx val="1"/>
          <c:order val="1"/>
          <c:tx>
            <c:strRef>
              <c:f>'Commerce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'Commerce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AME'!$H$9:$K$9</c:f>
              <c:numCache>
                <c:formatCode>#,##0</c:formatCode>
                <c:ptCount val="4"/>
                <c:pt idx="0">
                  <c:v>184229.64520786435</c:v>
                </c:pt>
                <c:pt idx="1">
                  <c:v>175681.38967021945</c:v>
                </c:pt>
                <c:pt idx="2">
                  <c:v>180083.27932437154</c:v>
                </c:pt>
                <c:pt idx="3">
                  <c:v>175887.23385249983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3-4C5A-A908-E86654FB7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'Commerce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AME'!$H$122:$K$122</c:f>
              <c:numCache>
                <c:formatCode>_-* #\ ##0_-;\-* #\ ##0_-;_-* "-"??_-;_-@_-</c:formatCode>
                <c:ptCount val="4"/>
                <c:pt idx="0">
                  <c:v>2288.258059973457</c:v>
                </c:pt>
                <c:pt idx="1">
                  <c:v>1792.686520602502</c:v>
                </c:pt>
                <c:pt idx="2">
                  <c:v>1483.7146524684881</c:v>
                </c:pt>
                <c:pt idx="3">
                  <c:v>1143.4056229693388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2-4400-B605-5F1370D79AB9}"/>
            </c:ext>
          </c:extLst>
        </c:ser>
        <c:ser>
          <c:idx val="1"/>
          <c:order val="1"/>
          <c:tx>
            <c:strRef>
              <c:f>'Commerce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AME'!$H$123:$K$123</c:f>
              <c:numCache>
                <c:formatCode>_-* #\ ##0_-;\-* #\ ##0_-;_-* "-"??_-;_-@_-</c:formatCode>
                <c:ptCount val="4"/>
                <c:pt idx="0">
                  <c:v>5243.9285439350142</c:v>
                </c:pt>
                <c:pt idx="1">
                  <c:v>4603.8803816907939</c:v>
                </c:pt>
                <c:pt idx="2">
                  <c:v>4343.1090506827395</c:v>
                </c:pt>
                <c:pt idx="3">
                  <c:v>3902.2197806176841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2-4400-B605-5F1370D79AB9}"/>
            </c:ext>
          </c:extLst>
        </c:ser>
        <c:ser>
          <c:idx val="2"/>
          <c:order val="2"/>
          <c:tx>
            <c:strRef>
              <c:f>'Commerce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AME'!$H$124:$K$124</c:f>
              <c:numCache>
                <c:formatCode>_-* #\ ##0_-;\-* #\ ##0_-;_-* "-"??_-;_-@_-</c:formatCode>
                <c:ptCount val="4"/>
                <c:pt idx="0">
                  <c:v>261.92781473975936</c:v>
                </c:pt>
                <c:pt idx="1">
                  <c:v>216.98158458567431</c:v>
                </c:pt>
                <c:pt idx="2">
                  <c:v>191.07617440592387</c:v>
                </c:pt>
                <c:pt idx="3">
                  <c:v>158.10678648593878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52-4400-B605-5F1370D79AB9}"/>
            </c:ext>
          </c:extLst>
        </c:ser>
        <c:ser>
          <c:idx val="3"/>
          <c:order val="3"/>
          <c:tx>
            <c:strRef>
              <c:f>'Commerce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AME'!$H$125:$K$125</c:f>
              <c:numCache>
                <c:formatCode>_-* #\ ##0_-;\-* #\ ##0_-;_-* "-"??_-;_-@_-</c:formatCode>
                <c:ptCount val="4"/>
                <c:pt idx="0">
                  <c:v>106.11706167375748</c:v>
                </c:pt>
                <c:pt idx="1">
                  <c:v>100.75959979781933</c:v>
                </c:pt>
                <c:pt idx="2">
                  <c:v>102.71047580767323</c:v>
                </c:pt>
                <c:pt idx="3">
                  <c:v>99.641357214445691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52-4400-B605-5F1370D79AB9}"/>
            </c:ext>
          </c:extLst>
        </c:ser>
        <c:ser>
          <c:idx val="4"/>
          <c:order val="4"/>
          <c:tx>
            <c:strRef>
              <c:f>'Commerce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AME'!$H$126:$K$126</c:f>
              <c:numCache>
                <c:formatCode>_-* #\ ##0_-;\-* #\ ##0_-;_-* "-"??_-;_-@_-</c:formatCode>
                <c:ptCount val="4"/>
                <c:pt idx="0">
                  <c:v>94.856996702839112</c:v>
                </c:pt>
                <c:pt idx="1">
                  <c:v>78.57974714930431</c:v>
                </c:pt>
                <c:pt idx="2">
                  <c:v>69.198118816140209</c:v>
                </c:pt>
                <c:pt idx="3">
                  <c:v>57.25827529731469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52-4400-B605-5F1370D79AB9}"/>
            </c:ext>
          </c:extLst>
        </c:ser>
        <c:ser>
          <c:idx val="5"/>
          <c:order val="5"/>
          <c:tx>
            <c:strRef>
              <c:f>'Commerce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AME'!$H$127:$K$127</c:f>
              <c:numCache>
                <c:formatCode>_-* #\ ##0_-;\-* #\ ##0_-;_-* "-"??_-;_-@_-</c:formatCode>
                <c:ptCount val="4"/>
                <c:pt idx="0">
                  <c:v>1770.7177080260321</c:v>
                </c:pt>
                <c:pt idx="1">
                  <c:v>1276.1897823937206</c:v>
                </c:pt>
                <c:pt idx="2">
                  <c:v>948.4187654890668</c:v>
                </c:pt>
                <c:pt idx="3">
                  <c:v>628.63659445504697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52-4400-B605-5F1370D79AB9}"/>
            </c:ext>
          </c:extLst>
        </c:ser>
        <c:ser>
          <c:idx val="6"/>
          <c:order val="6"/>
          <c:tx>
            <c:strRef>
              <c:f>'Commerce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'Commerce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AME'!$H$128:$K$128</c:f>
              <c:numCache>
                <c:formatCode>_-* #\ ##0_-;\-* #\ ##0_-;_-* "-"??_-;_-@_-</c:formatCode>
                <c:ptCount val="4"/>
                <c:pt idx="0">
                  <c:v>548.46921217911063</c:v>
                </c:pt>
                <c:pt idx="1">
                  <c:v>892.56681066229612</c:v>
                </c:pt>
                <c:pt idx="2">
                  <c:v>1219.7829464110644</c:v>
                </c:pt>
                <c:pt idx="3">
                  <c:v>1427.0126642188452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52-4400-B605-5F1370D7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AME'!$H$13:$K$13</c:f>
              <c:numCache>
                <c:formatCode>#,##0</c:formatCode>
                <c:ptCount val="4"/>
                <c:pt idx="0">
                  <c:v>3584.8950181469531</c:v>
                </c:pt>
                <c:pt idx="1">
                  <c:v>2621.0024511193214</c:v>
                </c:pt>
                <c:pt idx="2">
                  <c:v>2142.0010754873538</c:v>
                </c:pt>
                <c:pt idx="3">
                  <c:v>1647.060983091475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4-4CF8-AFDE-73568AC42734}"/>
            </c:ext>
          </c:extLst>
        </c:ser>
        <c:ser>
          <c:idx val="1"/>
          <c:order val="1"/>
          <c:tx>
            <c:strRef>
              <c:f>'Enseignement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AME'!$H$14:$K$14</c:f>
              <c:numCache>
                <c:formatCode>#,##0</c:formatCode>
                <c:ptCount val="4"/>
                <c:pt idx="0">
                  <c:v>8977.6735587367912</c:v>
                </c:pt>
                <c:pt idx="1">
                  <c:v>7154.8500271063485</c:v>
                </c:pt>
                <c:pt idx="2">
                  <c:v>6440.7192842036065</c:v>
                </c:pt>
                <c:pt idx="3">
                  <c:v>5525.3840456897397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C4-4CF8-AFDE-73568AC42734}"/>
            </c:ext>
          </c:extLst>
        </c:ser>
        <c:ser>
          <c:idx val="2"/>
          <c:order val="2"/>
          <c:tx>
            <c:strRef>
              <c:f>'Enseignement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AME'!$H$15:$K$15</c:f>
              <c:numCache>
                <c:formatCode>#,##0</c:formatCode>
                <c:ptCount val="4"/>
                <c:pt idx="0">
                  <c:v>1357.2566620782518</c:v>
                </c:pt>
                <c:pt idx="1">
                  <c:v>1185.3944053846992</c:v>
                </c:pt>
                <c:pt idx="2">
                  <c:v>1130.7378373976298</c:v>
                </c:pt>
                <c:pt idx="3">
                  <c:v>1028.2411657281039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C4-4CF8-AFDE-73568AC42734}"/>
            </c:ext>
          </c:extLst>
        </c:ser>
        <c:ser>
          <c:idx val="3"/>
          <c:order val="3"/>
          <c:tx>
            <c:strRef>
              <c:f>'Enseignement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AME'!$H$16:$K$16</c:f>
              <c:numCache>
                <c:formatCode>#,##0</c:formatCode>
                <c:ptCount val="4"/>
                <c:pt idx="0">
                  <c:v>214.36380852936156</c:v>
                </c:pt>
                <c:pt idx="1">
                  <c:v>162.61007072082072</c:v>
                </c:pt>
                <c:pt idx="2">
                  <c:v>138.44190193232413</c:v>
                </c:pt>
                <c:pt idx="3">
                  <c:v>111.46831169268646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C4-4CF8-AFDE-73568AC42734}"/>
            </c:ext>
          </c:extLst>
        </c:ser>
        <c:ser>
          <c:idx val="4"/>
          <c:order val="4"/>
          <c:tx>
            <c:strRef>
              <c:f>'Enseignement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AME'!$H$17:$K$17</c:f>
              <c:numCache>
                <c:formatCode>#,##0</c:formatCode>
                <c:ptCount val="4"/>
                <c:pt idx="0">
                  <c:v>141.75559832606967</c:v>
                </c:pt>
                <c:pt idx="1">
                  <c:v>123.32235997060111</c:v>
                </c:pt>
                <c:pt idx="2">
                  <c:v>117.67889624412855</c:v>
                </c:pt>
                <c:pt idx="3">
                  <c:v>107.92926434487674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C4-4CF8-AFDE-73568AC42734}"/>
            </c:ext>
          </c:extLst>
        </c:ser>
        <c:ser>
          <c:idx val="5"/>
          <c:order val="5"/>
          <c:tx>
            <c:strRef>
              <c:f>'Enseignement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AME'!$H$18:$K$18</c:f>
              <c:numCache>
                <c:formatCode>#,##0</c:formatCode>
                <c:ptCount val="4"/>
                <c:pt idx="0">
                  <c:v>751.98019755972314</c:v>
                </c:pt>
                <c:pt idx="1">
                  <c:v>499.37700624588848</c:v>
                </c:pt>
                <c:pt idx="2">
                  <c:v>357.7772061880828</c:v>
                </c:pt>
                <c:pt idx="3">
                  <c:v>232.48270311692912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C4-4CF8-AFDE-73568AC42734}"/>
            </c:ext>
          </c:extLst>
        </c:ser>
        <c:ser>
          <c:idx val="6"/>
          <c:order val="6"/>
          <c:tx>
            <c:strRef>
              <c:f>'Enseignement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AME'!$H$19:$K$19</c:f>
              <c:numCache>
                <c:formatCode>#,##0</c:formatCode>
                <c:ptCount val="4"/>
                <c:pt idx="0">
                  <c:v>116.24970775877307</c:v>
                </c:pt>
                <c:pt idx="1">
                  <c:v>522.61095410894018</c:v>
                </c:pt>
                <c:pt idx="2">
                  <c:v>682.65367746240827</c:v>
                </c:pt>
                <c:pt idx="3">
                  <c:v>809.31798126661795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C4-4CF8-AFDE-73568AC4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'Enseignement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'Enseignement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AME'!$H$8:$K$8</c:f>
              <c:numCache>
                <c:formatCode>#,##0</c:formatCode>
                <c:ptCount val="4"/>
                <c:pt idx="0">
                  <c:v>0</c:v>
                </c:pt>
                <c:pt idx="1">
                  <c:v>5840.7077315636325</c:v>
                </c:pt>
                <c:pt idx="2">
                  <c:v>3412.3997149425531</c:v>
                </c:pt>
                <c:pt idx="3">
                  <c:v>3380.7737398508161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D-4909-BEAE-6B72B0F921F6}"/>
            </c:ext>
          </c:extLst>
        </c:ser>
        <c:ser>
          <c:idx val="1"/>
          <c:order val="1"/>
          <c:tx>
            <c:strRef>
              <c:f>'Enseignement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'Enseignement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AME'!$H$9:$K$9</c:f>
              <c:numCache>
                <c:formatCode>#,##0</c:formatCode>
                <c:ptCount val="4"/>
                <c:pt idx="0">
                  <c:v>167106.71056882737</c:v>
                </c:pt>
                <c:pt idx="1">
                  <c:v>163744.17685661104</c:v>
                </c:pt>
                <c:pt idx="2">
                  <c:v>164600.77939206138</c:v>
                </c:pt>
                <c:pt idx="3">
                  <c:v>158963.23681763752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D-4909-BEAE-6B72B0F92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AME'!$H$111:$K$111</c:f>
              <c:numCache>
                <c:formatCode>_-* #\ ##0_-;\-* #\ ##0_-;_-* "-"??_-;_-@_-</c:formatCode>
                <c:ptCount val="4"/>
                <c:pt idx="0" formatCode="0">
                  <c:v>1637.5083463891651</c:v>
                </c:pt>
                <c:pt idx="1">
                  <c:v>999.88801430422291</c:v>
                </c:pt>
                <c:pt idx="2">
                  <c:v>769.7739047668847</c:v>
                </c:pt>
                <c:pt idx="3">
                  <c:v>543.10441797376097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6-4AB2-9DC1-1461592A7D6E}"/>
            </c:ext>
          </c:extLst>
        </c:ser>
        <c:ser>
          <c:idx val="1"/>
          <c:order val="1"/>
          <c:tx>
            <c:strRef>
              <c:f>'Enseignement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AME'!$H$112:$K$112</c:f>
              <c:numCache>
                <c:formatCode>_-* #\ ##0_-;\-* #\ ##0_-;_-* "-"??_-;_-@_-</c:formatCode>
                <c:ptCount val="4"/>
                <c:pt idx="0" formatCode="0">
                  <c:v>4100.8217281597917</c:v>
                </c:pt>
                <c:pt idx="1">
                  <c:v>2713.508319038503</c:v>
                </c:pt>
                <c:pt idx="2">
                  <c:v>2291.783580504718</c:v>
                </c:pt>
                <c:pt idx="3">
                  <c:v>1802.2310629454068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6-4AB2-9DC1-1461592A7D6E}"/>
            </c:ext>
          </c:extLst>
        </c:ser>
        <c:ser>
          <c:idx val="2"/>
          <c:order val="2"/>
          <c:tx>
            <c:strRef>
              <c:f>'Enseignement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AME'!$H$113:$K$113</c:f>
              <c:numCache>
                <c:formatCode>_-* #\ ##0_-;\-* #\ ##0_-;_-* "-"??_-;_-@_-</c:formatCode>
                <c:ptCount val="4"/>
                <c:pt idx="0" formatCode="0">
                  <c:v>619.96769810410376</c:v>
                </c:pt>
                <c:pt idx="1">
                  <c:v>502.03193122938018</c:v>
                </c:pt>
                <c:pt idx="2">
                  <c:v>479.83034468277998</c:v>
                </c:pt>
                <c:pt idx="3">
                  <c:v>423.83241556546193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6-4AB2-9DC1-1461592A7D6E}"/>
            </c:ext>
          </c:extLst>
        </c:ser>
        <c:ser>
          <c:idx val="3"/>
          <c:order val="3"/>
          <c:tx>
            <c:strRef>
              <c:f>'Enseignement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AME'!$H$114:$K$114</c:f>
              <c:numCache>
                <c:formatCode>_-* #\ ##0_-;\-* #\ ##0_-;_-* "-"??_-;_-@_-</c:formatCode>
                <c:ptCount val="4"/>
                <c:pt idx="0" formatCode="0">
                  <c:v>97.917100460041766</c:v>
                </c:pt>
                <c:pt idx="1">
                  <c:v>61.480586667560701</c:v>
                </c:pt>
                <c:pt idx="2">
                  <c:v>48.968085588624312</c:v>
                </c:pt>
                <c:pt idx="3">
                  <c:v>36.044444719941843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16-4AB2-9DC1-1461592A7D6E}"/>
            </c:ext>
          </c:extLst>
        </c:ser>
        <c:ser>
          <c:idx val="4"/>
          <c:order val="4"/>
          <c:tx>
            <c:strRef>
              <c:f>'Enseignement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AME'!$H$115:$K$115</c:f>
              <c:numCache>
                <c:formatCode>_-* #\ ##0_-;\-* #\ ##0_-;_-* "-"??_-;_-@_-</c:formatCode>
                <c:ptCount val="4"/>
                <c:pt idx="0" formatCode="0">
                  <c:v>64.751122203382096</c:v>
                </c:pt>
                <c:pt idx="1">
                  <c:v>45.675481205263956</c:v>
                </c:pt>
                <c:pt idx="2">
                  <c:v>41.104255027199372</c:v>
                </c:pt>
                <c:pt idx="3">
                  <c:v>34.42927973428759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16-4AB2-9DC1-1461592A7D6E}"/>
            </c:ext>
          </c:extLst>
        </c:ser>
        <c:ser>
          <c:idx val="5"/>
          <c:order val="5"/>
          <c:tx>
            <c:strRef>
              <c:f>'Enseignement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AME'!$H$116:$K$116</c:f>
              <c:numCache>
                <c:formatCode>_-* #\ ##0_-;\-* #\ ##0_-;_-* "-"??_-;_-@_-</c:formatCode>
                <c:ptCount val="4"/>
                <c:pt idx="0" formatCode="0">
                  <c:v>343.48951464133035</c:v>
                </c:pt>
                <c:pt idx="1">
                  <c:v>173.06979550900726</c:v>
                </c:pt>
                <c:pt idx="2">
                  <c:v>97.745848428113973</c:v>
                </c:pt>
                <c:pt idx="3">
                  <c:v>36.527850585308585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16-4AB2-9DC1-1461592A7D6E}"/>
            </c:ext>
          </c:extLst>
        </c:ser>
        <c:ser>
          <c:idx val="6"/>
          <c:order val="6"/>
          <c:tx>
            <c:strRef>
              <c:f>'Enseignement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AME'!$H$117:$K$117</c:f>
              <c:numCache>
                <c:formatCode>_-* #\ ##0_-;\-* #\ ##0_-;_-* "-"??_-;_-@_-</c:formatCode>
                <c:ptCount val="4"/>
                <c:pt idx="0" formatCode="0">
                  <c:v>53.100541510052359</c:v>
                </c:pt>
                <c:pt idx="1">
                  <c:v>172.26174880079324</c:v>
                </c:pt>
                <c:pt idx="2">
                  <c:v>267.96854896711068</c:v>
                </c:pt>
                <c:pt idx="3">
                  <c:v>312.75101473644975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16-4AB2-9DC1-1461592A7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AME'!$H$122:$K$122</c:f>
              <c:numCache>
                <c:formatCode>_-* #\ ##0_-;\-* #\ ##0_-;_-* "-"??_-;_-@_-</c:formatCode>
                <c:ptCount val="4"/>
                <c:pt idx="0">
                  <c:v>1947.386671757788</c:v>
                </c:pt>
                <c:pt idx="1">
                  <c:v>1621.1144368150983</c:v>
                </c:pt>
                <c:pt idx="2">
                  <c:v>1372.2271707204688</c:v>
                </c:pt>
                <c:pt idx="3">
                  <c:v>1103.956565117714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1-48FC-9D73-AF3D2C80CF1C}"/>
            </c:ext>
          </c:extLst>
        </c:ser>
        <c:ser>
          <c:idx val="1"/>
          <c:order val="1"/>
          <c:tx>
            <c:strRef>
              <c:f>'Enseignement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AME'!$H$123:$K$123</c:f>
              <c:numCache>
                <c:formatCode>_-* #\ ##0_-;\-* #\ ##0_-;_-* "-"??_-;_-@_-</c:formatCode>
                <c:ptCount val="4"/>
                <c:pt idx="0">
                  <c:v>4876.8518305770003</c:v>
                </c:pt>
                <c:pt idx="1">
                  <c:v>4441.3417080678455</c:v>
                </c:pt>
                <c:pt idx="2">
                  <c:v>4148.9357036988886</c:v>
                </c:pt>
                <c:pt idx="3">
                  <c:v>3723.1529827443333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1-48FC-9D73-AF3D2C80CF1C}"/>
            </c:ext>
          </c:extLst>
        </c:ser>
        <c:ser>
          <c:idx val="2"/>
          <c:order val="2"/>
          <c:tx>
            <c:strRef>
              <c:f>'Enseignement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AME'!$H$124:$K$124</c:f>
              <c:numCache>
                <c:formatCode>_-* #\ ##0_-;\-* #\ ##0_-;_-* "-"??_-;_-@_-</c:formatCode>
                <c:ptCount val="4"/>
                <c:pt idx="0">
                  <c:v>737.28896397414803</c:v>
                </c:pt>
                <c:pt idx="1">
                  <c:v>660.63429691085992</c:v>
                </c:pt>
                <c:pt idx="2">
                  <c:v>637.62868659842172</c:v>
                </c:pt>
                <c:pt idx="3">
                  <c:v>591.25301145524179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1-48FC-9D73-AF3D2C80CF1C}"/>
            </c:ext>
          </c:extLst>
        </c:ser>
        <c:ser>
          <c:idx val="3"/>
          <c:order val="3"/>
          <c:tx>
            <c:strRef>
              <c:f>'Enseignement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AME'!$H$125:$K$125</c:f>
              <c:numCache>
                <c:formatCode>_-* #\ ##0_-;\-* #\ ##0_-;_-* "-"??_-;_-@_-</c:formatCode>
                <c:ptCount val="4"/>
                <c:pt idx="0">
                  <c:v>116.44670806931978</c:v>
                </c:pt>
                <c:pt idx="1">
                  <c:v>101.12948405326001</c:v>
                </c:pt>
                <c:pt idx="2">
                  <c:v>89.473816343699809</c:v>
                </c:pt>
                <c:pt idx="3">
                  <c:v>75.423866972744619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1-48FC-9D73-AF3D2C80CF1C}"/>
            </c:ext>
          </c:extLst>
        </c:ser>
        <c:ser>
          <c:idx val="4"/>
          <c:order val="4"/>
          <c:tx>
            <c:strRef>
              <c:f>'Enseignement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AME'!$H$126:$K$126</c:f>
              <c:numCache>
                <c:formatCode>_-* #\ ##0_-;\-* #\ ##0_-;_-* "-"??_-;_-@_-</c:formatCode>
                <c:ptCount val="4"/>
                <c:pt idx="0">
                  <c:v>77.004476122687578</c:v>
                </c:pt>
                <c:pt idx="1">
                  <c:v>75.131648843063786</c:v>
                </c:pt>
                <c:pt idx="2">
                  <c:v>75.105132680592462</c:v>
                </c:pt>
                <c:pt idx="3">
                  <c:v>72.044095416723877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01-48FC-9D73-AF3D2C80CF1C}"/>
            </c:ext>
          </c:extLst>
        </c:ser>
        <c:ser>
          <c:idx val="5"/>
          <c:order val="5"/>
          <c:tx>
            <c:strRef>
              <c:f>'Enseignement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AME'!$H$127:$K$127</c:f>
              <c:numCache>
                <c:formatCode>_-* #\ ##0_-;\-* #\ ##0_-;_-* "-"??_-;_-@_-</c:formatCode>
                <c:ptCount val="4"/>
                <c:pt idx="0">
                  <c:v>408.49068291839279</c:v>
                </c:pt>
                <c:pt idx="1">
                  <c:v>323.18120428201644</c:v>
                </c:pt>
                <c:pt idx="2">
                  <c:v>258.20500656662921</c:v>
                </c:pt>
                <c:pt idx="3">
                  <c:v>194.14542788328569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01-48FC-9D73-AF3D2C80CF1C}"/>
            </c:ext>
          </c:extLst>
        </c:ser>
        <c:ser>
          <c:idx val="6"/>
          <c:order val="6"/>
          <c:tx>
            <c:strRef>
              <c:f>'Enseignement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AME'!$H$128:$K$128</c:f>
              <c:numCache>
                <c:formatCode>_-* #\ ##0_-;\-* #\ ##0_-;_-* "-"??_-;_-@_-</c:formatCode>
                <c:ptCount val="4"/>
                <c:pt idx="0">
                  <c:v>63.149166248720704</c:v>
                </c:pt>
                <c:pt idx="1">
                  <c:v>210.41288534310706</c:v>
                </c:pt>
                <c:pt idx="2">
                  <c:v>332.92814281730091</c:v>
                </c:pt>
                <c:pt idx="3">
                  <c:v>415.56770111023667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01-48FC-9D73-AF3D2C80C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AME'!$H$13:$K$13</c:f>
              <c:numCache>
                <c:formatCode>#,##0</c:formatCode>
                <c:ptCount val="4"/>
                <c:pt idx="0">
                  <c:v>3808.9479439951956</c:v>
                </c:pt>
                <c:pt idx="1">
                  <c:v>2725.8265290885493</c:v>
                </c:pt>
                <c:pt idx="2">
                  <c:v>2376.2739525720599</c:v>
                </c:pt>
                <c:pt idx="3">
                  <c:v>1962.3461824574588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C-4160-866C-B915522FFA8D}"/>
            </c:ext>
          </c:extLst>
        </c:ser>
        <c:ser>
          <c:idx val="1"/>
          <c:order val="1"/>
          <c:tx>
            <c:strRef>
              <c:f>'Santé social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AME'!$H$14:$K$14</c:f>
              <c:numCache>
                <c:formatCode>#,##0</c:formatCode>
                <c:ptCount val="4"/>
                <c:pt idx="0">
                  <c:v>10537.022711480739</c:v>
                </c:pt>
                <c:pt idx="1">
                  <c:v>8382.2347638621122</c:v>
                </c:pt>
                <c:pt idx="2">
                  <c:v>8265.1476192230875</c:v>
                </c:pt>
                <c:pt idx="3">
                  <c:v>7896.7378250085385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C-4160-866C-B915522FFA8D}"/>
            </c:ext>
          </c:extLst>
        </c:ser>
        <c:ser>
          <c:idx val="2"/>
          <c:order val="2"/>
          <c:tx>
            <c:strRef>
              <c:f>'Santé social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AME'!$H$15:$K$15</c:f>
              <c:numCache>
                <c:formatCode>#,##0</c:formatCode>
                <c:ptCount val="4"/>
                <c:pt idx="0">
                  <c:v>1744.7346539514629</c:v>
                </c:pt>
                <c:pt idx="1">
                  <c:v>1742.8526007433452</c:v>
                </c:pt>
                <c:pt idx="2">
                  <c:v>1671.0645808258273</c:v>
                </c:pt>
                <c:pt idx="3">
                  <c:v>1543.7965923160882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C-4160-866C-B915522FFA8D}"/>
            </c:ext>
          </c:extLst>
        </c:ser>
        <c:ser>
          <c:idx val="3"/>
          <c:order val="3"/>
          <c:tx>
            <c:strRef>
              <c:f>'Santé social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AME'!$H$16:$K$16</c:f>
              <c:numCache>
                <c:formatCode>#,##0</c:formatCode>
                <c:ptCount val="4"/>
                <c:pt idx="0">
                  <c:v>268.71711769333638</c:v>
                </c:pt>
                <c:pt idx="1">
                  <c:v>292.67647842688774</c:v>
                </c:pt>
                <c:pt idx="2">
                  <c:v>317.50398321815669</c:v>
                </c:pt>
                <c:pt idx="3">
                  <c:v>331.5677001491951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C-4160-866C-B915522FFA8D}"/>
            </c:ext>
          </c:extLst>
        </c:ser>
        <c:ser>
          <c:idx val="4"/>
          <c:order val="4"/>
          <c:tx>
            <c:strRef>
              <c:f>'Santé social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AME'!$H$17:$K$17</c:f>
              <c:numCache>
                <c:formatCode>#,##0</c:formatCode>
                <c:ptCount val="4"/>
                <c:pt idx="0">
                  <c:v>289.13034571123421</c:v>
                </c:pt>
                <c:pt idx="1">
                  <c:v>269.97939137994626</c:v>
                </c:pt>
                <c:pt idx="2">
                  <c:v>249.34782386825725</c:v>
                </c:pt>
                <c:pt idx="3">
                  <c:v>219.09565287121606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C-4160-866C-B915522FFA8D}"/>
            </c:ext>
          </c:extLst>
        </c:ser>
        <c:ser>
          <c:idx val="5"/>
          <c:order val="5"/>
          <c:tx>
            <c:strRef>
              <c:f>'Santé social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AME'!$H$18:$K$18</c:f>
              <c:numCache>
                <c:formatCode>#,##0</c:formatCode>
                <c:ptCount val="4"/>
                <c:pt idx="0">
                  <c:v>2089.6511999999998</c:v>
                </c:pt>
                <c:pt idx="1">
                  <c:v>1355.1751638488529</c:v>
                </c:pt>
                <c:pt idx="2">
                  <c:v>1093.9871174830644</c:v>
                </c:pt>
                <c:pt idx="3">
                  <c:v>658.23750170273513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C-4160-866C-B915522FFA8D}"/>
            </c:ext>
          </c:extLst>
        </c:ser>
        <c:ser>
          <c:idx val="6"/>
          <c:order val="6"/>
          <c:tx>
            <c:strRef>
              <c:f>'Santé social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AME'!$H$19:$K$19</c:f>
              <c:numCache>
                <c:formatCode>#,##0</c:formatCode>
                <c:ptCount val="4"/>
                <c:pt idx="0">
                  <c:v>258.00164643359227</c:v>
                </c:pt>
                <c:pt idx="1">
                  <c:v>988.70901222187274</c:v>
                </c:pt>
                <c:pt idx="2">
                  <c:v>1320.5307389863842</c:v>
                </c:pt>
                <c:pt idx="3">
                  <c:v>1671.38607316968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C-4160-866C-B915522FF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'Santé social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'Santé social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AME'!$H$8:$K$8</c:f>
              <c:numCache>
                <c:formatCode>#,##0</c:formatCode>
                <c:ptCount val="4"/>
                <c:pt idx="0">
                  <c:v>0</c:v>
                </c:pt>
                <c:pt idx="1">
                  <c:v>22460.450940435054</c:v>
                </c:pt>
                <c:pt idx="2">
                  <c:v>19028.37793854532</c:v>
                </c:pt>
                <c:pt idx="3">
                  <c:v>14323.902651057895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8-4399-B2A2-ED207CDE82A9}"/>
            </c:ext>
          </c:extLst>
        </c:ser>
        <c:ser>
          <c:idx val="1"/>
          <c:order val="1"/>
          <c:tx>
            <c:strRef>
              <c:f>'Santé social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'Santé social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AME'!$H$9:$K$9</c:f>
              <c:numCache>
                <c:formatCode>#,##0</c:formatCode>
                <c:ptCount val="4"/>
                <c:pt idx="0">
                  <c:v>179200</c:v>
                </c:pt>
                <c:pt idx="1">
                  <c:v>174566.14878613554</c:v>
                </c:pt>
                <c:pt idx="2">
                  <c:v>191931.77858646706</c:v>
                </c:pt>
                <c:pt idx="3">
                  <c:v>205505.0338833245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8-4399-B2A2-ED207CDE8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AME'!$H$111:$K$111</c:f>
              <c:numCache>
                <c:formatCode>_-* #\ ##0_-;\-* #\ ##0_-;_-* "-"??_-;_-@_-</c:formatCode>
                <c:ptCount val="4"/>
                <c:pt idx="0" formatCode="0">
                  <c:v>1719.8161756727109</c:v>
                </c:pt>
                <c:pt idx="1">
                  <c:v>1026.1296317491626</c:v>
                </c:pt>
                <c:pt idx="2">
                  <c:v>835.30849021725066</c:v>
                </c:pt>
                <c:pt idx="3">
                  <c:v>623.77032678364196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B-486A-8A9D-FD69ACC63A81}"/>
            </c:ext>
          </c:extLst>
        </c:ser>
        <c:ser>
          <c:idx val="1"/>
          <c:order val="1"/>
          <c:tx>
            <c:strRef>
              <c:f>'Santé social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AME'!$H$112:$K$112</c:f>
              <c:numCache>
                <c:formatCode>_-* #\ ##0_-;\-* #\ ##0_-;_-* "-"??_-;_-@_-</c:formatCode>
                <c:ptCount val="4"/>
                <c:pt idx="0" formatCode="0">
                  <c:v>4757.6764946877838</c:v>
                </c:pt>
                <c:pt idx="1">
                  <c:v>3152.7053392061766</c:v>
                </c:pt>
                <c:pt idx="2">
                  <c:v>2924.9168141595892</c:v>
                </c:pt>
                <c:pt idx="3">
                  <c:v>2586.7476672559937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B-486A-8A9D-FD69ACC63A81}"/>
            </c:ext>
          </c:extLst>
        </c:ser>
        <c:ser>
          <c:idx val="2"/>
          <c:order val="2"/>
          <c:tx>
            <c:strRef>
              <c:f>'Santé social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AME'!$H$113:$K$113</c:f>
              <c:numCache>
                <c:formatCode>_-* #\ ##0_-;\-* #\ ##0_-;_-* "-"??_-;_-@_-</c:formatCode>
                <c:ptCount val="4"/>
                <c:pt idx="0" formatCode="0">
                  <c:v>787.78259095216447</c:v>
                </c:pt>
                <c:pt idx="1">
                  <c:v>638.08779194537738</c:v>
                </c:pt>
                <c:pt idx="2">
                  <c:v>561.53514796234003</c:v>
                </c:pt>
                <c:pt idx="3">
                  <c:v>466.61121654132785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BB-486A-8A9D-FD69ACC63A81}"/>
            </c:ext>
          </c:extLst>
        </c:ser>
        <c:ser>
          <c:idx val="3"/>
          <c:order val="3"/>
          <c:tx>
            <c:strRef>
              <c:f>'Santé social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AME'!$H$114:$K$114</c:f>
              <c:numCache>
                <c:formatCode>_-* #\ ##0_-;\-* #\ ##0_-;_-* "-"??_-;_-@_-</c:formatCode>
                <c:ptCount val="4"/>
                <c:pt idx="0" formatCode="0">
                  <c:v>121.33115298089527</c:v>
                </c:pt>
                <c:pt idx="1">
                  <c:v>93.9079419661891</c:v>
                </c:pt>
                <c:pt idx="2">
                  <c:v>101.00642685452262</c:v>
                </c:pt>
                <c:pt idx="3">
                  <c:v>103.0073751532147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BB-486A-8A9D-FD69ACC63A81}"/>
            </c:ext>
          </c:extLst>
        </c:ser>
        <c:ser>
          <c:idx val="4"/>
          <c:order val="4"/>
          <c:tx>
            <c:strRef>
              <c:f>'Santé social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AME'!$H$115:$K$115</c:f>
              <c:numCache>
                <c:formatCode>_-* #\ ##0_-;\-* #\ ##0_-;_-* "-"??_-;_-@_-</c:formatCode>
                <c:ptCount val="4"/>
                <c:pt idx="0" formatCode="0">
                  <c:v>130.54813369553648</c:v>
                </c:pt>
                <c:pt idx="1">
                  <c:v>83.942339511547161</c:v>
                </c:pt>
                <c:pt idx="2">
                  <c:v>75.239605212901779</c:v>
                </c:pt>
                <c:pt idx="3">
                  <c:v>63.941758310980532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BB-486A-8A9D-FD69ACC63A81}"/>
            </c:ext>
          </c:extLst>
        </c:ser>
        <c:ser>
          <c:idx val="5"/>
          <c:order val="5"/>
          <c:tx>
            <c:strRef>
              <c:f>'Santé social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AME'!$H$116:$K$116</c:f>
              <c:numCache>
                <c:formatCode>_-* #\ ##0_-;\-* #\ ##0_-;_-* "-"??_-;_-@_-</c:formatCode>
                <c:ptCount val="4"/>
                <c:pt idx="0" formatCode="0">
                  <c:v>943.51930982400006</c:v>
                </c:pt>
                <c:pt idx="1">
                  <c:v>505.56843160022657</c:v>
                </c:pt>
                <c:pt idx="2">
                  <c:v>494.34932801017032</c:v>
                </c:pt>
                <c:pt idx="3">
                  <c:v>319.93654969903895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BB-486A-8A9D-FD69ACC63A81}"/>
            </c:ext>
          </c:extLst>
        </c:ser>
        <c:ser>
          <c:idx val="6"/>
          <c:order val="6"/>
          <c:tx>
            <c:strRef>
              <c:f>'Santé social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AME'!$H$117:$K$117</c:f>
              <c:numCache>
                <c:formatCode>_-* #\ ##0_-;\-* #\ ##0_-;_-* "-"??_-;_-@_-</c:formatCode>
                <c:ptCount val="4"/>
                <c:pt idx="0" formatCode="0">
                  <c:v>116.4929033976956</c:v>
                </c:pt>
                <c:pt idx="1">
                  <c:v>253.58408806906942</c:v>
                </c:pt>
                <c:pt idx="2">
                  <c:v>396.73085800623812</c:v>
                </c:pt>
                <c:pt idx="3">
                  <c:v>602.67072854227627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BB-486A-8A9D-FD69ACC63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AME'!$H$122:$K$122</c:f>
              <c:numCache>
                <c:formatCode>_-* #\ ##0_-;\-* #\ ##0_-;_-* "-"??_-;_-@_-</c:formatCode>
                <c:ptCount val="4"/>
                <c:pt idx="0">
                  <c:v>2089.1317683224847</c:v>
                </c:pt>
                <c:pt idx="1">
                  <c:v>1699.6968973393869</c:v>
                </c:pt>
                <c:pt idx="2">
                  <c:v>1540.9654623548092</c:v>
                </c:pt>
                <c:pt idx="3">
                  <c:v>1338.5758556738167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C-4128-9C3A-2C321774B83A}"/>
            </c:ext>
          </c:extLst>
        </c:ser>
        <c:ser>
          <c:idx val="1"/>
          <c:order val="1"/>
          <c:tx>
            <c:strRef>
              <c:f>'Santé social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AME'!$H$123:$K$123</c:f>
              <c:numCache>
                <c:formatCode>_-* #\ ##0_-;\-* #\ ##0_-;_-* "-"??_-;_-@_-</c:formatCode>
                <c:ptCount val="4"/>
                <c:pt idx="0">
                  <c:v>5779.3462167929538</c:v>
                </c:pt>
                <c:pt idx="1">
                  <c:v>5229.5294246559361</c:v>
                </c:pt>
                <c:pt idx="2">
                  <c:v>5340.2308050634974</c:v>
                </c:pt>
                <c:pt idx="3">
                  <c:v>5309.9901577525443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5C-4128-9C3A-2C321774B83A}"/>
            </c:ext>
          </c:extLst>
        </c:ser>
        <c:ser>
          <c:idx val="2"/>
          <c:order val="2"/>
          <c:tx>
            <c:strRef>
              <c:f>'Santé social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AME'!$H$124:$K$124</c:f>
              <c:numCache>
                <c:formatCode>_-* #\ ##0_-;\-* #\ ##0_-;_-* "-"??_-;_-@_-</c:formatCode>
                <c:ptCount val="4"/>
                <c:pt idx="0">
                  <c:v>956.95206299929828</c:v>
                </c:pt>
                <c:pt idx="1">
                  <c:v>832.61542516076281</c:v>
                </c:pt>
                <c:pt idx="2">
                  <c:v>878.96588178766922</c:v>
                </c:pt>
                <c:pt idx="3">
                  <c:v>903.62513479372058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5C-4128-9C3A-2C321774B83A}"/>
            </c:ext>
          </c:extLst>
        </c:ser>
        <c:ser>
          <c:idx val="3"/>
          <c:order val="3"/>
          <c:tx>
            <c:strRef>
              <c:f>'Santé social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AME'!$H$125:$K$125</c:f>
              <c:numCache>
                <c:formatCode>_-* #\ ##0_-;\-* #\ ##0_-;_-* "-"??_-;_-@_-</c:formatCode>
                <c:ptCount val="4"/>
                <c:pt idx="0">
                  <c:v>147.38596471244114</c:v>
                </c:pt>
                <c:pt idx="1">
                  <c:v>153.17093120480058</c:v>
                </c:pt>
                <c:pt idx="2">
                  <c:v>177.8675008851032</c:v>
                </c:pt>
                <c:pt idx="3">
                  <c:v>199.48095964668443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5C-4128-9C3A-2C321774B83A}"/>
            </c:ext>
          </c:extLst>
        </c:ser>
        <c:ser>
          <c:idx val="4"/>
          <c:order val="4"/>
          <c:tx>
            <c:strRef>
              <c:f>'Santé social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AME'!$H$126:$K$126</c:f>
              <c:numCache>
                <c:formatCode>_-* #\ ##0_-;\-* #\ ##0_-;_-* "-"??_-;_-@_-</c:formatCode>
                <c:ptCount val="4"/>
                <c:pt idx="0">
                  <c:v>158.58221201569771</c:v>
                </c:pt>
                <c:pt idx="1">
                  <c:v>136.91628249208642</c:v>
                </c:pt>
                <c:pt idx="2">
                  <c:v>132.49335674526344</c:v>
                </c:pt>
                <c:pt idx="3">
                  <c:v>123.82767049833606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5C-4128-9C3A-2C321774B83A}"/>
            </c:ext>
          </c:extLst>
        </c:ser>
        <c:ser>
          <c:idx val="5"/>
          <c:order val="5"/>
          <c:tx>
            <c:strRef>
              <c:f>'Santé social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AME'!$H$127:$K$127</c:f>
              <c:numCache>
                <c:formatCode>_-* #\ ##0_-;\-* #\ ##0_-;_-* "-"??_-;_-@_-</c:formatCode>
                <c:ptCount val="4"/>
                <c:pt idx="0">
                  <c:v>1146.1318901759998</c:v>
                </c:pt>
                <c:pt idx="1">
                  <c:v>776.11285408971378</c:v>
                </c:pt>
                <c:pt idx="2">
                  <c:v>537.37415578691321</c:v>
                </c:pt>
                <c:pt idx="3">
                  <c:v>291.43104903564011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5C-4128-9C3A-2C321774B83A}"/>
            </c:ext>
          </c:extLst>
        </c:ser>
        <c:ser>
          <c:idx val="6"/>
          <c:order val="6"/>
          <c:tx>
            <c:strRef>
              <c:f>'Santé social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AME'!$H$128:$K$128</c:f>
              <c:numCache>
                <c:formatCode>_-* #\ ##0_-;\-* #\ ##0_-;_-* "-"??_-;_-@_-</c:formatCode>
                <c:ptCount val="4"/>
                <c:pt idx="0">
                  <c:v>141.50874303589669</c:v>
                </c:pt>
                <c:pt idx="1">
                  <c:v>370.42210367731343</c:v>
                </c:pt>
                <c:pt idx="2">
                  <c:v>614.82553662414421</c:v>
                </c:pt>
                <c:pt idx="3">
                  <c:v>836.13017922217273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5C-4128-9C3A-2C321774B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AME'!$H$13:$K$13</c:f>
              <c:numCache>
                <c:formatCode>#,##0</c:formatCode>
                <c:ptCount val="4"/>
                <c:pt idx="0">
                  <c:v>775.02856364516128</c:v>
                </c:pt>
                <c:pt idx="1">
                  <c:v>568.57449207522166</c:v>
                </c:pt>
                <c:pt idx="2">
                  <c:v>466.29985974803481</c:v>
                </c:pt>
                <c:pt idx="3">
                  <c:v>359.99718080947554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7-461A-BC31-05BE258E2DD8}"/>
            </c:ext>
          </c:extLst>
        </c:ser>
        <c:ser>
          <c:idx val="1"/>
          <c:order val="1"/>
          <c:tx>
            <c:strRef>
              <c:f>'Sport Loisir Culture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AME'!$H$14:$K$14</c:f>
              <c:numCache>
                <c:formatCode>#,##0</c:formatCode>
                <c:ptCount val="4"/>
                <c:pt idx="0">
                  <c:v>4659.8384813407274</c:v>
                </c:pt>
                <c:pt idx="1">
                  <c:v>3788.3253168365263</c:v>
                </c:pt>
                <c:pt idx="2">
                  <c:v>3531.851124992515</c:v>
                </c:pt>
                <c:pt idx="3">
                  <c:v>3158.5298013296733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7-461A-BC31-05BE258E2DD8}"/>
            </c:ext>
          </c:extLst>
        </c:ser>
        <c:ser>
          <c:idx val="2"/>
          <c:order val="2"/>
          <c:tx>
            <c:strRef>
              <c:f>'Sport Loisir Culture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AME'!$H$15:$K$15</c:f>
              <c:numCache>
                <c:formatCode>#,##0</c:formatCode>
                <c:ptCount val="4"/>
                <c:pt idx="0">
                  <c:v>196.33019618287977</c:v>
                </c:pt>
                <c:pt idx="1">
                  <c:v>198.0932523056151</c:v>
                </c:pt>
                <c:pt idx="2">
                  <c:v>183.63915546471179</c:v>
                </c:pt>
                <c:pt idx="3">
                  <c:v>164.28096893275773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7-461A-BC31-05BE258E2DD8}"/>
            </c:ext>
          </c:extLst>
        </c:ser>
        <c:ser>
          <c:idx val="3"/>
          <c:order val="3"/>
          <c:tx>
            <c:strRef>
              <c:f>'Sport Loisir Culture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AME'!$H$16:$K$16</c:f>
              <c:numCache>
                <c:formatCode>#,##0</c:formatCode>
                <c:ptCount val="4"/>
                <c:pt idx="0">
                  <c:v>23.048589382883492</c:v>
                </c:pt>
                <c:pt idx="1">
                  <c:v>25.232342169992879</c:v>
                </c:pt>
                <c:pt idx="2">
                  <c:v>30.330239222521811</c:v>
                </c:pt>
                <c:pt idx="3">
                  <c:v>34.061088258202346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B7-461A-BC31-05BE258E2DD8}"/>
            </c:ext>
          </c:extLst>
        </c:ser>
        <c:ser>
          <c:idx val="4"/>
          <c:order val="4"/>
          <c:tx>
            <c:strRef>
              <c:f>'Sport Loisir Culture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AME'!$H$17:$K$17</c:f>
              <c:numCache>
                <c:formatCode>#,##0</c:formatCode>
                <c:ptCount val="4"/>
                <c:pt idx="0">
                  <c:v>21.255363322958676</c:v>
                </c:pt>
                <c:pt idx="1">
                  <c:v>20.156361333424215</c:v>
                </c:pt>
                <c:pt idx="2">
                  <c:v>20.896886874626247</c:v>
                </c:pt>
                <c:pt idx="3">
                  <c:v>20.784611725283536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B7-461A-BC31-05BE258E2DD8}"/>
            </c:ext>
          </c:extLst>
        </c:ser>
        <c:ser>
          <c:idx val="5"/>
          <c:order val="5"/>
          <c:tx>
            <c:strRef>
              <c:f>'Sport Loisir Culture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AME'!$H$18:$K$18</c:f>
              <c:numCache>
                <c:formatCode>#,##0</c:formatCode>
                <c:ptCount val="4"/>
                <c:pt idx="0">
                  <c:v>922.21764323082652</c:v>
                </c:pt>
                <c:pt idx="1">
                  <c:v>677.383239048208</c:v>
                </c:pt>
                <c:pt idx="2">
                  <c:v>551.66469555367439</c:v>
                </c:pt>
                <c:pt idx="3">
                  <c:v>429.47513070410361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B7-461A-BC31-05BE258E2DD8}"/>
            </c:ext>
          </c:extLst>
        </c:ser>
        <c:ser>
          <c:idx val="6"/>
          <c:order val="6"/>
          <c:tx>
            <c:strRef>
              <c:f>'Sport Loisir Culture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AME'!$H$19:$K$19</c:f>
              <c:numCache>
                <c:formatCode>#,##0</c:formatCode>
                <c:ptCount val="4"/>
                <c:pt idx="0">
                  <c:v>164.33662746238309</c:v>
                </c:pt>
                <c:pt idx="1">
                  <c:v>300.02346734792968</c:v>
                </c:pt>
                <c:pt idx="2">
                  <c:v>365.47801757048944</c:v>
                </c:pt>
                <c:pt idx="3">
                  <c:v>404.74920430433269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B7-461A-BC31-05BE258E2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'Sport Loisir Culture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'Sport Loisir Culture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AME'!$H$8:$K$8</c:f>
              <c:numCache>
                <c:formatCode>#,##0</c:formatCode>
                <c:ptCount val="4"/>
                <c:pt idx="0">
                  <c:v>0</c:v>
                </c:pt>
                <c:pt idx="1">
                  <c:v>3336.8292087326572</c:v>
                </c:pt>
                <c:pt idx="2">
                  <c:v>2051.9847254707638</c:v>
                </c:pt>
                <c:pt idx="3">
                  <c:v>1198.8500763051807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B-4083-A332-87A50277A12D}"/>
            </c:ext>
          </c:extLst>
        </c:ser>
        <c:ser>
          <c:idx val="1"/>
          <c:order val="1"/>
          <c:tx>
            <c:strRef>
              <c:f>'Sport Loisir Culture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'Sport Loisir Culture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AME'!$H$9:$K$9</c:f>
              <c:numCache>
                <c:formatCode>#,##0</c:formatCode>
                <c:ptCount val="4"/>
                <c:pt idx="0">
                  <c:v>56508.434021496723</c:v>
                </c:pt>
                <c:pt idx="1">
                  <c:v>55371.36709117992</c:v>
                </c:pt>
                <c:pt idx="2">
                  <c:v>57526.865588716733</c:v>
                </c:pt>
                <c:pt idx="3">
                  <c:v>57804.847926181203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FB-4083-A332-87A50277A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AME'!$H$111:$K$111</c:f>
              <c:numCache>
                <c:formatCode>_-* #\ ##0_-;\-* #\ ##0_-;_-* "-"??_-;_-@_-</c:formatCode>
                <c:ptCount val="4"/>
                <c:pt idx="0" formatCode="0">
                  <c:v>299.28115499439724</c:v>
                </c:pt>
                <c:pt idx="1">
                  <c:v>177.11116731595527</c:v>
                </c:pt>
                <c:pt idx="2">
                  <c:v>132.91014245374728</c:v>
                </c:pt>
                <c:pt idx="3">
                  <c:v>88.305296686356897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7-4CF9-B9BC-B6A34F7C5DB7}"/>
            </c:ext>
          </c:extLst>
        </c:ser>
        <c:ser>
          <c:idx val="1"/>
          <c:order val="1"/>
          <c:tx>
            <c:strRef>
              <c:f>'Sport Loisir Culture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AME'!$H$112:$K$112</c:f>
              <c:numCache>
                <c:formatCode>_-* #\ ##0_-;\-* #\ ##0_-;_-* "-"??_-;_-@_-</c:formatCode>
                <c:ptCount val="4"/>
                <c:pt idx="0" formatCode="0">
                  <c:v>1799.4199287621288</c:v>
                </c:pt>
                <c:pt idx="1">
                  <c:v>1200.9100884687471</c:v>
                </c:pt>
                <c:pt idx="2">
                  <c:v>1051.0716994478732</c:v>
                </c:pt>
                <c:pt idx="3">
                  <c:v>858.75276502773045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7-4CF9-B9BC-B6A34F7C5DB7}"/>
            </c:ext>
          </c:extLst>
        </c:ser>
        <c:ser>
          <c:idx val="2"/>
          <c:order val="2"/>
          <c:tx>
            <c:strRef>
              <c:f>'Sport Loisir Culture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AME'!$H$113:$K$113</c:f>
              <c:numCache>
                <c:formatCode>_-* #\ ##0_-;\-* #\ ##0_-;_-* "-"??_-;_-@_-</c:formatCode>
                <c:ptCount val="4"/>
                <c:pt idx="0" formatCode="0">
                  <c:v>75.81388690699994</c:v>
                </c:pt>
                <c:pt idx="1">
                  <c:v>71.166428474261906</c:v>
                </c:pt>
                <c:pt idx="2">
                  <c:v>59.314379863561115</c:v>
                </c:pt>
                <c:pt idx="3">
                  <c:v>45.73318619842312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7-4CF9-B9BC-B6A34F7C5DB7}"/>
            </c:ext>
          </c:extLst>
        </c:ser>
        <c:ser>
          <c:idx val="3"/>
          <c:order val="3"/>
          <c:tx>
            <c:strRef>
              <c:f>'Sport Loisir Culture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AME'!$H$114:$K$114</c:f>
              <c:numCache>
                <c:formatCode>_-* #\ ##0_-;\-* #\ ##0_-;_-* "-"??_-;_-@_-</c:formatCode>
                <c:ptCount val="4"/>
                <c:pt idx="0" formatCode="0">
                  <c:v>8.9003280331473746</c:v>
                </c:pt>
                <c:pt idx="1">
                  <c:v>6.4981233642123408</c:v>
                </c:pt>
                <c:pt idx="2">
                  <c:v>6.2326140192234298</c:v>
                </c:pt>
                <c:pt idx="3">
                  <c:v>5.592647883261562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77-4CF9-B9BC-B6A34F7C5DB7}"/>
            </c:ext>
          </c:extLst>
        </c:ser>
        <c:ser>
          <c:idx val="4"/>
          <c:order val="4"/>
          <c:tx>
            <c:strRef>
              <c:f>'Sport Loisir Culture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AME'!$H$115:$K$115</c:f>
              <c:numCache>
                <c:formatCode>_-* #\ ##0_-;\-* #\ ##0_-;_-* "-"??_-;_-@_-</c:formatCode>
                <c:ptCount val="4"/>
                <c:pt idx="0" formatCode="0">
                  <c:v>8.2078648239771077</c:v>
                </c:pt>
                <c:pt idx="1">
                  <c:v>6.2600812939626014</c:v>
                </c:pt>
                <c:pt idx="2">
                  <c:v>6.243196008784099</c:v>
                </c:pt>
                <c:pt idx="3">
                  <c:v>5.8022198587314211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77-4CF9-B9BC-B6A34F7C5DB7}"/>
            </c:ext>
          </c:extLst>
        </c:ser>
        <c:ser>
          <c:idx val="5"/>
          <c:order val="5"/>
          <c:tx>
            <c:strRef>
              <c:f>'Sport Loisir Culture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AME'!$H$116:$K$116</c:f>
              <c:numCache>
                <c:formatCode>_-* #\ ##0_-;\-* #\ ##0_-;_-* "-"??_-;_-@_-</c:formatCode>
                <c:ptCount val="4"/>
                <c:pt idx="0" formatCode="0">
                  <c:v>356.11895402179982</c:v>
                </c:pt>
                <c:pt idx="1">
                  <c:v>216.30435371208492</c:v>
                </c:pt>
                <c:pt idx="2">
                  <c:v>182.10207286634065</c:v>
                </c:pt>
                <c:pt idx="3">
                  <c:v>150.05915009763632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77-4CF9-B9BC-B6A34F7C5DB7}"/>
            </c:ext>
          </c:extLst>
        </c:ser>
        <c:ser>
          <c:idx val="6"/>
          <c:order val="6"/>
          <c:tx>
            <c:strRef>
              <c:f>'Sport Loisir Culture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AME'!$H$117:$K$117</c:f>
              <c:numCache>
                <c:formatCode>_-* #\ ##0_-;\-* #\ ##0_-;_-* "-"??_-;_-@_-</c:formatCode>
                <c:ptCount val="4"/>
                <c:pt idx="0" formatCode="0">
                  <c:v>63.459410377736546</c:v>
                </c:pt>
                <c:pt idx="1">
                  <c:v>83.769317298800317</c:v>
                </c:pt>
                <c:pt idx="2">
                  <c:v>121.53570734161816</c:v>
                </c:pt>
                <c:pt idx="3">
                  <c:v>140.18774180827262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77-4CF9-B9BC-B6A34F7C5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AME'!$H$122:$K$122</c:f>
              <c:numCache>
                <c:formatCode>_-* #\ ##0_-;\-* #\ ##0_-;_-* "-"??_-;_-@_-</c:formatCode>
                <c:ptCount val="4"/>
                <c:pt idx="0">
                  <c:v>475.74740865076404</c:v>
                </c:pt>
                <c:pt idx="1">
                  <c:v>389.2632190068652</c:v>
                </c:pt>
                <c:pt idx="2">
                  <c:v>333.38971729428749</c:v>
                </c:pt>
                <c:pt idx="3">
                  <c:v>271.69188412311865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8-4A19-BDC3-9B519E283110}"/>
            </c:ext>
          </c:extLst>
        </c:ser>
        <c:ser>
          <c:idx val="1"/>
          <c:order val="1"/>
          <c:tx>
            <c:strRef>
              <c:f>'Sport Loisir Culture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AME'!$H$123:$K$123</c:f>
              <c:numCache>
                <c:formatCode>_-* #\ ##0_-;\-* #\ ##0_-;_-* "-"??_-;_-@_-</c:formatCode>
                <c:ptCount val="4"/>
                <c:pt idx="0">
                  <c:v>2860.4185525785988</c:v>
                </c:pt>
                <c:pt idx="1">
                  <c:v>2587.415228367779</c:v>
                </c:pt>
                <c:pt idx="2">
                  <c:v>2480.779425544642</c:v>
                </c:pt>
                <c:pt idx="3">
                  <c:v>2299.7770363019431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8-4A19-BDC3-9B519E283110}"/>
            </c:ext>
          </c:extLst>
        </c:ser>
        <c:ser>
          <c:idx val="2"/>
          <c:order val="2"/>
          <c:tx>
            <c:strRef>
              <c:f>'Sport Loisir Culture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AME'!$H$124:$K$124</c:f>
              <c:numCache>
                <c:formatCode>_-* #\ ##0_-;\-* #\ ##0_-;_-* "-"??_-;_-@_-</c:formatCode>
                <c:ptCount val="4"/>
                <c:pt idx="0">
                  <c:v>120.51630927587985</c:v>
                </c:pt>
                <c:pt idx="1">
                  <c:v>120.94480789930937</c:v>
                </c:pt>
                <c:pt idx="2">
                  <c:v>120.64613202899771</c:v>
                </c:pt>
                <c:pt idx="3">
                  <c:v>116.39857466644152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8-4A19-BDC3-9B519E283110}"/>
            </c:ext>
          </c:extLst>
        </c:ser>
        <c:ser>
          <c:idx val="3"/>
          <c:order val="3"/>
          <c:tx>
            <c:strRef>
              <c:f>'Sport Loisir Culture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AME'!$H$125:$K$125</c:f>
              <c:numCache>
                <c:formatCode>_-* #\ ##0_-;\-* #\ ##0_-;_-* "-"??_-;_-@_-</c:formatCode>
                <c:ptCount val="4"/>
                <c:pt idx="0">
                  <c:v>14.148261349736115</c:v>
                </c:pt>
                <c:pt idx="1">
                  <c:v>18.734218805780539</c:v>
                </c:pt>
                <c:pt idx="2">
                  <c:v>24.097625203298382</c:v>
                </c:pt>
                <c:pt idx="3">
                  <c:v>28.468440374940787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18-4A19-BDC3-9B519E283110}"/>
            </c:ext>
          </c:extLst>
        </c:ser>
        <c:ser>
          <c:idx val="4"/>
          <c:order val="4"/>
          <c:tx>
            <c:strRef>
              <c:f>'Sport Loisir Culture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AME'!$H$126:$K$126</c:f>
              <c:numCache>
                <c:formatCode>_-* #\ ##0_-;\-* #\ ##0_-;_-* "-"??_-;_-@_-</c:formatCode>
                <c:ptCount val="4"/>
                <c:pt idx="0">
                  <c:v>13.047498498981568</c:v>
                </c:pt>
                <c:pt idx="1">
                  <c:v>13.298481210950971</c:v>
                </c:pt>
                <c:pt idx="2">
                  <c:v>14.286074188968822</c:v>
                </c:pt>
                <c:pt idx="3">
                  <c:v>14.767615764347196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18-4A19-BDC3-9B519E283110}"/>
            </c:ext>
          </c:extLst>
        </c:ser>
        <c:ser>
          <c:idx val="5"/>
          <c:order val="5"/>
          <c:tx>
            <c:strRef>
              <c:f>'Sport Loisir Culture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AME'!$H$127:$K$127</c:f>
              <c:numCache>
                <c:formatCode>_-* #\ ##0_-;\-* #\ ##0_-;_-* "-"??_-;_-@_-</c:formatCode>
                <c:ptCount val="4"/>
                <c:pt idx="0">
                  <c:v>566.0986892090267</c:v>
                </c:pt>
                <c:pt idx="1">
                  <c:v>441.28785884979106</c:v>
                </c:pt>
                <c:pt idx="2">
                  <c:v>357.39212143870537</c:v>
                </c:pt>
                <c:pt idx="3">
                  <c:v>272.3054957332219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18-4A19-BDC3-9B519E283110}"/>
            </c:ext>
          </c:extLst>
        </c:ser>
        <c:ser>
          <c:idx val="6"/>
          <c:order val="6"/>
          <c:tx>
            <c:strRef>
              <c:f>'Sport Loisir Culture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AME'!$H$128:$K$128</c:f>
              <c:numCache>
                <c:formatCode>_-* #\ ##0_-;\-* #\ ##0_-;_-* "-"??_-;_-@_-</c:formatCode>
                <c:ptCount val="4"/>
                <c:pt idx="0">
                  <c:v>100.87721708464655</c:v>
                </c:pt>
                <c:pt idx="1">
                  <c:v>153.38474541135326</c:v>
                </c:pt>
                <c:pt idx="2">
                  <c:v>204.76525202615605</c:v>
                </c:pt>
                <c:pt idx="3">
                  <c:v>241.67268626261983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18-4A19-BDC3-9B519E28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AME'!$E$13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AME'!$H$13:$K$13</c:f>
              <c:numCache>
                <c:formatCode>#,##0</c:formatCode>
                <c:ptCount val="4"/>
                <c:pt idx="0">
                  <c:v>1184.8678605253267</c:v>
                </c:pt>
                <c:pt idx="1">
                  <c:v>869.56559609581188</c:v>
                </c:pt>
                <c:pt idx="2">
                  <c:v>745.39706248910841</c:v>
                </c:pt>
                <c:pt idx="3">
                  <c:v>606.19537127465651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D-48EF-823C-48F57DB871D7}"/>
            </c:ext>
          </c:extLst>
        </c:ser>
        <c:ser>
          <c:idx val="1"/>
          <c:order val="1"/>
          <c:tx>
            <c:strRef>
              <c:f>'Transport - AME'!$E$14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AME'!$H$14:$K$14</c:f>
              <c:numCache>
                <c:formatCode>#,##0</c:formatCode>
                <c:ptCount val="4"/>
                <c:pt idx="0">
                  <c:v>2573.6286999919075</c:v>
                </c:pt>
                <c:pt idx="1">
                  <c:v>2018.4325148574621</c:v>
                </c:pt>
                <c:pt idx="2">
                  <c:v>1867.099180897721</c:v>
                </c:pt>
                <c:pt idx="3">
                  <c:v>1658.1870679388794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D-48EF-823C-48F57DB871D7}"/>
            </c:ext>
          </c:extLst>
        </c:ser>
        <c:ser>
          <c:idx val="2"/>
          <c:order val="2"/>
          <c:tx>
            <c:strRef>
              <c:f>'Transport - AME'!$E$15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AME'!$H$15:$K$15</c:f>
              <c:numCache>
                <c:formatCode>#,##0</c:formatCode>
                <c:ptCount val="4"/>
                <c:pt idx="0">
                  <c:v>324.73142968208481</c:v>
                </c:pt>
                <c:pt idx="1">
                  <c:v>337.82086392474281</c:v>
                </c:pt>
                <c:pt idx="2">
                  <c:v>299.45708436039803</c:v>
                </c:pt>
                <c:pt idx="3">
                  <c:v>259.72403746490124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D-48EF-823C-48F57DB871D7}"/>
            </c:ext>
          </c:extLst>
        </c:ser>
        <c:ser>
          <c:idx val="3"/>
          <c:order val="3"/>
          <c:tx>
            <c:strRef>
              <c:f>'Transport - AME'!$E$16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AME'!$H$16:$K$16</c:f>
              <c:numCache>
                <c:formatCode>#,##0</c:formatCode>
                <c:ptCount val="4"/>
                <c:pt idx="0">
                  <c:v>87.743683724161968</c:v>
                </c:pt>
                <c:pt idx="1">
                  <c:v>76.551150368717714</c:v>
                </c:pt>
                <c:pt idx="2">
                  <c:v>78.589529784994056</c:v>
                </c:pt>
                <c:pt idx="3">
                  <c:v>77.264855347845526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5D-48EF-823C-48F57DB871D7}"/>
            </c:ext>
          </c:extLst>
        </c:ser>
        <c:ser>
          <c:idx val="4"/>
          <c:order val="4"/>
          <c:tx>
            <c:strRef>
              <c:f>'Transport - AME'!$E$17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AME'!$H$17:$K$17</c:f>
              <c:numCache>
                <c:formatCode>#,##0</c:formatCode>
                <c:ptCount val="4"/>
                <c:pt idx="0">
                  <c:v>74.66951741609185</c:v>
                </c:pt>
                <c:pt idx="1">
                  <c:v>59.782466396329269</c:v>
                </c:pt>
                <c:pt idx="2">
                  <c:v>51.130879556713985</c:v>
                </c:pt>
                <c:pt idx="3">
                  <c:v>41.658887814115026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5D-48EF-823C-48F57DB871D7}"/>
            </c:ext>
          </c:extLst>
        </c:ser>
        <c:ser>
          <c:idx val="5"/>
          <c:order val="5"/>
          <c:tx>
            <c:strRef>
              <c:f>'Transport - AME'!$E$18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AME'!$H$18:$K$18</c:f>
              <c:numCache>
                <c:formatCode>#,##0</c:formatCode>
                <c:ptCount val="4"/>
                <c:pt idx="0">
                  <c:v>601.96304228562485</c:v>
                </c:pt>
                <c:pt idx="1">
                  <c:v>439.96417648707074</c:v>
                </c:pt>
                <c:pt idx="2">
                  <c:v>381.02143888609356</c:v>
                </c:pt>
                <c:pt idx="3">
                  <c:v>302.88320874930008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D-48EF-823C-48F57DB871D7}"/>
            </c:ext>
          </c:extLst>
        </c:ser>
        <c:ser>
          <c:idx val="6"/>
          <c:order val="6"/>
          <c:tx>
            <c:strRef>
              <c:f>'Transport - AME'!$E$19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AME'!$H$19:$K$19</c:f>
              <c:numCache>
                <c:formatCode>#,##0</c:formatCode>
                <c:ptCount val="4"/>
                <c:pt idx="0">
                  <c:v>131.45762730537484</c:v>
                </c:pt>
                <c:pt idx="1">
                  <c:v>233.33035679121053</c:v>
                </c:pt>
                <c:pt idx="2">
                  <c:v>281.0272204675864</c:v>
                </c:pt>
                <c:pt idx="3">
                  <c:v>320.30157377091541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5D-48EF-823C-48F57DB87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'Transport - AME'!$E$8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'Transport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AME'!$H$8:$K$8</c:f>
              <c:numCache>
                <c:formatCode>#,##0</c:formatCode>
                <c:ptCount val="4"/>
                <c:pt idx="0">
                  <c:v>0</c:v>
                </c:pt>
                <c:pt idx="1">
                  <c:v>2714.940071976017</c:v>
                </c:pt>
                <c:pt idx="2">
                  <c:v>1773.7602281094607</c:v>
                </c:pt>
                <c:pt idx="3">
                  <c:v>1146.2522064996804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9-407B-BFA1-2F61F7DCE921}"/>
            </c:ext>
          </c:extLst>
        </c:ser>
        <c:ser>
          <c:idx val="1"/>
          <c:order val="1"/>
          <c:tx>
            <c:strRef>
              <c:f>'Transport - AME'!$E$9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'Transport - AME'!$H$6:$K$6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AME'!$H$9:$K$9</c:f>
              <c:numCache>
                <c:formatCode>#,##0</c:formatCode>
                <c:ptCount val="4"/>
                <c:pt idx="0">
                  <c:v>41814.604215450461</c:v>
                </c:pt>
                <c:pt idx="1">
                  <c:v>40727.42450584875</c:v>
                </c:pt>
                <c:pt idx="2">
                  <c:v>42312.863098801325</c:v>
                </c:pt>
                <c:pt idx="3">
                  <c:v>42514.775071010132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9-407B-BFA1-2F61F7DCE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AME'!$E$111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AME'!$H$111:$K$111</c:f>
              <c:numCache>
                <c:formatCode>_-* #\ ##0_-;\-* #\ ##0_-;_-* "-"??_-;_-@_-</c:formatCode>
                <c:ptCount val="4"/>
                <c:pt idx="0" formatCode="0">
                  <c:v>534.96783902718494</c:v>
                </c:pt>
                <c:pt idx="1">
                  <c:v>327.1535579110124</c:v>
                </c:pt>
                <c:pt idx="2">
                  <c:v>266.20391538381125</c:v>
                </c:pt>
                <c:pt idx="3">
                  <c:v>200.28040836004391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7-4483-8424-67C3F1C69540}"/>
            </c:ext>
          </c:extLst>
        </c:ser>
        <c:ser>
          <c:idx val="1"/>
          <c:order val="1"/>
          <c:tx>
            <c:strRef>
              <c:f>'Transport - AME'!$E$112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AME'!$H$112:$K$112</c:f>
              <c:numCache>
                <c:formatCode>_-* #\ ##0_-;\-* #\ ##0_-;_-* "-"??_-;_-@_-</c:formatCode>
                <c:ptCount val="4"/>
                <c:pt idx="0" formatCode="0">
                  <c:v>1161.9933580463464</c:v>
                </c:pt>
                <c:pt idx="1">
                  <c:v>748.38861366248921</c:v>
                </c:pt>
                <c:pt idx="2">
                  <c:v>648.60689348047708</c:v>
                </c:pt>
                <c:pt idx="3">
                  <c:v>527.90678272460104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7-4483-8424-67C3F1C69540}"/>
            </c:ext>
          </c:extLst>
        </c:ser>
        <c:ser>
          <c:idx val="2"/>
          <c:order val="2"/>
          <c:tx>
            <c:strRef>
              <c:f>'Transport - AME'!$E$113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AME'!$H$113:$K$113</c:f>
              <c:numCache>
                <c:formatCode>_-* #\ ##0_-;\-* #\ ##0_-;_-* "-"??_-;_-@_-</c:formatCode>
                <c:ptCount val="4"/>
                <c:pt idx="0" formatCode="0">
                  <c:v>146.61624050146131</c:v>
                </c:pt>
                <c:pt idx="1">
                  <c:v>146.61003450071456</c:v>
                </c:pt>
                <c:pt idx="2">
                  <c:v>121.38908140013773</c:v>
                </c:pt>
                <c:pt idx="3">
                  <c:v>93.435506237127385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7-4483-8424-67C3F1C69540}"/>
            </c:ext>
          </c:extLst>
        </c:ser>
        <c:ser>
          <c:idx val="3"/>
          <c:order val="3"/>
          <c:tx>
            <c:strRef>
              <c:f>'Transport - AME'!$E$114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AME'!$H$114:$K$114</c:f>
              <c:numCache>
                <c:formatCode>_-* #\ ##0_-;\-* #\ ##0_-;_-* "-"??_-;_-@_-</c:formatCode>
                <c:ptCount val="4"/>
                <c:pt idx="0" formatCode="0">
                  <c:v>39.616273201459137</c:v>
                </c:pt>
                <c:pt idx="1">
                  <c:v>28.895352607067679</c:v>
                </c:pt>
                <c:pt idx="2">
                  <c:v>28.410412915866345</c:v>
                </c:pt>
                <c:pt idx="3">
                  <c:v>26.307416794843391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7-4483-8424-67C3F1C69540}"/>
            </c:ext>
          </c:extLst>
        </c:ser>
        <c:ser>
          <c:idx val="4"/>
          <c:order val="4"/>
          <c:tx>
            <c:strRef>
              <c:f>'Transport - AME'!$E$115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AME'!$H$115:$K$115</c:f>
              <c:numCache>
                <c:formatCode>_-* #\ ##0_-;\-* #\ ##0_-;_-* "-"??_-;_-@_-</c:formatCode>
                <c:ptCount val="4"/>
                <c:pt idx="0" formatCode="0">
                  <c:v>33.713287113365467</c:v>
                </c:pt>
                <c:pt idx="1">
                  <c:v>21.011942426958534</c:v>
                </c:pt>
                <c:pt idx="2">
                  <c:v>17.511767156216273</c:v>
                </c:pt>
                <c:pt idx="3">
                  <c:v>13.592413462438181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7-4483-8424-67C3F1C69540}"/>
            </c:ext>
          </c:extLst>
        </c:ser>
        <c:ser>
          <c:idx val="5"/>
          <c:order val="5"/>
          <c:tx>
            <c:strRef>
              <c:f>'Transport - AME'!$E$116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AME'!$H$116:$K$116</c:f>
              <c:numCache>
                <c:formatCode>_-* #\ ##0_-;\-* #\ ##0_-;_-* "-"??_-;_-@_-</c:formatCode>
                <c:ptCount val="4"/>
                <c:pt idx="0" formatCode="0">
                  <c:v>271.78631359195958</c:v>
                </c:pt>
                <c:pt idx="1">
                  <c:v>150.73009672105366</c:v>
                </c:pt>
                <c:pt idx="2">
                  <c:v>136.95199566908053</c:v>
                </c:pt>
                <c:pt idx="3">
                  <c:v>104.00616331341149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7-4483-8424-67C3F1C69540}"/>
            </c:ext>
          </c:extLst>
        </c:ser>
        <c:ser>
          <c:idx val="6"/>
          <c:order val="6"/>
          <c:tx>
            <c:strRef>
              <c:f>'Transport - AME'!$E$117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AME'!$H$117:$K$117</c:f>
              <c:numCache>
                <c:formatCode>_-* #\ ##0_-;\-* #\ ##0_-;_-* "-"??_-;_-@_-</c:formatCode>
                <c:ptCount val="4"/>
                <c:pt idx="0" formatCode="0">
                  <c:v>59.353118728376728</c:v>
                </c:pt>
                <c:pt idx="1">
                  <c:v>85.07586365555332</c:v>
                </c:pt>
                <c:pt idx="2">
                  <c:v>115.4061232569882</c:v>
                </c:pt>
                <c:pt idx="3">
                  <c:v>142.12849360099071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A7-4483-8424-67C3F1C69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AME'!$E$122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AME'!$H$122:$K$122</c:f>
              <c:numCache>
                <c:formatCode>_-* #\ ##0_-;\-* #\ ##0_-;_-* "-"??_-;_-@_-</c:formatCode>
                <c:ptCount val="4"/>
                <c:pt idx="0">
                  <c:v>649.90002149814165</c:v>
                </c:pt>
                <c:pt idx="1">
                  <c:v>542.22537056870567</c:v>
                </c:pt>
                <c:pt idx="2">
                  <c:v>479.07119097200308</c:v>
                </c:pt>
                <c:pt idx="3">
                  <c:v>405.83615153713947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C-40AE-A265-4120F4FA8D51}"/>
            </c:ext>
          </c:extLst>
        </c:ser>
        <c:ser>
          <c:idx val="1"/>
          <c:order val="1"/>
          <c:tx>
            <c:strRef>
              <c:f>'Transport - AME'!$E$123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AME'!$H$123:$K$123</c:f>
              <c:numCache>
                <c:formatCode>_-* #\ ##0_-;\-* #\ ##0_-;_-* "-"??_-;_-@_-</c:formatCode>
                <c:ptCount val="4"/>
                <c:pt idx="0">
                  <c:v>1411.6353419455611</c:v>
                </c:pt>
                <c:pt idx="1">
                  <c:v>1270.0439011949729</c:v>
                </c:pt>
                <c:pt idx="2">
                  <c:v>1218.4922874172439</c:v>
                </c:pt>
                <c:pt idx="3">
                  <c:v>1130.2802852142784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C-40AE-A265-4120F4FA8D51}"/>
            </c:ext>
          </c:extLst>
        </c:ser>
        <c:ser>
          <c:idx val="2"/>
          <c:order val="2"/>
          <c:tx>
            <c:strRef>
              <c:f>'Transport - AME'!$E$124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AME'!$H$124:$K$124</c:f>
              <c:numCache>
                <c:formatCode>_-* #\ ##0_-;\-* #\ ##0_-;_-* "-"??_-;_-@_-</c:formatCode>
                <c:ptCount val="4"/>
                <c:pt idx="0">
                  <c:v>178.11518918062353</c:v>
                </c:pt>
                <c:pt idx="1">
                  <c:v>164.7803801245646</c:v>
                </c:pt>
                <c:pt idx="2">
                  <c:v>160.80011544319603</c:v>
                </c:pt>
                <c:pt idx="3">
                  <c:v>155.12955164623276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C-40AE-A265-4120F4FA8D51}"/>
            </c:ext>
          </c:extLst>
        </c:ser>
        <c:ser>
          <c:idx val="3"/>
          <c:order val="3"/>
          <c:tx>
            <c:strRef>
              <c:f>'Transport - AME'!$E$125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AME'!$H$125:$K$125</c:f>
              <c:numCache>
                <c:formatCode>_-* #\ ##0_-;\-* #\ ##0_-;_-* "-"??_-;_-@_-</c:formatCode>
                <c:ptCount val="4"/>
                <c:pt idx="0">
                  <c:v>48.127410522702839</c:v>
                </c:pt>
                <c:pt idx="1">
                  <c:v>47.655797761650042</c:v>
                </c:pt>
                <c:pt idx="2">
                  <c:v>50.179116869127718</c:v>
                </c:pt>
                <c:pt idx="3">
                  <c:v>50.957438553002135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1C-40AE-A265-4120F4FA8D51}"/>
            </c:ext>
          </c:extLst>
        </c:ser>
        <c:ser>
          <c:idx val="4"/>
          <c:order val="4"/>
          <c:tx>
            <c:strRef>
              <c:f>'Transport - AME'!$E$126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AME'!$H$126:$K$126</c:f>
              <c:numCache>
                <c:formatCode>_-* #\ ##0_-;\-* #\ ##0_-;_-* "-"??_-;_-@_-</c:formatCode>
                <c:ptCount val="4"/>
                <c:pt idx="0">
                  <c:v>40.956230302726375</c:v>
                </c:pt>
                <c:pt idx="1">
                  <c:v>34.654046015470541</c:v>
                </c:pt>
                <c:pt idx="2">
                  <c:v>30.929681075701211</c:v>
                </c:pt>
                <c:pt idx="3">
                  <c:v>26.328490524199179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1C-40AE-A265-4120F4FA8D51}"/>
            </c:ext>
          </c:extLst>
        </c:ser>
        <c:ser>
          <c:idx val="5"/>
          <c:order val="5"/>
          <c:tx>
            <c:strRef>
              <c:f>'Transport - AME'!$E$127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AME'!$H$127:$K$127</c:f>
              <c:numCache>
                <c:formatCode>_-* #\ ##0_-;\-* #\ ##0_-;_-* "-"??_-;_-@_-</c:formatCode>
                <c:ptCount val="4"/>
                <c:pt idx="0">
                  <c:v>330.17672869366521</c:v>
                </c:pt>
                <c:pt idx="1">
                  <c:v>269.00741011780093</c:v>
                </c:pt>
                <c:pt idx="2">
                  <c:v>232.05603149655667</c:v>
                </c:pt>
                <c:pt idx="3">
                  <c:v>191.88999074464925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1C-40AE-A265-4120F4FA8D51}"/>
            </c:ext>
          </c:extLst>
        </c:ser>
        <c:ser>
          <c:idx val="6"/>
          <c:order val="6"/>
          <c:tx>
            <c:strRef>
              <c:f>'Transport - AME'!$E$128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AME'!$H$11:$K$12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AME'!$H$128:$K$128</c:f>
              <c:numCache>
                <c:formatCode>_-* #\ ##0_-;\-* #\ ##0_-;_-* "-"??_-;_-@_-</c:formatCode>
                <c:ptCount val="4"/>
                <c:pt idx="0">
                  <c:v>72.1045085769981</c:v>
                </c:pt>
                <c:pt idx="1">
                  <c:v>103.7424613465498</c:v>
                </c:pt>
                <c:pt idx="2">
                  <c:v>135.60181054740005</c:v>
                </c:pt>
                <c:pt idx="3">
                  <c:v>158.16757135756134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1C-40AE-A265-4120F4FA8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'Init. énergie'!$A$77</c:f>
              <c:strCache>
                <c:ptCount val="1"/>
                <c:pt idx="0">
                  <c:v>Gaz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'Init. énergie'!$B$76:$H$76</c:f>
              <c:numCache>
                <c:formatCode>General</c:formatCode>
                <c:ptCount val="7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cat>
          <c:val>
            <c:numRef>
              <c:f>'Init. énergie'!$B$77:$H$77</c:f>
              <c:numCache>
                <c:formatCode>0</c:formatCode>
                <c:ptCount val="7"/>
                <c:pt idx="0">
                  <c:v>144.20029880566577</c:v>
                </c:pt>
                <c:pt idx="1">
                  <c:v>146.2666517582841</c:v>
                </c:pt>
                <c:pt idx="2">
                  <c:v>136.57421239289641</c:v>
                </c:pt>
                <c:pt idx="3">
                  <c:v>128.44733116483138</c:v>
                </c:pt>
                <c:pt idx="4">
                  <c:v>119.12615737447211</c:v>
                </c:pt>
                <c:pt idx="5">
                  <c:v>106.21213396312017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E-42F6-84A6-5EB8A76866B0}"/>
            </c:ext>
          </c:extLst>
        </c:ser>
        <c:ser>
          <c:idx val="1"/>
          <c:order val="1"/>
          <c:tx>
            <c:strRef>
              <c:f>'Init. énergie'!$A$78</c:f>
              <c:strCache>
                <c:ptCount val="1"/>
                <c:pt idx="0">
                  <c:v>Fioul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'Init. énergie'!$B$76:$H$76</c:f>
              <c:numCache>
                <c:formatCode>General</c:formatCode>
                <c:ptCount val="7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cat>
          <c:val>
            <c:numRef>
              <c:f>'Init. énergie'!$B$78:$H$78</c:f>
              <c:numCache>
                <c:formatCode>0</c:formatCode>
                <c:ptCount val="7"/>
                <c:pt idx="0">
                  <c:v>168.53255767943179</c:v>
                </c:pt>
                <c:pt idx="1">
                  <c:v>172.66010876844641</c:v>
                </c:pt>
                <c:pt idx="2">
                  <c:v>166.38819521289994</c:v>
                </c:pt>
                <c:pt idx="3">
                  <c:v>151.95478449153515</c:v>
                </c:pt>
                <c:pt idx="4">
                  <c:v>135.1534989915672</c:v>
                </c:pt>
                <c:pt idx="5">
                  <c:v>121.74809106277199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E-42F6-84A6-5EB8A76866B0}"/>
            </c:ext>
          </c:extLst>
        </c:ser>
        <c:ser>
          <c:idx val="2"/>
          <c:order val="2"/>
          <c:tx>
            <c:strRef>
              <c:f>'Init. énergie'!$A$79</c:f>
              <c:strCache>
                <c:ptCount val="1"/>
                <c:pt idx="0">
                  <c:v>Autres combustibles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'Init. énergie'!$B$76:$H$76</c:f>
              <c:numCache>
                <c:formatCode>General</c:formatCode>
                <c:ptCount val="7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cat>
          <c:val>
            <c:numRef>
              <c:f>'Init. énergie'!$B$79:$H$79</c:f>
              <c:numCache>
                <c:formatCode>0</c:formatCode>
                <c:ptCount val="7"/>
                <c:pt idx="0">
                  <c:v>131.49727536036906</c:v>
                </c:pt>
                <c:pt idx="1">
                  <c:v>129.25631328722389</c:v>
                </c:pt>
                <c:pt idx="2">
                  <c:v>121.23847603268428</c:v>
                </c:pt>
                <c:pt idx="3">
                  <c:v>116.16490775888079</c:v>
                </c:pt>
                <c:pt idx="4">
                  <c:v>109.392662901202</c:v>
                </c:pt>
                <c:pt idx="5">
                  <c:v>102.77327280480316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E-42F6-84A6-5EB8A76866B0}"/>
            </c:ext>
          </c:extLst>
        </c:ser>
        <c:ser>
          <c:idx val="3"/>
          <c:order val="3"/>
          <c:tx>
            <c:strRef>
              <c:f>'Init. énergie'!$A$80</c:f>
              <c:strCache>
                <c:ptCount val="1"/>
                <c:pt idx="0">
                  <c:v>Électricité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'Init. énergie'!$B$76:$H$76</c:f>
              <c:numCache>
                <c:formatCode>General</c:formatCode>
                <c:ptCount val="7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cat>
          <c:val>
            <c:numRef>
              <c:f>'Init. énergie'!$B$80:$H$80</c:f>
              <c:numCache>
                <c:formatCode>0</c:formatCode>
                <c:ptCount val="7"/>
                <c:pt idx="0">
                  <c:v>87.004717391657124</c:v>
                </c:pt>
                <c:pt idx="1">
                  <c:v>87.395910050408347</c:v>
                </c:pt>
                <c:pt idx="2">
                  <c:v>80.416397613434597</c:v>
                </c:pt>
                <c:pt idx="3">
                  <c:v>74.878682749879246</c:v>
                </c:pt>
                <c:pt idx="4">
                  <c:v>67.802754050118168</c:v>
                </c:pt>
                <c:pt idx="5">
                  <c:v>55.958701433044055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1E-42F6-84A6-5EB8A7686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347327"/>
        <c:axId val="1096354399"/>
      </c:lineChart>
      <c:catAx>
        <c:axId val="10963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354399"/>
        <c:crosses val="autoZero"/>
        <c:auto val="1"/>
        <c:lblAlgn val="ctr"/>
        <c:lblOffset val="100"/>
        <c:noMultiLvlLbl val="0"/>
      </c:catAx>
      <c:valAx>
        <c:axId val="109635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34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AMS'!$H$13:$K$13</c:f>
              <c:numCache>
                <c:formatCode>#,##0</c:formatCode>
                <c:ptCount val="4"/>
                <c:pt idx="0">
                  <c:v>3705.1684690793891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4-4CDD-A7CD-27A1B116A5F6}"/>
            </c:ext>
          </c:extLst>
        </c:ser>
        <c:ser>
          <c:idx val="1"/>
          <c:order val="1"/>
          <c:tx>
            <c:strRef>
              <c:f>'Bureaux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AMS'!$H$14:$K$14</c:f>
              <c:numCache>
                <c:formatCode>#,##0</c:formatCode>
                <c:ptCount val="4"/>
                <c:pt idx="0">
                  <c:v>17519.297184247305</c:v>
                </c:pt>
                <c:pt idx="1">
                  <c:v>13129.714743857159</c:v>
                </c:pt>
                <c:pt idx="2">
                  <c:v>4837.8944854737329</c:v>
                </c:pt>
                <c:pt idx="3">
                  <c:v>497.08119139715041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4-4CDD-A7CD-27A1B116A5F6}"/>
            </c:ext>
          </c:extLst>
        </c:ser>
        <c:ser>
          <c:idx val="2"/>
          <c:order val="2"/>
          <c:tx>
            <c:strRef>
              <c:f>'Bureaux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AMS'!$H$15:$K$15</c:f>
              <c:numCache>
                <c:formatCode>#,##0</c:formatCode>
                <c:ptCount val="4"/>
                <c:pt idx="0">
                  <c:v>2766.1150896935137</c:v>
                </c:pt>
                <c:pt idx="1">
                  <c:v>4639.6564054455166</c:v>
                </c:pt>
                <c:pt idx="2">
                  <c:v>5533.3594557992828</c:v>
                </c:pt>
                <c:pt idx="3">
                  <c:v>5150.4716088366185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4-4CDD-A7CD-27A1B116A5F6}"/>
            </c:ext>
          </c:extLst>
        </c:ser>
        <c:ser>
          <c:idx val="3"/>
          <c:order val="3"/>
          <c:tx>
            <c:strRef>
              <c:f>'Bureaux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AMS'!$H$16:$K$16</c:f>
              <c:numCache>
                <c:formatCode>#,##0</c:formatCode>
                <c:ptCount val="4"/>
                <c:pt idx="0">
                  <c:v>394.01187233155554</c:v>
                </c:pt>
                <c:pt idx="1">
                  <c:v>226.20723470589087</c:v>
                </c:pt>
                <c:pt idx="2">
                  <c:v>95.300178882793176</c:v>
                </c:pt>
                <c:pt idx="3">
                  <c:v>8.4646577802936278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E4-4CDD-A7CD-27A1B116A5F6}"/>
            </c:ext>
          </c:extLst>
        </c:ser>
        <c:ser>
          <c:idx val="4"/>
          <c:order val="4"/>
          <c:tx>
            <c:strRef>
              <c:f>'Bureaux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AMS'!$H$17:$K$17</c:f>
              <c:numCache>
                <c:formatCode>#,##0</c:formatCode>
                <c:ptCount val="4"/>
                <c:pt idx="0">
                  <c:v>411.65001129323502</c:v>
                </c:pt>
                <c:pt idx="1">
                  <c:v>576.93107725102243</c:v>
                </c:pt>
                <c:pt idx="2">
                  <c:v>686.93113293917838</c:v>
                </c:pt>
                <c:pt idx="3">
                  <c:v>1321.9591356409603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E4-4CDD-A7CD-27A1B116A5F6}"/>
            </c:ext>
          </c:extLst>
        </c:ser>
        <c:ser>
          <c:idx val="5"/>
          <c:order val="5"/>
          <c:tx>
            <c:strRef>
              <c:f>'Bureaux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AMS'!$H$18:$K$18</c:f>
              <c:numCache>
                <c:formatCode>#,##0</c:formatCode>
                <c:ptCount val="4"/>
                <c:pt idx="0">
                  <c:v>6418.4622476422328</c:v>
                </c:pt>
                <c:pt idx="1">
                  <c:v>3809.5273159117105</c:v>
                </c:pt>
                <c:pt idx="2">
                  <c:v>1353.7704126014733</c:v>
                </c:pt>
                <c:pt idx="3">
                  <c:v>1007.1676951661581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E4-4CDD-A7CD-27A1B116A5F6}"/>
            </c:ext>
          </c:extLst>
        </c:ser>
        <c:ser>
          <c:idx val="6"/>
          <c:order val="6"/>
          <c:tx>
            <c:strRef>
              <c:f>'Bureaux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AMS'!$H$19:$K$19</c:f>
              <c:numCache>
                <c:formatCode>#,##0</c:formatCode>
                <c:ptCount val="4"/>
                <c:pt idx="0">
                  <c:v>1152.0826387608715</c:v>
                </c:pt>
                <c:pt idx="1">
                  <c:v>3999.2820265052492</c:v>
                </c:pt>
                <c:pt idx="2">
                  <c:v>5703.5505071053103</c:v>
                </c:pt>
                <c:pt idx="3">
                  <c:v>5550.115478615262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E4-4CDD-A7CD-27A1B116A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'Bureaux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'Bureaux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AMS'!$H$8:$K$8</c:f>
              <c:numCache>
                <c:formatCode>#,##0</c:formatCode>
                <c:ptCount val="4"/>
                <c:pt idx="0">
                  <c:v>0</c:v>
                </c:pt>
                <c:pt idx="1">
                  <c:v>6206.4099090819327</c:v>
                </c:pt>
                <c:pt idx="2">
                  <c:v>5920.8738890125724</c:v>
                </c:pt>
                <c:pt idx="3">
                  <c:v>5623.8458501736704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2-4AC5-9DF1-2A2482ABA7CF}"/>
            </c:ext>
          </c:extLst>
        </c:ser>
        <c:ser>
          <c:idx val="1"/>
          <c:order val="1"/>
          <c:tx>
            <c:strRef>
              <c:f>'Bureaux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'Bureaux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AMS'!$H$9:$K$9</c:f>
              <c:numCache>
                <c:formatCode>#,##0</c:formatCode>
                <c:ptCount val="4"/>
                <c:pt idx="0">
                  <c:v>287333.79208712652</c:v>
                </c:pt>
                <c:pt idx="1">
                  <c:v>267908.12198964827</c:v>
                </c:pt>
                <c:pt idx="2">
                  <c:v>254442.35991532399</c:v>
                </c:pt>
                <c:pt idx="3">
                  <c:v>233249.46371632058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2-4AC5-9DF1-2A2482ABA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AMS'!$H$111:$K$111</c:f>
              <c:numCache>
                <c:formatCode>_-* #\ ##0_-;\-* #\ ##0_-;_-* "-"??_-;_-@_-</c:formatCode>
                <c:ptCount val="4"/>
                <c:pt idx="0" formatCode="0">
                  <c:v>3169.8642545091448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E-4773-BFCA-43E8E5ECB471}"/>
            </c:ext>
          </c:extLst>
        </c:ser>
        <c:ser>
          <c:idx val="1"/>
          <c:order val="1"/>
          <c:tx>
            <c:strRef>
              <c:f>'Bureaux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AMS'!$H$112:$K$112</c:f>
              <c:numCache>
                <c:formatCode>_-* #\ ##0_-;\-* #\ ##0_-;_-* "-"??_-;_-@_-</c:formatCode>
                <c:ptCount val="4"/>
                <c:pt idx="0" formatCode="0">
                  <c:v>14988.196723553177</c:v>
                </c:pt>
                <c:pt idx="1">
                  <c:v>11223.973187161759</c:v>
                </c:pt>
                <c:pt idx="2">
                  <c:v>4047.4232444807631</c:v>
                </c:pt>
                <c:pt idx="3">
                  <c:v>412.02923249633358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E-4773-BFCA-43E8E5ECB471}"/>
            </c:ext>
          </c:extLst>
        </c:ser>
        <c:ser>
          <c:idx val="2"/>
          <c:order val="2"/>
          <c:tx>
            <c:strRef>
              <c:f>'Bureaux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AMS'!$H$113:$K$113</c:f>
              <c:numCache>
                <c:formatCode>_-* #\ ##0_-;\-* #\ ##0_-;_-* "-"??_-;_-@_-</c:formatCode>
                <c:ptCount val="4"/>
                <c:pt idx="0" formatCode="0">
                  <c:v>2366.4806121100437</c:v>
                </c:pt>
                <c:pt idx="1">
                  <c:v>3851.90480586184</c:v>
                </c:pt>
                <c:pt idx="2">
                  <c:v>4479.579676237182</c:v>
                </c:pt>
                <c:pt idx="3">
                  <c:v>4104.206301084947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E-4773-BFCA-43E8E5ECB471}"/>
            </c:ext>
          </c:extLst>
        </c:ser>
        <c:ser>
          <c:idx val="3"/>
          <c:order val="3"/>
          <c:tx>
            <c:strRef>
              <c:f>'Bureaux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AMS'!$H$114:$K$114</c:f>
              <c:numCache>
                <c:formatCode>_-* #\ ##0_-;\-* #\ ##0_-;_-* "-"??_-;_-@_-</c:formatCode>
                <c:ptCount val="4"/>
                <c:pt idx="0" formatCode="0">
                  <c:v>337.08700707645409</c:v>
                </c:pt>
                <c:pt idx="1">
                  <c:v>182.89142900036276</c:v>
                </c:pt>
                <c:pt idx="2">
                  <c:v>70.89797295970061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EE-4773-BFCA-43E8E5ECB471}"/>
            </c:ext>
          </c:extLst>
        </c:ser>
        <c:ser>
          <c:idx val="4"/>
          <c:order val="4"/>
          <c:tx>
            <c:strRef>
              <c:f>'Bureaux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AMS'!$H$115:$K$115</c:f>
              <c:numCache>
                <c:formatCode>_-* #\ ##0_-;\-* #\ ##0_-;_-* "-"??_-;_-@_-</c:formatCode>
                <c:ptCount val="4"/>
                <c:pt idx="0" formatCode="0">
                  <c:v>352.17687591164491</c:v>
                </c:pt>
                <c:pt idx="1">
                  <c:v>477.6966387327667</c:v>
                </c:pt>
                <c:pt idx="2">
                  <c:v>555.5381719240936</c:v>
                </c:pt>
                <c:pt idx="3">
                  <c:v>1055.6746317628449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EE-4773-BFCA-43E8E5ECB471}"/>
            </c:ext>
          </c:extLst>
        </c:ser>
        <c:ser>
          <c:idx val="5"/>
          <c:order val="5"/>
          <c:tx>
            <c:strRef>
              <c:f>'Bureaux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AMS'!$H$116:$K$116</c:f>
              <c:numCache>
                <c:formatCode>_-* #\ ##0_-;\-* #\ ##0_-;_-* "-"??_-;_-@_-</c:formatCode>
                <c:ptCount val="4"/>
                <c:pt idx="0" formatCode="0">
                  <c:v>5491.1549144141218</c:v>
                </c:pt>
                <c:pt idx="1">
                  <c:v>3212.9523789387399</c:v>
                </c:pt>
                <c:pt idx="2">
                  <c:v>1148.32019113308</c:v>
                </c:pt>
                <c:pt idx="3">
                  <c:v>859.68844563504081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EE-4773-BFCA-43E8E5ECB471}"/>
            </c:ext>
          </c:extLst>
        </c:ser>
        <c:ser>
          <c:idx val="6"/>
          <c:order val="6"/>
          <c:tx>
            <c:strRef>
              <c:f>'Bureaux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AMS'!$H$117:$K$117</c:f>
              <c:numCache>
                <c:formatCode>_-* #\ ##0_-;\-* #\ ##0_-;_-* "-"??_-;_-@_-</c:formatCode>
                <c:ptCount val="4"/>
                <c:pt idx="0" formatCode="0">
                  <c:v>985.63549952589472</c:v>
                </c:pt>
                <c:pt idx="1">
                  <c:v>3382.2462738471891</c:v>
                </c:pt>
                <c:pt idx="2">
                  <c:v>4740.2385499819602</c:v>
                </c:pt>
                <c:pt idx="3">
                  <c:v>4599.7026953170598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EE-4773-BFCA-43E8E5ECB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'Bureaux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AMS'!$H$122:$K$122</c:f>
              <c:numCache>
                <c:formatCode>_-* #\ ##0_-;\-* #\ ##0_-;_-* "-"??_-;_-@_-</c:formatCode>
                <c:ptCount val="4"/>
                <c:pt idx="0">
                  <c:v>535.30421457024443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A-487B-83F3-AA189AC75505}"/>
            </c:ext>
          </c:extLst>
        </c:ser>
        <c:ser>
          <c:idx val="1"/>
          <c:order val="1"/>
          <c:tx>
            <c:strRef>
              <c:f>'Bureaux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AMS'!$H$123:$K$123</c:f>
              <c:numCache>
                <c:formatCode>_-* #\ ##0_-;\-* #\ ##0_-;_-* "-"??_-;_-@_-</c:formatCode>
                <c:ptCount val="4"/>
                <c:pt idx="0">
                  <c:v>2531.1004606941278</c:v>
                </c:pt>
                <c:pt idx="1">
                  <c:v>1905.7415566954005</c:v>
                </c:pt>
                <c:pt idx="2">
                  <c:v>790.47124099296946</c:v>
                </c:pt>
                <c:pt idx="3">
                  <c:v>85.051958900816842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A-487B-83F3-AA189AC75505}"/>
            </c:ext>
          </c:extLst>
        </c:ser>
        <c:ser>
          <c:idx val="2"/>
          <c:order val="2"/>
          <c:tx>
            <c:strRef>
              <c:f>'Bureaux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AMS'!$H$124:$K$124</c:f>
              <c:numCache>
                <c:formatCode>_-* #\ ##0_-;\-* #\ ##0_-;_-* "-"??_-;_-@_-</c:formatCode>
                <c:ptCount val="4"/>
                <c:pt idx="0">
                  <c:v>399.63447758347019</c:v>
                </c:pt>
                <c:pt idx="1">
                  <c:v>715.53820698308516</c:v>
                </c:pt>
                <c:pt idx="2">
                  <c:v>978.74223728155482</c:v>
                </c:pt>
                <c:pt idx="3">
                  <c:v>969.15401694791194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A-487B-83F3-AA189AC75505}"/>
            </c:ext>
          </c:extLst>
        </c:ser>
        <c:ser>
          <c:idx val="3"/>
          <c:order val="3"/>
          <c:tx>
            <c:strRef>
              <c:f>'Bureaux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AMS'!$H$125:$K$125</c:f>
              <c:numCache>
                <c:formatCode>_-* #\ ##0_-;\-* #\ ##0_-;_-* "-"??_-;_-@_-</c:formatCode>
                <c:ptCount val="4"/>
                <c:pt idx="0">
                  <c:v>56.924865255101437</c:v>
                </c:pt>
                <c:pt idx="1">
                  <c:v>33.974309276891219</c:v>
                </c:pt>
                <c:pt idx="2">
                  <c:v>15.490480288006042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A-487B-83F3-AA189AC75505}"/>
            </c:ext>
          </c:extLst>
        </c:ser>
        <c:ser>
          <c:idx val="4"/>
          <c:order val="4"/>
          <c:tx>
            <c:strRef>
              <c:f>'Bureaux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AMS'!$H$126:$K$126</c:f>
              <c:numCache>
                <c:formatCode>_-* #\ ##0_-;\-* #\ ##0_-;_-* "-"??_-;_-@_-</c:formatCode>
                <c:ptCount val="4"/>
                <c:pt idx="0">
                  <c:v>59.473135381590083</c:v>
                </c:pt>
                <c:pt idx="1">
                  <c:v>88.737965652869363</c:v>
                </c:pt>
                <c:pt idx="2">
                  <c:v>121.37939551976467</c:v>
                </c:pt>
                <c:pt idx="3">
                  <c:v>249.28359709708297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AA-487B-83F3-AA189AC75505}"/>
            </c:ext>
          </c:extLst>
        </c:ser>
        <c:ser>
          <c:idx val="5"/>
          <c:order val="5"/>
          <c:tx>
            <c:strRef>
              <c:f>'Bureaux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AMS'!$H$127:$K$127</c:f>
              <c:numCache>
                <c:formatCode>_-* #\ ##0_-;\-* #\ ##0_-;_-* "-"??_-;_-@_-</c:formatCode>
                <c:ptCount val="4"/>
                <c:pt idx="0">
                  <c:v>927.30733322811091</c:v>
                </c:pt>
                <c:pt idx="1">
                  <c:v>476.94637062841855</c:v>
                </c:pt>
                <c:pt idx="2">
                  <c:v>189.67313519230586</c:v>
                </c:pt>
                <c:pt idx="3">
                  <c:v>145.18449682739768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AA-487B-83F3-AA189AC75505}"/>
            </c:ext>
          </c:extLst>
        </c:ser>
        <c:ser>
          <c:idx val="6"/>
          <c:order val="6"/>
          <c:tx>
            <c:strRef>
              <c:f>'Bureaux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'Bureaux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'Bureaux - AMS'!$H$128:$K$128</c:f>
              <c:numCache>
                <c:formatCode>_-* #\ ##0_-;\-* #\ ##0_-;_-* "-"??_-;_-@_-</c:formatCode>
                <c:ptCount val="4"/>
                <c:pt idx="0">
                  <c:v>166.44713923497682</c:v>
                </c:pt>
                <c:pt idx="1">
                  <c:v>502.07718466581929</c:v>
                </c:pt>
                <c:pt idx="2">
                  <c:v>782.96620949192322</c:v>
                </c:pt>
                <c:pt idx="3">
                  <c:v>776.79946120705722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AA-487B-83F3-AA189AC75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Parc par</a:t>
            </a:r>
            <a:r>
              <a:rPr lang="fr-FR" baseline="0"/>
              <a:t> énergie de chauffage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'Bureaux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AMS'!$H$45:$K$45</c:f>
              <c:numCache>
                <c:formatCode>0%</c:formatCode>
                <c:ptCount val="4"/>
                <c:pt idx="0">
                  <c:v>0.09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9-41F0-8D8A-B8AC67B0950C}"/>
            </c:ext>
          </c:extLst>
        </c:ser>
        <c:ser>
          <c:idx val="1"/>
          <c:order val="1"/>
          <c:tx>
            <c:strRef>
              <c:f>'Bureaux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AMS'!$H$46:$K$46</c:f>
              <c:numCache>
                <c:formatCode>0%</c:formatCode>
                <c:ptCount val="4"/>
                <c:pt idx="0">
                  <c:v>0.42499999999999999</c:v>
                </c:pt>
                <c:pt idx="1">
                  <c:v>0.36549999999999999</c:v>
                </c:pt>
                <c:pt idx="2">
                  <c:v>0.17</c:v>
                </c:pt>
                <c:pt idx="3">
                  <c:v>2.1250000000000002E-2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9-41F0-8D8A-B8AC67B0950C}"/>
            </c:ext>
          </c:extLst>
        </c:ser>
        <c:ser>
          <c:idx val="2"/>
          <c:order val="2"/>
          <c:tx>
            <c:strRef>
              <c:f>'Bureaux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AMS'!$H$47:$K$47</c:f>
              <c:numCache>
                <c:formatCode>0%</c:formatCode>
                <c:ptCount val="4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F9-41F0-8D8A-B8AC67B0950C}"/>
            </c:ext>
          </c:extLst>
        </c:ser>
        <c:ser>
          <c:idx val="3"/>
          <c:order val="3"/>
          <c:tx>
            <c:strRef>
              <c:f>'Bureaux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AMS'!$H$48:$K$48</c:f>
              <c:numCache>
                <c:formatCode>0%</c:formatCode>
                <c:ptCount val="4"/>
                <c:pt idx="0">
                  <c:v>1.2999999999999999E-2</c:v>
                </c:pt>
                <c:pt idx="1">
                  <c:v>8.6666666666666663E-3</c:v>
                </c:pt>
                <c:pt idx="2">
                  <c:v>4.3333333333333331E-3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F9-41F0-8D8A-B8AC67B0950C}"/>
            </c:ext>
          </c:extLst>
        </c:ser>
        <c:ser>
          <c:idx val="4"/>
          <c:order val="4"/>
          <c:tx>
            <c:strRef>
              <c:f>'Bureaux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AMS'!$H$49:$K$49</c:f>
              <c:numCache>
                <c:formatCode>0%</c:formatCode>
                <c:ptCount val="4"/>
                <c:pt idx="0">
                  <c:v>1.2E-2</c:v>
                </c:pt>
                <c:pt idx="1">
                  <c:v>0.02</c:v>
                </c:pt>
                <c:pt idx="2">
                  <c:v>0.03</c:v>
                </c:pt>
                <c:pt idx="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F9-41F0-8D8A-B8AC67B0950C}"/>
            </c:ext>
          </c:extLst>
        </c:ser>
        <c:ser>
          <c:idx val="5"/>
          <c:order val="5"/>
          <c:tx>
            <c:strRef>
              <c:f>'Bureaux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AMS'!$H$50:$K$50</c:f>
              <c:numCache>
                <c:formatCode>0%</c:formatCode>
                <c:ptCount val="4"/>
                <c:pt idx="0">
                  <c:v>0.30599999999999999</c:v>
                </c:pt>
                <c:pt idx="1">
                  <c:v>0.18583333333333335</c:v>
                </c:pt>
                <c:pt idx="2">
                  <c:v>8.5666666666666669E-2</c:v>
                </c:pt>
                <c:pt idx="3">
                  <c:v>7.8749999999999876E-2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F9-41F0-8D8A-B8AC67B0950C}"/>
            </c:ext>
          </c:extLst>
        </c:ser>
        <c:ser>
          <c:idx val="6"/>
          <c:order val="6"/>
          <c:tx>
            <c:strRef>
              <c:f>'Bureaux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'Bureaux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'Bureaux - AMS'!$H$51:$K$51</c:f>
              <c:numCache>
                <c:formatCode>0%</c:formatCode>
                <c:ptCount val="4"/>
                <c:pt idx="0">
                  <c:v>7.2999999999999995E-2</c:v>
                </c:pt>
                <c:pt idx="1">
                  <c:v>0.26</c:v>
                </c:pt>
                <c:pt idx="2">
                  <c:v>0.47</c:v>
                </c:pt>
                <c:pt idx="3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F9-41F0-8D8A-B8AC67B09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845824"/>
        <c:axId val="1567845408"/>
      </c:areaChart>
      <c:catAx>
        <c:axId val="156784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45408"/>
        <c:crosses val="autoZero"/>
        <c:auto val="1"/>
        <c:lblAlgn val="ctr"/>
        <c:lblOffset val="100"/>
        <c:noMultiLvlLbl val="0"/>
      </c:catAx>
      <c:valAx>
        <c:axId val="15678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4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AMS'!$H$13:$K$13</c:f>
              <c:numCache>
                <c:formatCode>#,##0</c:formatCode>
                <c:ptCount val="4"/>
                <c:pt idx="0">
                  <c:v>1146.8355656667195</c:v>
                </c:pt>
                <c:pt idx="1">
                  <c:v>128.40509171401723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E-45F1-8712-7154D3C16988}"/>
            </c:ext>
          </c:extLst>
        </c:ser>
        <c:ser>
          <c:idx val="1"/>
          <c:order val="1"/>
          <c:tx>
            <c:strRef>
              <c:f>'CaHoREs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AMS'!$H$14:$K$14</c:f>
              <c:numCache>
                <c:formatCode>#,##0</c:formatCode>
                <c:ptCount val="4"/>
                <c:pt idx="0">
                  <c:v>3676.1473473989754</c:v>
                </c:pt>
                <c:pt idx="1">
                  <c:v>2778.5944572746721</c:v>
                </c:pt>
                <c:pt idx="2">
                  <c:v>1250.4995647612968</c:v>
                </c:pt>
                <c:pt idx="3">
                  <c:v>141.99476174937544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E-45F1-8712-7154D3C16988}"/>
            </c:ext>
          </c:extLst>
        </c:ser>
        <c:ser>
          <c:idx val="2"/>
          <c:order val="2"/>
          <c:tx>
            <c:strRef>
              <c:f>'CaHoREs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AMS'!$H$15:$K$15</c:f>
              <c:numCache>
                <c:formatCode>#,##0</c:formatCode>
                <c:ptCount val="4"/>
                <c:pt idx="0">
                  <c:v>623.71893019819117</c:v>
                </c:pt>
                <c:pt idx="1">
                  <c:v>1003.2157126853925</c:v>
                </c:pt>
                <c:pt idx="2">
                  <c:v>1253.9924974270477</c:v>
                </c:pt>
                <c:pt idx="3">
                  <c:v>1486.49052610022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DE-45F1-8712-7154D3C16988}"/>
            </c:ext>
          </c:extLst>
        </c:ser>
        <c:ser>
          <c:idx val="3"/>
          <c:order val="3"/>
          <c:tx>
            <c:strRef>
              <c:f>'CaHoREs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AMS'!$H$16:$K$16</c:f>
              <c:numCache>
                <c:formatCode>#,##0</c:formatCode>
                <c:ptCount val="4"/>
                <c:pt idx="0">
                  <c:v>125.59756428433397</c:v>
                </c:pt>
                <c:pt idx="1">
                  <c:v>70.751000459511829</c:v>
                </c:pt>
                <c:pt idx="2">
                  <c:v>34.482979316612067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DE-45F1-8712-7154D3C16988}"/>
            </c:ext>
          </c:extLst>
        </c:ser>
        <c:ser>
          <c:idx val="4"/>
          <c:order val="4"/>
          <c:tx>
            <c:strRef>
              <c:f>'CaHoREs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AMS'!$H$17:$K$17</c:f>
              <c:numCache>
                <c:formatCode>#,##0</c:formatCode>
                <c:ptCount val="4"/>
                <c:pt idx="0">
                  <c:v>213.99844443112971</c:v>
                </c:pt>
                <c:pt idx="1">
                  <c:v>186.1365955041426</c:v>
                </c:pt>
                <c:pt idx="2">
                  <c:v>160.29305791859673</c:v>
                </c:pt>
                <c:pt idx="3">
                  <c:v>134.79798340076161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DE-45F1-8712-7154D3C16988}"/>
            </c:ext>
          </c:extLst>
        </c:ser>
        <c:ser>
          <c:idx val="5"/>
          <c:order val="5"/>
          <c:tx>
            <c:strRef>
              <c:f>'CaHoREs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AMS'!$H$18:$K$18</c:f>
              <c:numCache>
                <c:formatCode>#,##0</c:formatCode>
                <c:ptCount val="4"/>
                <c:pt idx="0">
                  <c:v>1168.429474955554</c:v>
                </c:pt>
                <c:pt idx="1">
                  <c:v>729.09265786168999</c:v>
                </c:pt>
                <c:pt idx="2">
                  <c:v>597.93571230263979</c:v>
                </c:pt>
                <c:pt idx="3">
                  <c:v>528.37052504609608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DE-45F1-8712-7154D3C16988}"/>
            </c:ext>
          </c:extLst>
        </c:ser>
        <c:ser>
          <c:idx val="6"/>
          <c:order val="6"/>
          <c:tx>
            <c:strRef>
              <c:f>'CaHoREs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AMS'!$H$19:$K$19</c:f>
              <c:numCache>
                <c:formatCode>#,##0</c:formatCode>
                <c:ptCount val="4"/>
                <c:pt idx="0">
                  <c:v>330.97384284191594</c:v>
                </c:pt>
                <c:pt idx="1">
                  <c:v>993.53708751881538</c:v>
                </c:pt>
                <c:pt idx="2">
                  <c:v>1398.2317067980396</c:v>
                </c:pt>
                <c:pt idx="3">
                  <c:v>1443.1983980119535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DE-45F1-8712-7154D3C1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'CaHoREs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'CaHoREs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AMS'!$H$8:$K$8</c:f>
              <c:numCache>
                <c:formatCode>#,##0</c:formatCode>
                <c:ptCount val="4"/>
                <c:pt idx="0">
                  <c:v>0</c:v>
                </c:pt>
                <c:pt idx="1">
                  <c:v>4192.3289288814958</c:v>
                </c:pt>
                <c:pt idx="2">
                  <c:v>2902.374208220388</c:v>
                </c:pt>
                <c:pt idx="3">
                  <c:v>2027.5304070447819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D-4C80-B2C2-70A53929F313}"/>
            </c:ext>
          </c:extLst>
        </c:ser>
        <c:ser>
          <c:idx val="1"/>
          <c:order val="1"/>
          <c:tx>
            <c:strRef>
              <c:f>'CaHoREs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'CaHoREs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AMS'!$H$9:$K$9</c:f>
              <c:numCache>
                <c:formatCode>#,##0</c:formatCode>
                <c:ptCount val="4"/>
                <c:pt idx="0">
                  <c:v>67243.869415029592</c:v>
                </c:pt>
                <c:pt idx="1">
                  <c:v>65307.245975876736</c:v>
                </c:pt>
                <c:pt idx="2">
                  <c:v>67497.987147501204</c:v>
                </c:pt>
                <c:pt idx="3">
                  <c:v>66866.719096003129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D-4C80-B2C2-70A53929F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AMS'!$H$111:$K$111</c:f>
              <c:numCache>
                <c:formatCode>_-* #\ ##0_-;\-* #\ ##0_-;_-* "-"??_-;_-@_-</c:formatCode>
                <c:ptCount val="4"/>
                <c:pt idx="0" formatCode="0">
                  <c:v>810.23932714353725</c:v>
                </c:pt>
                <c:pt idx="1">
                  <c:v>90.431619431611324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F-496A-BA8E-5D2BAFA751EB}"/>
            </c:ext>
          </c:extLst>
        </c:ser>
        <c:ser>
          <c:idx val="1"/>
          <c:order val="1"/>
          <c:tx>
            <c:strRef>
              <c:f>'CaHoREs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AMS'!$H$112:$K$112</c:f>
              <c:numCache>
                <c:formatCode>_-* #\ ##0_-;\-* #\ ##0_-;_-* "-"??_-;_-@_-</c:formatCode>
                <c:ptCount val="4"/>
                <c:pt idx="0" formatCode="0">
                  <c:v>2597.1981009373758</c:v>
                </c:pt>
                <c:pt idx="1">
                  <c:v>1932.409821218137</c:v>
                </c:pt>
                <c:pt idx="2">
                  <c:v>868.5437529610723</c:v>
                </c:pt>
                <c:pt idx="3">
                  <c:v>97.58286486360646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F-496A-BA8E-5D2BAFA751EB}"/>
            </c:ext>
          </c:extLst>
        </c:ser>
        <c:ser>
          <c:idx val="2"/>
          <c:order val="2"/>
          <c:tx>
            <c:strRef>
              <c:f>'CaHoREs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AMS'!$H$113:$K$113</c:f>
              <c:numCache>
                <c:formatCode>_-* #\ ##0_-;\-* #\ ##0_-;_-* "-"??_-;_-@_-</c:formatCode>
                <c:ptCount val="4"/>
                <c:pt idx="0" formatCode="0">
                  <c:v>440.65742418502197</c:v>
                </c:pt>
                <c:pt idx="1">
                  <c:v>593.86723356220989</c:v>
                </c:pt>
                <c:pt idx="2">
                  <c:v>782.56219311148845</c:v>
                </c:pt>
                <c:pt idx="3">
                  <c:v>937.84150588363502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CF-496A-BA8E-5D2BAFA751EB}"/>
            </c:ext>
          </c:extLst>
        </c:ser>
        <c:ser>
          <c:idx val="3"/>
          <c:order val="3"/>
          <c:tx>
            <c:strRef>
              <c:f>'CaHoREs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AMS'!$H$114:$K$114</c:f>
              <c:numCache>
                <c:formatCode>_-* #\ ##0_-;\-* #\ ##0_-;_-* "-"??_-;_-@_-</c:formatCode>
                <c:ptCount val="4"/>
                <c:pt idx="0" formatCode="0">
                  <c:v>88.734679166881932</c:v>
                </c:pt>
                <c:pt idx="1">
                  <c:v>47.834544973639503</c:v>
                </c:pt>
                <c:pt idx="2">
                  <c:v>23.112268610485735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CF-496A-BA8E-5D2BAFA751EB}"/>
            </c:ext>
          </c:extLst>
        </c:ser>
        <c:ser>
          <c:idx val="4"/>
          <c:order val="4"/>
          <c:tx>
            <c:strRef>
              <c:f>'CaHoREs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AMS'!$H$115:$K$115</c:f>
              <c:numCache>
                <c:formatCode>_-* #\ ##0_-;\-* #\ ##0_-;_-* "-"??_-;_-@_-</c:formatCode>
                <c:ptCount val="4"/>
                <c:pt idx="0" formatCode="0">
                  <c:v>151.18990099059312</c:v>
                </c:pt>
                <c:pt idx="1">
                  <c:v>111.68864091228944</c:v>
                </c:pt>
                <c:pt idx="2">
                  <c:v>97.719900031728812</c:v>
                </c:pt>
                <c:pt idx="3">
                  <c:v>78.65590128699678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CF-496A-BA8E-5D2BAFA751EB}"/>
            </c:ext>
          </c:extLst>
        </c:ser>
        <c:ser>
          <c:idx val="5"/>
          <c:order val="5"/>
          <c:tx>
            <c:strRef>
              <c:f>'CaHoREs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AMS'!$H$116:$K$116</c:f>
              <c:numCache>
                <c:formatCode>_-* #\ ##0_-;\-* #\ ##0_-;_-* "-"??_-;_-@_-</c:formatCode>
                <c:ptCount val="4"/>
                <c:pt idx="0" formatCode="0">
                  <c:v>825.49542405609884</c:v>
                </c:pt>
                <c:pt idx="1">
                  <c:v>522.37709264074681</c:v>
                </c:pt>
                <c:pt idx="2">
                  <c:v>432.44035100317865</c:v>
                </c:pt>
                <c:pt idx="3">
                  <c:v>384.41919341712349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CF-496A-BA8E-5D2BAFA751EB}"/>
            </c:ext>
          </c:extLst>
        </c:ser>
        <c:ser>
          <c:idx val="6"/>
          <c:order val="6"/>
          <c:tx>
            <c:strRef>
              <c:f>'CaHoREs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AMS'!$H$117:$K$117</c:f>
              <c:numCache>
                <c:formatCode>_-* #\ ##0_-;\-* #\ ##0_-;_-* "-"??_-;_-@_-</c:formatCode>
                <c:ptCount val="4"/>
                <c:pt idx="0" formatCode="0">
                  <c:v>233.83301996781358</c:v>
                </c:pt>
                <c:pt idx="1">
                  <c:v>648.51358854492719</c:v>
                </c:pt>
                <c:pt idx="2">
                  <c:v>970.35254398798122</c:v>
                </c:pt>
                <c:pt idx="3">
                  <c:v>1017.5322635242597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CF-496A-BA8E-5D2BAFA75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'CaHoREs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AMS'!$H$122:$K$122</c:f>
              <c:numCache>
                <c:formatCode>_-* #\ ##0_-;\-* #\ ##0_-;_-* "-"??_-;_-@_-</c:formatCode>
                <c:ptCount val="4"/>
                <c:pt idx="0">
                  <c:v>336.59623852318231</c:v>
                </c:pt>
                <c:pt idx="1">
                  <c:v>37.973472282405901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1-43AF-A6A3-6D014858E6E5}"/>
            </c:ext>
          </c:extLst>
        </c:ser>
        <c:ser>
          <c:idx val="1"/>
          <c:order val="1"/>
          <c:tx>
            <c:strRef>
              <c:f>'CaHoREs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AMS'!$H$123:$K$123</c:f>
              <c:numCache>
                <c:formatCode>_-* #\ ##0_-;\-* #\ ##0_-;_-* "-"??_-;_-@_-</c:formatCode>
                <c:ptCount val="4"/>
                <c:pt idx="0">
                  <c:v>1078.9492464615996</c:v>
                </c:pt>
                <c:pt idx="1">
                  <c:v>846.18463605653517</c:v>
                </c:pt>
                <c:pt idx="2">
                  <c:v>381.95581180022458</c:v>
                </c:pt>
                <c:pt idx="3">
                  <c:v>44.411896885768975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1-43AF-A6A3-6D014858E6E5}"/>
            </c:ext>
          </c:extLst>
        </c:ser>
        <c:ser>
          <c:idx val="2"/>
          <c:order val="2"/>
          <c:tx>
            <c:strRef>
              <c:f>'CaHoREs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AMS'!$H$124:$K$124</c:f>
              <c:numCache>
                <c:formatCode>_-* #\ ##0_-;\-* #\ ##0_-;_-* "-"??_-;_-@_-</c:formatCode>
                <c:ptCount val="4"/>
                <c:pt idx="0">
                  <c:v>183.06150601316915</c:v>
                </c:pt>
                <c:pt idx="1">
                  <c:v>284.50844530759741</c:v>
                </c:pt>
                <c:pt idx="2">
                  <c:v>385.00280770298173</c:v>
                </c:pt>
                <c:pt idx="3">
                  <c:v>488.27280239792998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1-43AF-A6A3-6D014858E6E5}"/>
            </c:ext>
          </c:extLst>
        </c:ser>
        <c:ser>
          <c:idx val="3"/>
          <c:order val="3"/>
          <c:tx>
            <c:strRef>
              <c:f>'CaHoREs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AMS'!$H$125:$K$125</c:f>
              <c:numCache>
                <c:formatCode>_-* #\ ##0_-;\-* #\ ##0_-;_-* "-"??_-;_-@_-</c:formatCode>
                <c:ptCount val="4"/>
                <c:pt idx="0">
                  <c:v>36.862885117452031</c:v>
                </c:pt>
                <c:pt idx="1">
                  <c:v>22.916455485872319</c:v>
                </c:pt>
                <c:pt idx="2">
                  <c:v>11.37071070612633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D1-43AF-A6A3-6D014858E6E5}"/>
            </c:ext>
          </c:extLst>
        </c:ser>
        <c:ser>
          <c:idx val="4"/>
          <c:order val="4"/>
          <c:tx>
            <c:strRef>
              <c:f>'CaHoREs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AMS'!$H$126:$K$126</c:f>
              <c:numCache>
                <c:formatCode>_-* #\ ##0_-;\-* #\ ##0_-;_-* "-"??_-;_-@_-</c:formatCode>
                <c:ptCount val="4"/>
                <c:pt idx="0">
                  <c:v>62.808543440536596</c:v>
                </c:pt>
                <c:pt idx="1">
                  <c:v>53.507517823249785</c:v>
                </c:pt>
                <c:pt idx="2">
                  <c:v>48.075969184100856</c:v>
                </c:pt>
                <c:pt idx="3">
                  <c:v>40.950989165649197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D1-43AF-A6A3-6D014858E6E5}"/>
            </c:ext>
          </c:extLst>
        </c:ser>
        <c:ser>
          <c:idx val="5"/>
          <c:order val="5"/>
          <c:tx>
            <c:strRef>
              <c:f>'CaHoREs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AMS'!$H$127:$K$127</c:f>
              <c:numCache>
                <c:formatCode>_-* #\ ##0_-;\-* #\ ##0_-;_-* "-"??_-;_-@_-</c:formatCode>
                <c:ptCount val="4"/>
                <c:pt idx="0">
                  <c:v>342.93405089945526</c:v>
                </c:pt>
                <c:pt idx="1">
                  <c:v>199.98521969476769</c:v>
                </c:pt>
                <c:pt idx="2">
                  <c:v>160.83590313218542</c:v>
                </c:pt>
                <c:pt idx="3">
                  <c:v>143.13758463799644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D1-43AF-A6A3-6D014858E6E5}"/>
            </c:ext>
          </c:extLst>
        </c:ser>
        <c:ser>
          <c:idx val="6"/>
          <c:order val="6"/>
          <c:tx>
            <c:strRef>
              <c:f>'CaHoREs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'CaHoREs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'CaHoREs - AMS'!$H$128:$K$128</c:f>
              <c:numCache>
                <c:formatCode>_-* #\ ##0_-;\-* #\ ##0_-;_-* "-"??_-;_-@_-</c:formatCode>
                <c:ptCount val="4"/>
                <c:pt idx="0">
                  <c:v>97.140822874102369</c:v>
                </c:pt>
                <c:pt idx="1">
                  <c:v>248.27492305332191</c:v>
                </c:pt>
                <c:pt idx="2">
                  <c:v>360.89954928321094</c:v>
                </c:pt>
                <c:pt idx="3">
                  <c:v>378.87575070700973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D1-43AF-A6A3-6D014858E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'CaHoREs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AMS'!$H$45:$K$45</c:f>
              <c:numCache>
                <c:formatCode>0%</c:formatCode>
                <c:ptCount val="4"/>
                <c:pt idx="0">
                  <c:v>0.08</c:v>
                </c:pt>
                <c:pt idx="1">
                  <c:v>0.01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B-4C55-8E27-FF29A5441F2C}"/>
            </c:ext>
          </c:extLst>
        </c:ser>
        <c:ser>
          <c:idx val="1"/>
          <c:order val="1"/>
          <c:tx>
            <c:strRef>
              <c:f>'CaHoREs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AMS'!$H$46:$K$46</c:f>
              <c:numCache>
                <c:formatCode>0%</c:formatCode>
                <c:ptCount val="4"/>
                <c:pt idx="0">
                  <c:v>0.34499999999999997</c:v>
                </c:pt>
                <c:pt idx="1">
                  <c:v>0.29669999999999996</c:v>
                </c:pt>
                <c:pt idx="2">
                  <c:v>0.13799999999999998</c:v>
                </c:pt>
                <c:pt idx="3">
                  <c:v>1.7249999999999998E-2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FB-4C55-8E27-FF29A5441F2C}"/>
            </c:ext>
          </c:extLst>
        </c:ser>
        <c:ser>
          <c:idx val="2"/>
          <c:order val="2"/>
          <c:tx>
            <c:strRef>
              <c:f>'CaHoREs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AMS'!$H$47:$K$47</c:f>
              <c:numCache>
                <c:formatCode>0%</c:formatCode>
                <c:ptCount val="4"/>
                <c:pt idx="0">
                  <c:v>6.6000000000000003E-2</c:v>
                </c:pt>
                <c:pt idx="1">
                  <c:v>0.11</c:v>
                </c:pt>
                <c:pt idx="2">
                  <c:v>0.15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FB-4C55-8E27-FF29A5441F2C}"/>
            </c:ext>
          </c:extLst>
        </c:ser>
        <c:ser>
          <c:idx val="3"/>
          <c:order val="3"/>
          <c:tx>
            <c:strRef>
              <c:f>'CaHoREs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AMS'!$H$48:$K$48</c:f>
              <c:numCache>
                <c:formatCode>0%</c:formatCode>
                <c:ptCount val="4"/>
                <c:pt idx="0">
                  <c:v>1.4E-2</c:v>
                </c:pt>
                <c:pt idx="1">
                  <c:v>9.3333333333333324E-3</c:v>
                </c:pt>
                <c:pt idx="2">
                  <c:v>4.6666666666666662E-3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FB-4C55-8E27-FF29A5441F2C}"/>
            </c:ext>
          </c:extLst>
        </c:ser>
        <c:ser>
          <c:idx val="4"/>
          <c:order val="4"/>
          <c:tx>
            <c:strRef>
              <c:f>'CaHoREs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AMS'!$H$49:$K$49</c:f>
              <c:numCache>
                <c:formatCode>0%</c:formatCode>
                <c:ptCount val="4"/>
                <c:pt idx="0">
                  <c:v>2.7E-2</c:v>
                </c:pt>
                <c:pt idx="1">
                  <c:v>2.4666666666666667E-2</c:v>
                </c:pt>
                <c:pt idx="2">
                  <c:v>2.2333333333333334E-2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FB-4C55-8E27-FF29A5441F2C}"/>
            </c:ext>
          </c:extLst>
        </c:ser>
        <c:ser>
          <c:idx val="5"/>
          <c:order val="5"/>
          <c:tx>
            <c:strRef>
              <c:f>'CaHoREs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AMS'!$H$50:$K$50</c:f>
              <c:numCache>
                <c:formatCode>0%</c:formatCode>
                <c:ptCount val="4"/>
                <c:pt idx="0">
                  <c:v>0.36199999999999999</c:v>
                </c:pt>
                <c:pt idx="1">
                  <c:v>0.23930000000000012</c:v>
                </c:pt>
                <c:pt idx="2">
                  <c:v>0.20499999999999996</c:v>
                </c:pt>
                <c:pt idx="3">
                  <c:v>0.20274999999999999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FB-4C55-8E27-FF29A5441F2C}"/>
            </c:ext>
          </c:extLst>
        </c:ser>
        <c:ser>
          <c:idx val="6"/>
          <c:order val="6"/>
          <c:tx>
            <c:strRef>
              <c:f>'CaHoREs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'CaHoREs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'CaHoREs - AMS'!$H$51:$K$51</c:f>
              <c:numCache>
                <c:formatCode>0%</c:formatCode>
                <c:ptCount val="4"/>
                <c:pt idx="0">
                  <c:v>0.107</c:v>
                </c:pt>
                <c:pt idx="1">
                  <c:v>0.31</c:v>
                </c:pt>
                <c:pt idx="2">
                  <c:v>0.48</c:v>
                </c:pt>
                <c:pt idx="3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FB-4C55-8E27-FF29A5441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33088"/>
        <c:axId val="1666230592"/>
      </c:areaChart>
      <c:catAx>
        <c:axId val="166623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6230592"/>
        <c:crosses val="autoZero"/>
        <c:auto val="1"/>
        <c:lblAlgn val="ctr"/>
        <c:lblOffset val="100"/>
        <c:noMultiLvlLbl val="0"/>
      </c:catAx>
      <c:valAx>
        <c:axId val="16662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623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'Commerce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AMS'!$H$13:$K$13</c:f>
              <c:numCache>
                <c:formatCode>#,##0</c:formatCode>
                <c:ptCount val="4"/>
                <c:pt idx="0">
                  <c:v>3430.6717540831437</c:v>
                </c:pt>
                <c:pt idx="1">
                  <c:v>333.91226727614531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A-4612-BBA8-EF3C5C4FAB53}"/>
            </c:ext>
          </c:extLst>
        </c:ser>
        <c:ser>
          <c:idx val="1"/>
          <c:order val="1"/>
          <c:tx>
            <c:strRef>
              <c:f>'Commerce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AMS'!$H$14:$K$14</c:f>
              <c:numCache>
                <c:formatCode>#,##0</c:formatCode>
                <c:ptCount val="4"/>
                <c:pt idx="0">
                  <c:v>7861.9618349850271</c:v>
                </c:pt>
                <c:pt idx="1">
                  <c:v>5770.6887971941915</c:v>
                </c:pt>
                <c:pt idx="2">
                  <c:v>2541.9513461619258</c:v>
                </c:pt>
                <c:pt idx="3">
                  <c:v>278.77164391379983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A-4612-BBA8-EF3C5C4FAB53}"/>
            </c:ext>
          </c:extLst>
        </c:ser>
        <c:ser>
          <c:idx val="2"/>
          <c:order val="2"/>
          <c:tx>
            <c:strRef>
              <c:f>'Commerce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AMS'!$H$15:$K$15</c:f>
              <c:numCache>
                <c:formatCode>#,##0</c:formatCode>
                <c:ptCount val="4"/>
                <c:pt idx="0">
                  <c:v>392.69537442242785</c:v>
                </c:pt>
                <c:pt idx="1">
                  <c:v>1769.1924113475111</c:v>
                </c:pt>
                <c:pt idx="2">
                  <c:v>1631.4828221783885</c:v>
                </c:pt>
                <c:pt idx="3">
                  <c:v>1507.8880410444142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A-4612-BBA8-EF3C5C4FAB53}"/>
            </c:ext>
          </c:extLst>
        </c:ser>
        <c:ser>
          <c:idx val="3"/>
          <c:order val="3"/>
          <c:tx>
            <c:strRef>
              <c:f>'Commerce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AMS'!$H$16:$K$16</c:f>
              <c:numCache>
                <c:formatCode>#,##0</c:formatCode>
                <c:ptCount val="4"/>
                <c:pt idx="0">
                  <c:v>159.09604448839201</c:v>
                </c:pt>
                <c:pt idx="1">
                  <c:v>94.112804410790929</c:v>
                </c:pt>
                <c:pt idx="2">
                  <c:v>45.23585092468246</c:v>
                </c:pt>
                <c:pt idx="3">
                  <c:v>4.2784662795744683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2A-4612-BBA8-EF3C5C4FAB53}"/>
            </c:ext>
          </c:extLst>
        </c:ser>
        <c:ser>
          <c:idx val="4"/>
          <c:order val="4"/>
          <c:tx>
            <c:strRef>
              <c:f>'Commerce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AMS'!$H$17:$K$17</c:f>
              <c:numCache>
                <c:formatCode>#,##0</c:formatCode>
                <c:ptCount val="4"/>
                <c:pt idx="0">
                  <c:v>142.21438786032849</c:v>
                </c:pt>
                <c:pt idx="1">
                  <c:v>214.62415926507288</c:v>
                </c:pt>
                <c:pt idx="2">
                  <c:v>279.15034734216448</c:v>
                </c:pt>
                <c:pt idx="3">
                  <c:v>326.7855331934486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2A-4612-BBA8-EF3C5C4FAB53}"/>
            </c:ext>
          </c:extLst>
        </c:ser>
        <c:ser>
          <c:idx val="5"/>
          <c:order val="5"/>
          <c:tx>
            <c:strRef>
              <c:f>'Commerce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AMS'!$H$18:$K$18</c:f>
              <c:numCache>
                <c:formatCode>#,##0</c:formatCode>
                <c:ptCount val="4"/>
                <c:pt idx="0">
                  <c:v>2654.7491874453258</c:v>
                </c:pt>
                <c:pt idx="1">
                  <c:v>1499.4172736322937</c:v>
                </c:pt>
                <c:pt idx="2">
                  <c:v>1454.3625430568018</c:v>
                </c:pt>
                <c:pt idx="3">
                  <c:v>1305.0253706332246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2A-4612-BBA8-EF3C5C4FAB53}"/>
            </c:ext>
          </c:extLst>
        </c:ser>
        <c:ser>
          <c:idx val="6"/>
          <c:order val="6"/>
          <c:tx>
            <c:strRef>
              <c:f>'Commerce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AMS'!$H$19:$K$19</c:f>
              <c:numCache>
                <c:formatCode>#,##0</c:formatCode>
                <c:ptCount val="4"/>
                <c:pt idx="0">
                  <c:v>822.29267193269948</c:v>
                </c:pt>
                <c:pt idx="1">
                  <c:v>2512.691980842455</c:v>
                </c:pt>
                <c:pt idx="2">
                  <c:v>3681.1088595205556</c:v>
                </c:pt>
                <c:pt idx="3">
                  <c:v>4074.4848789120215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2A-4612-BBA8-EF3C5C4FA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'Commerce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'Commerce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AMS'!$H$8:$K$8</c:f>
              <c:numCache>
                <c:formatCode>#,##0</c:formatCode>
                <c:ptCount val="4"/>
                <c:pt idx="0">
                  <c:v>0</c:v>
                </c:pt>
                <c:pt idx="1">
                  <c:v>12185.884803305064</c:v>
                </c:pt>
                <c:pt idx="2">
                  <c:v>8717.0415355715377</c:v>
                </c:pt>
                <c:pt idx="3">
                  <c:v>8710.5279603109702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6-4316-8923-1C8D00C3F2FF}"/>
            </c:ext>
          </c:extLst>
        </c:ser>
        <c:ser>
          <c:idx val="1"/>
          <c:order val="1"/>
          <c:tx>
            <c:strRef>
              <c:f>'Commerce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'Commerce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AMS'!$H$9:$K$9</c:f>
              <c:numCache>
                <c:formatCode>#,##0</c:formatCode>
                <c:ptCount val="4"/>
                <c:pt idx="0">
                  <c:v>184229.64520786435</c:v>
                </c:pt>
                <c:pt idx="1">
                  <c:v>175681.38967021945</c:v>
                </c:pt>
                <c:pt idx="2">
                  <c:v>179009.85416078556</c:v>
                </c:pt>
                <c:pt idx="3">
                  <c:v>172479.99008131743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6-4316-8923-1C8D00C3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'Commerce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AMS'!$H$111:$K$111</c:f>
              <c:numCache>
                <c:formatCode>_-* #\ ##0_-;\-* #\ ##0_-;_-* "-"??_-;_-@_-</c:formatCode>
                <c:ptCount val="4"/>
                <c:pt idx="0" formatCode="0">
                  <c:v>2825.1581894874689</c:v>
                </c:pt>
                <c:pt idx="1">
                  <c:v>275.58727940169985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B-4B9B-8539-106D984C36C3}"/>
            </c:ext>
          </c:extLst>
        </c:ser>
        <c:ser>
          <c:idx val="1"/>
          <c:order val="1"/>
          <c:tx>
            <c:strRef>
              <c:f>'Commerce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AMS'!$H$112:$K$112</c:f>
              <c:numCache>
                <c:formatCode>_-* #\ ##0_-;\-* #\ ##0_-;_-* "-"??_-;_-@_-</c:formatCode>
                <c:ptCount val="4"/>
                <c:pt idx="0" formatCode="0">
                  <c:v>6474.3255711101701</c:v>
                </c:pt>
                <c:pt idx="1">
                  <c:v>4727.3622271382928</c:v>
                </c:pt>
                <c:pt idx="2">
                  <c:v>2066.4332546828405</c:v>
                </c:pt>
                <c:pt idx="3">
                  <c:v>224.99473540692037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B-4B9B-8539-106D984C36C3}"/>
            </c:ext>
          </c:extLst>
        </c:ser>
        <c:ser>
          <c:idx val="2"/>
          <c:order val="2"/>
          <c:tx>
            <c:strRef>
              <c:f>'Commerce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AMS'!$H$113:$K$113</c:f>
              <c:numCache>
                <c:formatCode>_-* #\ ##0_-;\-* #\ ##0_-;_-* "-"??_-;_-@_-</c:formatCode>
                <c:ptCount val="4"/>
                <c:pt idx="0" formatCode="0">
                  <c:v>323.38464083686932</c:v>
                </c:pt>
                <c:pt idx="1">
                  <c:v>1376.7007554386323</c:v>
                </c:pt>
                <c:pt idx="2">
                  <c:v>1263.2911403616808</c:v>
                </c:pt>
                <c:pt idx="3">
                  <c:v>1150.4018372350261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B-4B9B-8539-106D984C36C3}"/>
            </c:ext>
          </c:extLst>
        </c:ser>
        <c:ser>
          <c:idx val="3"/>
          <c:order val="3"/>
          <c:tx>
            <c:strRef>
              <c:f>'Commerce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AMS'!$H$114:$K$114</c:f>
              <c:numCache>
                <c:formatCode>_-* #\ ##0_-;\-* #\ ##0_-;_-* "-"??_-;_-@_-</c:formatCode>
                <c:ptCount val="4"/>
                <c:pt idx="0" formatCode="0">
                  <c:v>131.01559263619083</c:v>
                </c:pt>
                <c:pt idx="1">
                  <c:v>70.986946871351634</c:v>
                </c:pt>
                <c:pt idx="2">
                  <c:v>32.569598262235161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B-4B9B-8539-106D984C36C3}"/>
            </c:ext>
          </c:extLst>
        </c:ser>
        <c:ser>
          <c:idx val="4"/>
          <c:order val="4"/>
          <c:tx>
            <c:strRef>
              <c:f>'Commerce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AMS'!$H$115:$K$115</c:f>
              <c:numCache>
                <c:formatCode>_-* #\ ##0_-;\-* #\ ##0_-;_-* "-"??_-;_-@_-</c:formatCode>
                <c:ptCount val="4"/>
                <c:pt idx="0" formatCode="0">
                  <c:v>117.11354840298051</c:v>
                </c:pt>
                <c:pt idx="1">
                  <c:v>154.10386570792613</c:v>
                </c:pt>
                <c:pt idx="2">
                  <c:v>195.47731887985574</c:v>
                </c:pt>
                <c:pt idx="3">
                  <c:v>217.36555641079039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6B-4B9B-8539-106D984C36C3}"/>
            </c:ext>
          </c:extLst>
        </c:ser>
        <c:ser>
          <c:idx val="5"/>
          <c:order val="5"/>
          <c:tx>
            <c:strRef>
              <c:f>'Commerce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AMS'!$H$116:$K$116</c:f>
              <c:numCache>
                <c:formatCode>_-* #\ ##0_-;\-* #\ ##0_-;_-* "-"??_-;_-@_-</c:formatCode>
                <c:ptCount val="4"/>
                <c:pt idx="0" formatCode="0">
                  <c:v>2186.1859558612259</c:v>
                </c:pt>
                <c:pt idx="1">
                  <c:v>1166.7924688062055</c:v>
                </c:pt>
                <c:pt idx="2">
                  <c:v>1218.9974593889197</c:v>
                </c:pt>
                <c:pt idx="3">
                  <c:v>1093.1389808184611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6B-4B9B-8539-106D984C36C3}"/>
            </c:ext>
          </c:extLst>
        </c:ser>
        <c:ser>
          <c:idx val="6"/>
          <c:order val="6"/>
          <c:tx>
            <c:strRef>
              <c:f>'Commerce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AMS'!$H$117:$K$117</c:f>
              <c:numCache>
                <c:formatCode>_-* #\ ##0_-;\-* #\ ##0_-;_-* "-"??_-;_-@_-</c:formatCode>
                <c:ptCount val="4"/>
                <c:pt idx="0" formatCode="0">
                  <c:v>677.15801533657805</c:v>
                </c:pt>
                <c:pt idx="1">
                  <c:v>1850.9297417230425</c:v>
                </c:pt>
                <c:pt idx="2">
                  <c:v>2853.4030119868003</c:v>
                </c:pt>
                <c:pt idx="3">
                  <c:v>3195.5715485691999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6B-4B9B-8539-106D984C3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'Commerce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AMS'!$H$122:$K$122</c:f>
              <c:numCache>
                <c:formatCode>_-* #\ ##0_-;\-* #\ ##0_-;_-* "-"??_-;_-@_-</c:formatCode>
                <c:ptCount val="4"/>
                <c:pt idx="0">
                  <c:v>605.51356459567489</c:v>
                </c:pt>
                <c:pt idx="1">
                  <c:v>58.324987874445448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0-443C-8C93-DFDB8616FFFC}"/>
            </c:ext>
          </c:extLst>
        </c:ser>
        <c:ser>
          <c:idx val="1"/>
          <c:order val="1"/>
          <c:tx>
            <c:strRef>
              <c:f>'Commerce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AMS'!$H$123:$K$123</c:f>
              <c:numCache>
                <c:formatCode>_-* #\ ##0_-;\-* #\ ##0_-;_-* "-"??_-;_-@_-</c:formatCode>
                <c:ptCount val="4"/>
                <c:pt idx="0">
                  <c:v>1387.6362638748571</c:v>
                </c:pt>
                <c:pt idx="1">
                  <c:v>1043.3265700558986</c:v>
                </c:pt>
                <c:pt idx="2">
                  <c:v>475.51809147908551</c:v>
                </c:pt>
                <c:pt idx="3">
                  <c:v>53.776908506879444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0-443C-8C93-DFDB8616FFFC}"/>
            </c:ext>
          </c:extLst>
        </c:ser>
        <c:ser>
          <c:idx val="2"/>
          <c:order val="2"/>
          <c:tx>
            <c:strRef>
              <c:f>'Commerce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AMS'!$H$124:$K$124</c:f>
              <c:numCache>
                <c:formatCode>_-* #\ ##0_-;\-* #\ ##0_-;_-* "-"??_-;_-@_-</c:formatCode>
                <c:ptCount val="4"/>
                <c:pt idx="0">
                  <c:v>69.310733585558509</c:v>
                </c:pt>
                <c:pt idx="1">
                  <c:v>332.41517120893758</c:v>
                </c:pt>
                <c:pt idx="2">
                  <c:v>325.21661509865697</c:v>
                </c:pt>
                <c:pt idx="3">
                  <c:v>314.54324905618859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E0-443C-8C93-DFDB8616FFFC}"/>
            </c:ext>
          </c:extLst>
        </c:ser>
        <c:ser>
          <c:idx val="3"/>
          <c:order val="3"/>
          <c:tx>
            <c:strRef>
              <c:f>'Commerce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AMS'!$H$125:$K$125</c:f>
              <c:numCache>
                <c:formatCode>_-* #\ ##0_-;\-* #\ ##0_-;_-* "-"??_-;_-@_-</c:formatCode>
                <c:ptCount val="4"/>
                <c:pt idx="0">
                  <c:v>28.080451852201186</c:v>
                </c:pt>
                <c:pt idx="1">
                  <c:v>17.140353852948813</c:v>
                </c:pt>
                <c:pt idx="2">
                  <c:v>8.3845870231739923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E0-443C-8C93-DFDB8616FFFC}"/>
            </c:ext>
          </c:extLst>
        </c:ser>
        <c:ser>
          <c:idx val="4"/>
          <c:order val="4"/>
          <c:tx>
            <c:strRef>
              <c:f>'Commerce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AMS'!$H$126:$K$126</c:f>
              <c:numCache>
                <c:formatCode>_-* #\ ##0_-;\-* #\ ##0_-;_-* "-"??_-;_-@_-</c:formatCode>
                <c:ptCount val="4"/>
                <c:pt idx="0">
                  <c:v>25.100839457347977</c:v>
                </c:pt>
                <c:pt idx="1">
                  <c:v>37.209584363842424</c:v>
                </c:pt>
                <c:pt idx="2">
                  <c:v>50.322898612640202</c:v>
                </c:pt>
                <c:pt idx="3">
                  <c:v>59.432161991921561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E0-443C-8C93-DFDB8616FFFC}"/>
            </c:ext>
          </c:extLst>
        </c:ser>
        <c:ser>
          <c:idx val="5"/>
          <c:order val="5"/>
          <c:tx>
            <c:strRef>
              <c:f>'Commerce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AMS'!$H$127:$K$127</c:f>
              <c:numCache>
                <c:formatCode>_-* #\ ##0_-;\-* #\ ##0_-;_-* "-"??_-;_-@_-</c:formatCode>
                <c:ptCount val="4"/>
                <c:pt idx="0">
                  <c:v>468.56323158409987</c:v>
                </c:pt>
                <c:pt idx="1">
                  <c:v>225.13492912792759</c:v>
                </c:pt>
                <c:pt idx="2">
                  <c:v>237.23776950293521</c:v>
                </c:pt>
                <c:pt idx="3">
                  <c:v>213.7576763356027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E0-443C-8C93-DFDB8616FFFC}"/>
            </c:ext>
          </c:extLst>
        </c:ser>
        <c:ser>
          <c:idx val="6"/>
          <c:order val="6"/>
          <c:tx>
            <c:strRef>
              <c:f>'Commerce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'Commerce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'Commerce - AMS'!$H$128:$K$128</c:f>
              <c:numCache>
                <c:formatCode>_-* #\ ##0_-;\-* #\ ##0_-;_-* "-"??_-;_-@_-</c:formatCode>
                <c:ptCount val="4"/>
                <c:pt idx="0">
                  <c:v>145.13465659612143</c:v>
                </c:pt>
                <c:pt idx="1">
                  <c:v>357.14057757841277</c:v>
                </c:pt>
                <c:pt idx="2">
                  <c:v>555.32106391431796</c:v>
                </c:pt>
                <c:pt idx="3">
                  <c:v>624.87749570038909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E0-443C-8C93-DFDB8616F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'Commerce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AMS'!$H$45:$K$45</c:f>
              <c:numCache>
                <c:formatCode>0%</c:formatCode>
                <c:ptCount val="4"/>
                <c:pt idx="0">
                  <c:v>0.184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D-4FC7-8144-16701B3B2B2A}"/>
            </c:ext>
          </c:extLst>
        </c:ser>
        <c:ser>
          <c:idx val="1"/>
          <c:order val="1"/>
          <c:tx>
            <c:strRef>
              <c:f>'Commerce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AMS'!$H$46:$K$46</c:f>
              <c:numCache>
                <c:formatCode>0%</c:formatCode>
                <c:ptCount val="4"/>
                <c:pt idx="0">
                  <c:v>0.39300000000000002</c:v>
                </c:pt>
                <c:pt idx="1">
                  <c:v>0.33</c:v>
                </c:pt>
                <c:pt idx="2">
                  <c:v>0.15720000000000001</c:v>
                </c:pt>
                <c:pt idx="3">
                  <c:v>1.9650000000000001E-2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D-4FC7-8144-16701B3B2B2A}"/>
            </c:ext>
          </c:extLst>
        </c:ser>
        <c:ser>
          <c:idx val="2"/>
          <c:order val="2"/>
          <c:tx>
            <c:strRef>
              <c:f>'Commerce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AMS'!$H$47:$K$47</c:f>
              <c:numCache>
                <c:formatCode>0%</c:formatCode>
                <c:ptCount val="4"/>
                <c:pt idx="0">
                  <c:v>4.2000000000000003E-2</c:v>
                </c:pt>
                <c:pt idx="1">
                  <c:v>0.22</c:v>
                </c:pt>
                <c:pt idx="2">
                  <c:v>0.22</c:v>
                </c:pt>
                <c:pt idx="3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D-4FC7-8144-16701B3B2B2A}"/>
            </c:ext>
          </c:extLst>
        </c:ser>
        <c:ser>
          <c:idx val="3"/>
          <c:order val="3"/>
          <c:tx>
            <c:strRef>
              <c:f>'Commerce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AMS'!$H$48:$K$48</c:f>
              <c:numCache>
                <c:formatCode>0%</c:formatCode>
                <c:ptCount val="4"/>
                <c:pt idx="0">
                  <c:v>1.7999999999999999E-2</c:v>
                </c:pt>
                <c:pt idx="1">
                  <c:v>1.2E-2</c:v>
                </c:pt>
                <c:pt idx="2">
                  <c:v>6.0000000000000001E-3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7D-4FC7-8144-16701B3B2B2A}"/>
            </c:ext>
          </c:extLst>
        </c:ser>
        <c:ser>
          <c:idx val="4"/>
          <c:order val="4"/>
          <c:tx>
            <c:strRef>
              <c:f>'Commerce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AMS'!$H$49:$K$49</c:f>
              <c:numCache>
                <c:formatCode>0%</c:formatCode>
                <c:ptCount val="4"/>
                <c:pt idx="0">
                  <c:v>1.4E-2</c:v>
                </c:pt>
                <c:pt idx="1">
                  <c:v>2.2666666666666668E-2</c:v>
                </c:pt>
                <c:pt idx="2">
                  <c:v>3.1333333333333338E-2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D-4FC7-8144-16701B3B2B2A}"/>
            </c:ext>
          </c:extLst>
        </c:ser>
        <c:ser>
          <c:idx val="5"/>
          <c:order val="5"/>
          <c:tx>
            <c:strRef>
              <c:f>'Commerce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AMS'!$H$50:$K$50</c:f>
              <c:numCache>
                <c:formatCode>0%</c:formatCode>
                <c:ptCount val="4"/>
                <c:pt idx="0">
                  <c:v>0.26200000000000001</c:v>
                </c:pt>
                <c:pt idx="1">
                  <c:v>0.14533333333333326</c:v>
                </c:pt>
                <c:pt idx="2">
                  <c:v>0.16546666666666671</c:v>
                </c:pt>
                <c:pt idx="3">
                  <c:v>0.17035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7D-4FC7-8144-16701B3B2B2A}"/>
            </c:ext>
          </c:extLst>
        </c:ser>
        <c:ser>
          <c:idx val="6"/>
          <c:order val="6"/>
          <c:tx>
            <c:strRef>
              <c:f>'Commerce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'Commerce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'Commerce - AMS'!$H$51:$K$51</c:f>
              <c:numCache>
                <c:formatCode>0%</c:formatCode>
                <c:ptCount val="4"/>
                <c:pt idx="0">
                  <c:v>8.7999999999999995E-2</c:v>
                </c:pt>
                <c:pt idx="1">
                  <c:v>0.25</c:v>
                </c:pt>
                <c:pt idx="2">
                  <c:v>0.42</c:v>
                </c:pt>
                <c:pt idx="3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7D-4FC7-8144-16701B3B2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0096"/>
        <c:axId val="1666915520"/>
      </c:areaChart>
      <c:catAx>
        <c:axId val="166692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6915520"/>
        <c:crosses val="autoZero"/>
        <c:auto val="1"/>
        <c:lblAlgn val="ctr"/>
        <c:lblOffset val="100"/>
        <c:noMultiLvlLbl val="0"/>
      </c:catAx>
      <c:valAx>
        <c:axId val="16669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692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AMS'!$H$13:$K$13</c:f>
              <c:numCache>
                <c:formatCode>#,##0</c:formatCode>
                <c:ptCount val="4"/>
                <c:pt idx="0">
                  <c:v>3584.8950181469531</c:v>
                </c:pt>
                <c:pt idx="1">
                  <c:v>304.58902770750842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C-42E4-B74C-E478FE364A14}"/>
            </c:ext>
          </c:extLst>
        </c:ser>
        <c:ser>
          <c:idx val="1"/>
          <c:order val="1"/>
          <c:tx>
            <c:strRef>
              <c:f>'Enseignement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AMS'!$H$14:$K$14</c:f>
              <c:numCache>
                <c:formatCode>#,##0</c:formatCode>
                <c:ptCount val="4"/>
                <c:pt idx="0">
                  <c:v>8977.673558736793</c:v>
                </c:pt>
                <c:pt idx="1">
                  <c:v>6436.4040096628632</c:v>
                </c:pt>
                <c:pt idx="2">
                  <c:v>2597.8391853258727</c:v>
                </c:pt>
                <c:pt idx="3">
                  <c:v>270.25382242504065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C-42E4-B74C-E478FE364A14}"/>
            </c:ext>
          </c:extLst>
        </c:ser>
        <c:ser>
          <c:idx val="2"/>
          <c:order val="2"/>
          <c:tx>
            <c:strRef>
              <c:f>'Enseignement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AMS'!$H$15:$K$15</c:f>
              <c:numCache>
                <c:formatCode>#,##0</c:formatCode>
                <c:ptCount val="4"/>
                <c:pt idx="0">
                  <c:v>1357.2566620782518</c:v>
                </c:pt>
                <c:pt idx="1">
                  <c:v>2595.2198302629872</c:v>
                </c:pt>
                <c:pt idx="2">
                  <c:v>2581.6187342533908</c:v>
                </c:pt>
                <c:pt idx="3">
                  <c:v>2404.4925223081127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C-42E4-B74C-E478FE364A14}"/>
            </c:ext>
          </c:extLst>
        </c:ser>
        <c:ser>
          <c:idx val="3"/>
          <c:order val="3"/>
          <c:tx>
            <c:strRef>
              <c:f>'Enseignement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AMS'!$H$16:$K$16</c:f>
              <c:numCache>
                <c:formatCode>#,##0</c:formatCode>
                <c:ptCount val="4"/>
                <c:pt idx="0">
                  <c:v>214.36380852936159</c:v>
                </c:pt>
                <c:pt idx="1">
                  <c:v>115.70235547312929</c:v>
                </c:pt>
                <c:pt idx="2">
                  <c:v>51.230321398638715</c:v>
                </c:pt>
                <c:pt idx="3">
                  <c:v>2.4997131310417626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3C-42E4-B74C-E478FE364A14}"/>
            </c:ext>
          </c:extLst>
        </c:ser>
        <c:ser>
          <c:idx val="4"/>
          <c:order val="4"/>
          <c:tx>
            <c:strRef>
              <c:f>'Enseignement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AMS'!$H$17:$K$17</c:f>
              <c:numCache>
                <c:formatCode>#,##0</c:formatCode>
                <c:ptCount val="4"/>
                <c:pt idx="0">
                  <c:v>141.75559832606967</c:v>
                </c:pt>
                <c:pt idx="1">
                  <c:v>241.1840938451827</c:v>
                </c:pt>
                <c:pt idx="2">
                  <c:v>431.13947967711607</c:v>
                </c:pt>
                <c:pt idx="3">
                  <c:v>365.75322003815785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3C-42E4-B74C-E478FE364A14}"/>
            </c:ext>
          </c:extLst>
        </c:ser>
        <c:ser>
          <c:idx val="5"/>
          <c:order val="5"/>
          <c:tx>
            <c:strRef>
              <c:f>'Enseignement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AMS'!$H$18:$K$18</c:f>
              <c:numCache>
                <c:formatCode>#,##0</c:formatCode>
                <c:ptCount val="4"/>
                <c:pt idx="0">
                  <c:v>751.98019755972325</c:v>
                </c:pt>
                <c:pt idx="1">
                  <c:v>561.3106788561746</c:v>
                </c:pt>
                <c:pt idx="2">
                  <c:v>466.12066027913392</c:v>
                </c:pt>
                <c:pt idx="3">
                  <c:v>387.40916559088714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3C-42E4-B74C-E478FE364A14}"/>
            </c:ext>
          </c:extLst>
        </c:ser>
        <c:ser>
          <c:idx val="6"/>
          <c:order val="6"/>
          <c:tx>
            <c:strRef>
              <c:f>'Enseignement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AMS'!$H$19:$K$19</c:f>
              <c:numCache>
                <c:formatCode>#,##0</c:formatCode>
                <c:ptCount val="4"/>
                <c:pt idx="0">
                  <c:v>116.24970775877308</c:v>
                </c:pt>
                <c:pt idx="1">
                  <c:v>1556.8070272456935</c:v>
                </c:pt>
                <c:pt idx="2">
                  <c:v>3067.7926355819236</c:v>
                </c:pt>
                <c:pt idx="3">
                  <c:v>3631.8738295514217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C-42E4-B74C-E478FE364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'Enseignement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'Enseignement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AMS'!$H$8:$K$8</c:f>
              <c:numCache>
                <c:formatCode>#,##0</c:formatCode>
                <c:ptCount val="4"/>
                <c:pt idx="0">
                  <c:v>0</c:v>
                </c:pt>
                <c:pt idx="1">
                  <c:v>4962.05556380077</c:v>
                </c:pt>
                <c:pt idx="2">
                  <c:v>3394.7194103913025</c:v>
                </c:pt>
                <c:pt idx="3">
                  <c:v>3357.062697205185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E-4954-9F34-987F0D2BE964}"/>
            </c:ext>
          </c:extLst>
        </c:ser>
        <c:ser>
          <c:idx val="1"/>
          <c:order val="1"/>
          <c:tx>
            <c:strRef>
              <c:f>'Enseignement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'Enseignement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AMS'!$H$9:$K$9</c:f>
              <c:numCache>
                <c:formatCode>#,##0</c:formatCode>
                <c:ptCount val="4"/>
                <c:pt idx="0">
                  <c:v>167106.71056882737</c:v>
                </c:pt>
                <c:pt idx="1">
                  <c:v>163744.17685661104</c:v>
                </c:pt>
                <c:pt idx="2">
                  <c:v>163440.099959646</c:v>
                </c:pt>
                <c:pt idx="3">
                  <c:v>155937.36674288791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E-4954-9F34-987F0D2BE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AMS'!$H$111:$K$111</c:f>
              <c:numCache>
                <c:formatCode>_-* #\ ##0_-;\-* #\ ##0_-;_-* "-"??_-;_-@_-</c:formatCode>
                <c:ptCount val="4"/>
                <c:pt idx="0" formatCode="0">
                  <c:v>3380.5560021125771</c:v>
                </c:pt>
                <c:pt idx="1">
                  <c:v>286.16628598600329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2-456E-B9BB-36A93F3D0D0B}"/>
            </c:ext>
          </c:extLst>
        </c:ser>
        <c:ser>
          <c:idx val="1"/>
          <c:order val="1"/>
          <c:tx>
            <c:strRef>
              <c:f>'Enseignement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AMS'!$H$112:$K$112</c:f>
              <c:numCache>
                <c:formatCode>_-* #\ ##0_-;\-* #\ ##0_-;_-* "-"??_-;_-@_-</c:formatCode>
                <c:ptCount val="4"/>
                <c:pt idx="0" formatCode="0">
                  <c:v>8465.9461658887958</c:v>
                </c:pt>
                <c:pt idx="1">
                  <c:v>6031.4869398973224</c:v>
                </c:pt>
                <c:pt idx="2">
                  <c:v>2421.3259094542118</c:v>
                </c:pt>
                <c:pt idx="3">
                  <c:v>250.48704101709851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2-456E-B9BB-36A93F3D0D0B}"/>
            </c:ext>
          </c:extLst>
        </c:ser>
        <c:ser>
          <c:idx val="2"/>
          <c:order val="2"/>
          <c:tx>
            <c:strRef>
              <c:f>'Enseignement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AMS'!$H$113:$K$113</c:f>
              <c:numCache>
                <c:formatCode>_-* #\ ##0_-;\-* #\ ##0_-;_-* "-"??_-;_-@_-</c:formatCode>
                <c:ptCount val="4"/>
                <c:pt idx="0" formatCode="0">
                  <c:v>1279.8930323397915</c:v>
                </c:pt>
                <c:pt idx="1">
                  <c:v>2359.4926944548711</c:v>
                </c:pt>
                <c:pt idx="2">
                  <c:v>2341.9833043735862</c:v>
                </c:pt>
                <c:pt idx="3">
                  <c:v>2191.0450488691422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2-456E-B9BB-36A93F3D0D0B}"/>
            </c:ext>
          </c:extLst>
        </c:ser>
        <c:ser>
          <c:idx val="3"/>
          <c:order val="3"/>
          <c:tx>
            <c:strRef>
              <c:f>'Enseignement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AMS'!$H$114:$K$114</c:f>
              <c:numCache>
                <c:formatCode>_-* #\ ##0_-;\-* #\ ##0_-;_-* "-"??_-;_-@_-</c:formatCode>
                <c:ptCount val="4"/>
                <c:pt idx="0" formatCode="0">
                  <c:v>202.14507144318799</c:v>
                </c:pt>
                <c:pt idx="1">
                  <c:v>104.34368031297925</c:v>
                </c:pt>
                <c:pt idx="2">
                  <c:v>45.030158165520199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C2-456E-B9BB-36A93F3D0D0B}"/>
            </c:ext>
          </c:extLst>
        </c:ser>
        <c:ser>
          <c:idx val="4"/>
          <c:order val="4"/>
          <c:tx>
            <c:strRef>
              <c:f>'Enseignement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AMS'!$H$115:$K$115</c:f>
              <c:numCache>
                <c:formatCode>_-* #\ ##0_-;\-* #\ ##0_-;_-* "-"??_-;_-@_-</c:formatCode>
                <c:ptCount val="4"/>
                <c:pt idx="0" formatCode="0">
                  <c:v>133.67552922148371</c:v>
                </c:pt>
                <c:pt idx="1">
                  <c:v>222.33631027021653</c:v>
                </c:pt>
                <c:pt idx="2">
                  <c:v>397.03698475740572</c:v>
                </c:pt>
                <c:pt idx="3">
                  <c:v>328.58895730777812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2-456E-B9BB-36A93F3D0D0B}"/>
            </c:ext>
          </c:extLst>
        </c:ser>
        <c:ser>
          <c:idx val="5"/>
          <c:order val="5"/>
          <c:tx>
            <c:strRef>
              <c:f>'Enseignement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AMS'!$H$116:$K$116</c:f>
              <c:numCache>
                <c:formatCode>_-* #\ ##0_-;\-* #\ ##0_-;_-* "-"??_-;_-@_-</c:formatCode>
                <c:ptCount val="4"/>
                <c:pt idx="0" formatCode="0">
                  <c:v>709.11732629881908</c:v>
                </c:pt>
                <c:pt idx="1">
                  <c:v>478.97203811329308</c:v>
                </c:pt>
                <c:pt idx="2">
                  <c:v>439.25497456328378</c:v>
                </c:pt>
                <c:pt idx="3">
                  <c:v>364.21653774746648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C2-456E-B9BB-36A93F3D0D0B}"/>
            </c:ext>
          </c:extLst>
        </c:ser>
        <c:ser>
          <c:idx val="6"/>
          <c:order val="6"/>
          <c:tx>
            <c:strRef>
              <c:f>'Enseignement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AMS'!$H$117:$K$117</c:f>
              <c:numCache>
                <c:formatCode>_-* #\ ##0_-;\-* #\ ##0_-;_-* "-"??_-;_-@_-</c:formatCode>
                <c:ptCount val="4"/>
                <c:pt idx="0" formatCode="0">
                  <c:v>109.62347441652302</c:v>
                </c:pt>
                <c:pt idx="1">
                  <c:v>1391.3063613653021</c:v>
                </c:pt>
                <c:pt idx="2">
                  <c:v>2801.991887113621</c:v>
                </c:pt>
                <c:pt idx="3">
                  <c:v>3312.7665608643456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C2-456E-B9BB-36A93F3D0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'Enseignement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AMS'!$H$122:$K$122</c:f>
              <c:numCache>
                <c:formatCode>_-* #\ ##0_-;\-* #\ ##0_-;_-* "-"??_-;_-@_-</c:formatCode>
                <c:ptCount val="4"/>
                <c:pt idx="0">
                  <c:v>204.33901603437613</c:v>
                </c:pt>
                <c:pt idx="1">
                  <c:v>18.422741721505112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3-4E56-8B06-DC08355C2B92}"/>
            </c:ext>
          </c:extLst>
        </c:ser>
        <c:ser>
          <c:idx val="1"/>
          <c:order val="1"/>
          <c:tx>
            <c:strRef>
              <c:f>'Enseignement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AMS'!$H$123:$K$123</c:f>
              <c:numCache>
                <c:formatCode>_-* #\ ##0_-;\-* #\ ##0_-;_-* "-"??_-;_-@_-</c:formatCode>
                <c:ptCount val="4"/>
                <c:pt idx="0">
                  <c:v>511.72739284799661</c:v>
                </c:pt>
                <c:pt idx="1">
                  <c:v>404.91706976554065</c:v>
                </c:pt>
                <c:pt idx="2">
                  <c:v>176.5132758716608</c:v>
                </c:pt>
                <c:pt idx="3">
                  <c:v>19.766781407942148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3-4E56-8B06-DC08355C2B92}"/>
            </c:ext>
          </c:extLst>
        </c:ser>
        <c:ser>
          <c:idx val="2"/>
          <c:order val="2"/>
          <c:tx>
            <c:strRef>
              <c:f>'Enseignement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AMS'!$H$124:$K$124</c:f>
              <c:numCache>
                <c:formatCode>_-* #\ ##0_-;\-* #\ ##0_-;_-* "-"??_-;_-@_-</c:formatCode>
                <c:ptCount val="4"/>
                <c:pt idx="0">
                  <c:v>77.363629738460261</c:v>
                </c:pt>
                <c:pt idx="1">
                  <c:v>164.63563186979047</c:v>
                </c:pt>
                <c:pt idx="2">
                  <c:v>190.99919329794545</c:v>
                </c:pt>
                <c:pt idx="3">
                  <c:v>174.97009117011675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C3-4E56-8B06-DC08355C2B92}"/>
            </c:ext>
          </c:extLst>
        </c:ser>
        <c:ser>
          <c:idx val="3"/>
          <c:order val="3"/>
          <c:tx>
            <c:strRef>
              <c:f>'Enseignement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AMS'!$H$125:$K$125</c:f>
              <c:numCache>
                <c:formatCode>_-* #\ ##0_-;\-* #\ ##0_-;_-* "-"??_-;_-@_-</c:formatCode>
                <c:ptCount val="4"/>
                <c:pt idx="0">
                  <c:v>12.218737086173597</c:v>
                </c:pt>
                <c:pt idx="1">
                  <c:v>7.663863186540504</c:v>
                </c:pt>
                <c:pt idx="2">
                  <c:v>3.6724104171159744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C3-4E56-8B06-DC08355C2B92}"/>
            </c:ext>
          </c:extLst>
        </c:ser>
        <c:ser>
          <c:idx val="4"/>
          <c:order val="4"/>
          <c:tx>
            <c:strRef>
              <c:f>'Enseignement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AMS'!$H$126:$K$126</c:f>
              <c:numCache>
                <c:formatCode>_-* #\ ##0_-;\-* #\ ##0_-;_-* "-"??_-;_-@_-</c:formatCode>
                <c:ptCount val="4"/>
                <c:pt idx="0">
                  <c:v>8.0800691045859629</c:v>
                </c:pt>
                <c:pt idx="1">
                  <c:v>16.330218161752974</c:v>
                </c:pt>
                <c:pt idx="2">
                  <c:v>32.380138516143909</c:v>
                </c:pt>
                <c:pt idx="3">
                  <c:v>29.662721032715758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C3-4E56-8B06-DC08355C2B92}"/>
            </c:ext>
          </c:extLst>
        </c:ser>
        <c:ser>
          <c:idx val="5"/>
          <c:order val="5"/>
          <c:tx>
            <c:strRef>
              <c:f>'Enseignement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AMS'!$H$127:$K$127</c:f>
              <c:numCache>
                <c:formatCode>_-* #\ ##0_-;\-* #\ ##0_-;_-* "-"??_-;_-@_-</c:formatCode>
                <c:ptCount val="4"/>
                <c:pt idx="0">
                  <c:v>42.862871260904178</c:v>
                </c:pt>
                <c:pt idx="1">
                  <c:v>33.911359383076686</c:v>
                </c:pt>
                <c:pt idx="2">
                  <c:v>27.081716259950266</c:v>
                </c:pt>
                <c:pt idx="3">
                  <c:v>23.514363167910567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C3-4E56-8B06-DC08355C2B92}"/>
            </c:ext>
          </c:extLst>
        </c:ser>
        <c:ser>
          <c:idx val="6"/>
          <c:order val="6"/>
          <c:tx>
            <c:strRef>
              <c:f>'Enseignement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'Enseignement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'Enseignement - AMS'!$H$128:$K$128</c:f>
              <c:numCache>
                <c:formatCode>_-* #\ ##0_-;\-* #\ ##0_-;_-* "-"??_-;_-@_-</c:formatCode>
                <c:ptCount val="4"/>
                <c:pt idx="0">
                  <c:v>6.6262333422500586</c:v>
                </c:pt>
                <c:pt idx="1">
                  <c:v>81.660557452955928</c:v>
                </c:pt>
                <c:pt idx="2">
                  <c:v>172.75330649342763</c:v>
                </c:pt>
                <c:pt idx="3">
                  <c:v>224.57101017065776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C3-4E56-8B06-DC08355C2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'Enseignement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AMS'!$H$45:$K$45</c:f>
              <c:numCache>
                <c:formatCode>0%</c:formatCode>
                <c:ptCount val="4"/>
                <c:pt idx="0">
                  <c:v>0.20200000000000001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6-4723-AC49-1BC8DC656717}"/>
            </c:ext>
          </c:extLst>
        </c:ser>
        <c:ser>
          <c:idx val="1"/>
          <c:order val="1"/>
          <c:tx>
            <c:strRef>
              <c:f>'Enseignement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AMS'!$H$46:$K$46</c:f>
              <c:numCache>
                <c:formatCode>0%</c:formatCode>
                <c:ptCount val="4"/>
                <c:pt idx="0">
                  <c:v>0.58799999999999997</c:v>
                </c:pt>
                <c:pt idx="1">
                  <c:v>0.50568000000000002</c:v>
                </c:pt>
                <c:pt idx="2">
                  <c:v>0.23519999999999999</c:v>
                </c:pt>
                <c:pt idx="3">
                  <c:v>2.9399999999999999E-2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6-4723-AC49-1BC8DC656717}"/>
            </c:ext>
          </c:extLst>
        </c:ser>
        <c:ser>
          <c:idx val="2"/>
          <c:order val="2"/>
          <c:tx>
            <c:strRef>
              <c:f>'Enseignement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AMS'!$H$47:$K$47</c:f>
              <c:numCache>
                <c:formatCode>0%</c:formatCode>
                <c:ptCount val="4"/>
                <c:pt idx="0">
                  <c:v>8.4000000000000005E-2</c:v>
                </c:pt>
                <c:pt idx="1">
                  <c:v>0.2</c:v>
                </c:pt>
                <c:pt idx="2">
                  <c:v>0.23</c:v>
                </c:pt>
                <c:pt idx="3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56-4723-AC49-1BC8DC656717}"/>
            </c:ext>
          </c:extLst>
        </c:ser>
        <c:ser>
          <c:idx val="3"/>
          <c:order val="3"/>
          <c:tx>
            <c:strRef>
              <c:f>'Enseignement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AMS'!$H$48:$K$48</c:f>
              <c:numCache>
                <c:formatCode>0%</c:formatCode>
                <c:ptCount val="4"/>
                <c:pt idx="0">
                  <c:v>1.2999999999999999E-2</c:v>
                </c:pt>
                <c:pt idx="1">
                  <c:v>8.6666666666666663E-3</c:v>
                </c:pt>
                <c:pt idx="2">
                  <c:v>4.3333333333333331E-3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56-4723-AC49-1BC8DC656717}"/>
            </c:ext>
          </c:extLst>
        </c:ser>
        <c:ser>
          <c:idx val="4"/>
          <c:order val="4"/>
          <c:tx>
            <c:strRef>
              <c:f>'Enseignement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AMS'!$H$49:$K$49</c:f>
              <c:numCache>
                <c:formatCode>0%</c:formatCode>
                <c:ptCount val="4"/>
                <c:pt idx="0">
                  <c:v>8.9999999999999993E-3</c:v>
                </c:pt>
                <c:pt idx="1">
                  <c:v>1.9333333333333334E-2</c:v>
                </c:pt>
                <c:pt idx="2">
                  <c:v>0.04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56-4723-AC49-1BC8DC656717}"/>
            </c:ext>
          </c:extLst>
        </c:ser>
        <c:ser>
          <c:idx val="5"/>
          <c:order val="5"/>
          <c:tx>
            <c:strRef>
              <c:f>'Enseignement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AMS'!$H$50:$K$50</c:f>
              <c:numCache>
                <c:formatCode>0%</c:formatCode>
                <c:ptCount val="4"/>
                <c:pt idx="0">
                  <c:v>0.09</c:v>
                </c:pt>
                <c:pt idx="1">
                  <c:v>6.6319999999999962E-2</c:v>
                </c:pt>
                <c:pt idx="2">
                  <c:v>7.0466666666666788E-2</c:v>
                </c:pt>
                <c:pt idx="3">
                  <c:v>7.0599999999999996E-2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56-4723-AC49-1BC8DC656717}"/>
            </c:ext>
          </c:extLst>
        </c:ser>
        <c:ser>
          <c:idx val="6"/>
          <c:order val="6"/>
          <c:tx>
            <c:strRef>
              <c:f>'Enseignement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'Enseignement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'Enseignement - AMS'!$H$51:$K$51</c:f>
              <c:numCache>
                <c:formatCode>0%</c:formatCode>
                <c:ptCount val="4"/>
                <c:pt idx="0">
                  <c:v>1.2999999999999999E-2</c:v>
                </c:pt>
                <c:pt idx="1">
                  <c:v>0.18</c:v>
                </c:pt>
                <c:pt idx="2">
                  <c:v>0.42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56-4723-AC49-1BC8DC656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820032"/>
        <c:axId val="1567820448"/>
      </c:areaChart>
      <c:catAx>
        <c:axId val="156782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20448"/>
        <c:crosses val="autoZero"/>
        <c:auto val="1"/>
        <c:lblAlgn val="ctr"/>
        <c:lblOffset val="100"/>
        <c:noMultiLvlLbl val="0"/>
      </c:catAx>
      <c:valAx>
        <c:axId val="15678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2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AMS'!$H$13:$K$13</c:f>
              <c:numCache>
                <c:formatCode>#,##0</c:formatCode>
                <c:ptCount val="4"/>
                <c:pt idx="0">
                  <c:v>3808.9479439951956</c:v>
                </c:pt>
                <c:pt idx="1">
                  <c:v>416.93626029091678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D-4DF8-BFFA-1FE0356B5A00}"/>
            </c:ext>
          </c:extLst>
        </c:ser>
        <c:ser>
          <c:idx val="1"/>
          <c:order val="1"/>
          <c:tx>
            <c:strRef>
              <c:f>'Santé social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AMS'!$H$14:$K$14</c:f>
              <c:numCache>
                <c:formatCode>#,##0</c:formatCode>
                <c:ptCount val="4"/>
                <c:pt idx="0">
                  <c:v>10537.022711480739</c:v>
                </c:pt>
                <c:pt idx="1">
                  <c:v>7605.1354821355817</c:v>
                </c:pt>
                <c:pt idx="2">
                  <c:v>3604.4025507415549</c:v>
                </c:pt>
                <c:pt idx="3">
                  <c:v>446.31279840125808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D-4DF8-BFFA-1FE0356B5A00}"/>
            </c:ext>
          </c:extLst>
        </c:ser>
        <c:ser>
          <c:idx val="2"/>
          <c:order val="2"/>
          <c:tx>
            <c:strRef>
              <c:f>'Santé social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AMS'!$H$15:$K$15</c:f>
              <c:numCache>
                <c:formatCode>#,##0</c:formatCode>
                <c:ptCount val="4"/>
                <c:pt idx="0">
                  <c:v>1744.7346539514624</c:v>
                </c:pt>
                <c:pt idx="1">
                  <c:v>3706.927463609657</c:v>
                </c:pt>
                <c:pt idx="2">
                  <c:v>4328.4697180385638</c:v>
                </c:pt>
                <c:pt idx="3">
                  <c:v>4102.7006501074593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BD-4DF8-BFFA-1FE0356B5A00}"/>
            </c:ext>
          </c:extLst>
        </c:ser>
        <c:ser>
          <c:idx val="3"/>
          <c:order val="3"/>
          <c:tx>
            <c:strRef>
              <c:f>'Santé social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AMS'!$H$16:$K$16</c:f>
              <c:numCache>
                <c:formatCode>#,##0</c:formatCode>
                <c:ptCount val="4"/>
                <c:pt idx="0">
                  <c:v>268.71711769333643</c:v>
                </c:pt>
                <c:pt idx="1">
                  <c:v>195.31379737256538</c:v>
                </c:pt>
                <c:pt idx="2">
                  <c:v>118.87243738091632</c:v>
                </c:pt>
                <c:pt idx="3">
                  <c:v>29.456398550229537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BD-4DF8-BFFA-1FE0356B5A00}"/>
            </c:ext>
          </c:extLst>
        </c:ser>
        <c:ser>
          <c:idx val="4"/>
          <c:order val="4"/>
          <c:tx>
            <c:strRef>
              <c:f>'Santé social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AMS'!$H$17:$K$17</c:f>
              <c:numCache>
                <c:formatCode>#,##0</c:formatCode>
                <c:ptCount val="4"/>
                <c:pt idx="0">
                  <c:v>289.13034571123416</c:v>
                </c:pt>
                <c:pt idx="1">
                  <c:v>443.68730998092445</c:v>
                </c:pt>
                <c:pt idx="2">
                  <c:v>615.47409850959912</c:v>
                </c:pt>
                <c:pt idx="3">
                  <c:v>788.42906597917477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BD-4DF8-BFFA-1FE0356B5A00}"/>
            </c:ext>
          </c:extLst>
        </c:ser>
        <c:ser>
          <c:idx val="5"/>
          <c:order val="5"/>
          <c:tx>
            <c:strRef>
              <c:f>'Santé social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AMS'!$H$18:$K$18</c:f>
              <c:numCache>
                <c:formatCode>#,##0</c:formatCode>
                <c:ptCount val="4"/>
                <c:pt idx="0">
                  <c:v>2089.6512000000002</c:v>
                </c:pt>
                <c:pt idx="1">
                  <c:v>1861.6446529045763</c:v>
                </c:pt>
                <c:pt idx="2">
                  <c:v>1161.9223757007337</c:v>
                </c:pt>
                <c:pt idx="3">
                  <c:v>1099.4777989041495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BD-4DF8-BFFA-1FE0356B5A00}"/>
            </c:ext>
          </c:extLst>
        </c:ser>
        <c:ser>
          <c:idx val="6"/>
          <c:order val="6"/>
          <c:tx>
            <c:strRef>
              <c:f>'Santé social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AMS'!$H$19:$K$19</c:f>
              <c:numCache>
                <c:formatCode>#,##0</c:formatCode>
                <c:ptCount val="4"/>
                <c:pt idx="0">
                  <c:v>258.00164643359227</c:v>
                </c:pt>
                <c:pt idx="1">
                  <c:v>1475.8541975433623</c:v>
                </c:pt>
                <c:pt idx="2">
                  <c:v>3568.1801808683977</c:v>
                </c:pt>
                <c:pt idx="3">
                  <c:v>4761.9945718758272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BD-4DF8-BFFA-1FE0356B5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'Santé social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'Santé social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AMS'!$H$8:$K$8</c:f>
              <c:numCache>
                <c:formatCode>#,##0</c:formatCode>
                <c:ptCount val="4"/>
                <c:pt idx="0">
                  <c:v>0</c:v>
                </c:pt>
                <c:pt idx="1">
                  <c:v>21439.617925882485</c:v>
                </c:pt>
                <c:pt idx="2">
                  <c:v>18543.245511428384</c:v>
                </c:pt>
                <c:pt idx="3">
                  <c:v>11635.794006183507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D-4B7E-955E-E84D5DB436EC}"/>
            </c:ext>
          </c:extLst>
        </c:ser>
        <c:ser>
          <c:idx val="1"/>
          <c:order val="1"/>
          <c:tx>
            <c:strRef>
              <c:f>'Santé social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'Santé social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AMS'!$H$9:$K$9</c:f>
              <c:numCache>
                <c:formatCode>#,##0</c:formatCode>
                <c:ptCount val="4"/>
                <c:pt idx="0">
                  <c:v>179200</c:v>
                </c:pt>
                <c:pt idx="1">
                  <c:v>174566.14878613554</c:v>
                </c:pt>
                <c:pt idx="2">
                  <c:v>190937.34282807316</c:v>
                </c:pt>
                <c:pt idx="3">
                  <c:v>204063.72517790535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D-4B7E-955E-E84D5DB43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AMS'!$H$111:$K$111</c:f>
              <c:numCache>
                <c:formatCode>_-* #\ ##0_-;\-* #\ ##0_-;_-* "-"??_-;_-@_-</c:formatCode>
                <c:ptCount val="4"/>
                <c:pt idx="0" formatCode="0">
                  <c:v>3671.8258180113685</c:v>
                </c:pt>
                <c:pt idx="1">
                  <c:v>401.22341487941901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0-46AC-8A95-46541E2710B2}"/>
            </c:ext>
          </c:extLst>
        </c:ser>
        <c:ser>
          <c:idx val="1"/>
          <c:order val="1"/>
          <c:tx>
            <c:strRef>
              <c:f>'Santé social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AMS'!$H$112:$K$112</c:f>
              <c:numCache>
                <c:formatCode>_-* #\ ##0_-;\-* #\ ##0_-;_-* "-"??_-;_-@_-</c:formatCode>
                <c:ptCount val="4"/>
                <c:pt idx="0" formatCode="0">
                  <c:v>10157.689893867431</c:v>
                </c:pt>
                <c:pt idx="1">
                  <c:v>7306.7361214949624</c:v>
                </c:pt>
                <c:pt idx="2">
                  <c:v>3461.859100476413</c:v>
                </c:pt>
                <c:pt idx="3">
                  <c:v>428.43190515346305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0-46AC-8A95-46541E2710B2}"/>
            </c:ext>
          </c:extLst>
        </c:ser>
        <c:ser>
          <c:idx val="2"/>
          <c:order val="2"/>
          <c:tx>
            <c:strRef>
              <c:f>'Santé social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AMS'!$H$113:$K$113</c:f>
              <c:numCache>
                <c:formatCode>_-* #\ ##0_-;\-* #\ ##0_-;_-* "-"??_-;_-@_-</c:formatCode>
                <c:ptCount val="4"/>
                <c:pt idx="0" formatCode="0">
                  <c:v>1681.9242064092098</c:v>
                </c:pt>
                <c:pt idx="1">
                  <c:v>2904.9282321552923</c:v>
                </c:pt>
                <c:pt idx="2">
                  <c:v>3582.0699869618688</c:v>
                </c:pt>
                <c:pt idx="3">
                  <c:v>3546.4714752738846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0-46AC-8A95-46541E2710B2}"/>
            </c:ext>
          </c:extLst>
        </c:ser>
        <c:ser>
          <c:idx val="3"/>
          <c:order val="3"/>
          <c:tx>
            <c:strRef>
              <c:f>'Santé social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AMS'!$H$114:$K$114</c:f>
              <c:numCache>
                <c:formatCode>_-* #\ ##0_-;\-* #\ ##0_-;_-* "-"??_-;_-@_-</c:formatCode>
                <c:ptCount val="4"/>
                <c:pt idx="0" formatCode="0">
                  <c:v>259.0433014563763</c:v>
                </c:pt>
                <c:pt idx="1">
                  <c:v>135.00658255462778</c:v>
                </c:pt>
                <c:pt idx="2">
                  <c:v>68.762138192727505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D0-46AC-8A95-46541E2710B2}"/>
            </c:ext>
          </c:extLst>
        </c:ser>
        <c:ser>
          <c:idx val="4"/>
          <c:order val="4"/>
          <c:tx>
            <c:strRef>
              <c:f>'Santé social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AMS'!$H$115:$K$115</c:f>
              <c:numCache>
                <c:formatCode>_-* #\ ##0_-;\-* #\ ##0_-;_-* "-"??_-;_-@_-</c:formatCode>
                <c:ptCount val="4"/>
                <c:pt idx="0" formatCode="0">
                  <c:v>278.7216532656297</c:v>
                </c:pt>
                <c:pt idx="1">
                  <c:v>368.74307631604762</c:v>
                </c:pt>
                <c:pt idx="2">
                  <c:v>512.20860813810293</c:v>
                </c:pt>
                <c:pt idx="3">
                  <c:v>676.15772435617646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D0-46AC-8A95-46541E2710B2}"/>
            </c:ext>
          </c:extLst>
        </c:ser>
        <c:ser>
          <c:idx val="5"/>
          <c:order val="5"/>
          <c:tx>
            <c:strRef>
              <c:f>'Santé social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AMS'!$H$116:$K$116</c:f>
              <c:numCache>
                <c:formatCode>_-* #\ ##0_-;\-* #\ ##0_-;_-* "-"??_-;_-@_-</c:formatCode>
                <c:ptCount val="4"/>
                <c:pt idx="0" formatCode="0">
                  <c:v>2014.4237568000001</c:v>
                </c:pt>
                <c:pt idx="1">
                  <c:v>1707.4524255050546</c:v>
                </c:pt>
                <c:pt idx="2">
                  <c:v>1058.5444434159494</c:v>
                </c:pt>
                <c:pt idx="3">
                  <c:v>1041.9056183052592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D0-46AC-8A95-46541E2710B2}"/>
            </c:ext>
          </c:extLst>
        </c:ser>
        <c:ser>
          <c:idx val="6"/>
          <c:order val="6"/>
          <c:tx>
            <c:strRef>
              <c:f>'Santé social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AMS'!$H$117:$K$117</c:f>
              <c:numCache>
                <c:formatCode>_-* #\ ##0_-;\-* #\ ##0_-;_-* "-"??_-;_-@_-</c:formatCode>
                <c:ptCount val="4"/>
                <c:pt idx="0" formatCode="0">
                  <c:v>248.71358716198296</c:v>
                </c:pt>
                <c:pt idx="1">
                  <c:v>1078.9726384689116</c:v>
                </c:pt>
                <c:pt idx="2">
                  <c:v>3150.7362713267948</c:v>
                </c:pt>
                <c:pt idx="3">
                  <c:v>4425.2298806283779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D0-46AC-8A95-46541E271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'Santé social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AMS'!$H$122:$K$122</c:f>
              <c:numCache>
                <c:formatCode>_-* #\ ##0_-;\-* #\ ##0_-;_-* "-"??_-;_-@_-</c:formatCode>
                <c:ptCount val="4"/>
                <c:pt idx="0">
                  <c:v>137.12212598382717</c:v>
                </c:pt>
                <c:pt idx="1">
                  <c:v>15.712845411497787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F-407C-9703-0A248E611919}"/>
            </c:ext>
          </c:extLst>
        </c:ser>
        <c:ser>
          <c:idx val="1"/>
          <c:order val="1"/>
          <c:tx>
            <c:strRef>
              <c:f>'Santé social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AMS'!$H$123:$K$123</c:f>
              <c:numCache>
                <c:formatCode>_-* #\ ##0_-;\-* #\ ##0_-;_-* "-"??_-;_-@_-</c:formatCode>
                <c:ptCount val="4"/>
                <c:pt idx="0">
                  <c:v>379.33281761330687</c:v>
                </c:pt>
                <c:pt idx="1">
                  <c:v>298.39936064061942</c:v>
                </c:pt>
                <c:pt idx="2">
                  <c:v>142.54345026514179</c:v>
                </c:pt>
                <c:pt idx="3">
                  <c:v>17.880893247795001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F-407C-9703-0A248E611919}"/>
            </c:ext>
          </c:extLst>
        </c:ser>
        <c:ser>
          <c:idx val="2"/>
          <c:order val="2"/>
          <c:tx>
            <c:strRef>
              <c:f>'Santé social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AMS'!$H$124:$K$124</c:f>
              <c:numCache>
                <c:formatCode>_-* #\ ##0_-;\-* #\ ##0_-;_-* "-"??_-;_-@_-</c:formatCode>
                <c:ptCount val="4"/>
                <c:pt idx="0">
                  <c:v>62.810447542252703</c:v>
                </c:pt>
                <c:pt idx="1">
                  <c:v>129.79255187289471</c:v>
                </c:pt>
                <c:pt idx="2">
                  <c:v>165.00441251305048</c:v>
                </c:pt>
                <c:pt idx="3">
                  <c:v>191.40651426983081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F-407C-9703-0A248E611919}"/>
            </c:ext>
          </c:extLst>
        </c:ser>
        <c:ser>
          <c:idx val="3"/>
          <c:order val="3"/>
          <c:tx>
            <c:strRef>
              <c:f>'Santé social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AMS'!$H$125:$K$125</c:f>
              <c:numCache>
                <c:formatCode>_-* #\ ##0_-;\-* #\ ##0_-;_-* "-"??_-;_-@_-</c:formatCode>
                <c:ptCount val="4"/>
                <c:pt idx="0">
                  <c:v>9.6738162369601195</c:v>
                </c:pt>
                <c:pt idx="1">
                  <c:v>6.0321107679836912</c:v>
                </c:pt>
                <c:pt idx="2">
                  <c:v>3.1674579941011549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3F-407C-9703-0A248E611919}"/>
            </c:ext>
          </c:extLst>
        </c:ser>
        <c:ser>
          <c:idx val="4"/>
          <c:order val="4"/>
          <c:tx>
            <c:strRef>
              <c:f>'Santé social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AMS'!$H$126:$K$126</c:f>
              <c:numCache>
                <c:formatCode>_-* #\ ##0_-;\-* #\ ##0_-;_-* "-"??_-;_-@_-</c:formatCode>
                <c:ptCount val="4"/>
                <c:pt idx="0">
                  <c:v>10.408692445604437</c:v>
                </c:pt>
                <c:pt idx="1">
                  <c:v>16.475486151687775</c:v>
                </c:pt>
                <c:pt idx="2">
                  <c:v>23.594368836338045</c:v>
                </c:pt>
                <c:pt idx="3">
                  <c:v>32.282171843339711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3F-407C-9703-0A248E611919}"/>
            </c:ext>
          </c:extLst>
        </c:ser>
        <c:ser>
          <c:idx val="5"/>
          <c:order val="5"/>
          <c:tx>
            <c:strRef>
              <c:f>'Santé social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AMS'!$H$127:$K$127</c:f>
              <c:numCache>
                <c:formatCode>_-* #\ ##0_-;\-* #\ ##0_-;_-* "-"??_-;_-@_-</c:formatCode>
                <c:ptCount val="4"/>
                <c:pt idx="0">
                  <c:v>75.227443200000081</c:v>
                </c:pt>
                <c:pt idx="1">
                  <c:v>55.142207225726004</c:v>
                </c:pt>
                <c:pt idx="2">
                  <c:v>36.862292833213679</c:v>
                </c:pt>
                <c:pt idx="3">
                  <c:v>35.576125442921139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3F-407C-9703-0A248E611919}"/>
            </c:ext>
          </c:extLst>
        </c:ser>
        <c:ser>
          <c:idx val="6"/>
          <c:order val="6"/>
          <c:tx>
            <c:strRef>
              <c:f>'Santé social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'Santé social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'Santé social - AMS'!$H$128:$K$128</c:f>
              <c:numCache>
                <c:formatCode>_-* #\ ##0_-;\-* #\ ##0_-;_-* "-"??_-;_-@_-</c:formatCode>
                <c:ptCount val="4"/>
                <c:pt idx="0">
                  <c:v>9.2880592716093311</c:v>
                </c:pt>
                <c:pt idx="1">
                  <c:v>41.092398964975558</c:v>
                </c:pt>
                <c:pt idx="2">
                  <c:v>109.71987411230324</c:v>
                </c:pt>
                <c:pt idx="3">
                  <c:v>143.66939491434078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3F-407C-9703-0A248E611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'Santé social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AMS'!$H$45:$K$45</c:f>
              <c:numCache>
                <c:formatCode>0%</c:formatCode>
                <c:ptCount val="4"/>
                <c:pt idx="0">
                  <c:v>0.158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B-4E1C-9F4B-841EAA7A05C4}"/>
            </c:ext>
          </c:extLst>
        </c:ser>
        <c:ser>
          <c:idx val="1"/>
          <c:order val="1"/>
          <c:tx>
            <c:strRef>
              <c:f>'Santé social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AMS'!$H$46:$K$46</c:f>
              <c:numCache>
                <c:formatCode>0%</c:formatCode>
                <c:ptCount val="4"/>
                <c:pt idx="0">
                  <c:v>0.52700000000000002</c:v>
                </c:pt>
                <c:pt idx="1">
                  <c:v>0.45322000000000001</c:v>
                </c:pt>
                <c:pt idx="2">
                  <c:v>0.21080000000000002</c:v>
                </c:pt>
                <c:pt idx="3">
                  <c:v>2.6350000000000002E-2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B-4E1C-9F4B-841EAA7A05C4}"/>
            </c:ext>
          </c:extLst>
        </c:ser>
        <c:ser>
          <c:idx val="2"/>
          <c:order val="2"/>
          <c:tx>
            <c:strRef>
              <c:f>'Santé social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AMS'!$H$47:$K$47</c:f>
              <c:numCache>
                <c:formatCode>0%</c:formatCode>
                <c:ptCount val="4"/>
                <c:pt idx="0">
                  <c:v>8.5999999999999993E-2</c:v>
                </c:pt>
                <c:pt idx="1">
                  <c:v>0.19</c:v>
                </c:pt>
                <c:pt idx="2">
                  <c:v>0.23</c:v>
                </c:pt>
                <c:pt idx="3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BB-4E1C-9F4B-841EAA7A05C4}"/>
            </c:ext>
          </c:extLst>
        </c:ser>
        <c:ser>
          <c:idx val="3"/>
          <c:order val="3"/>
          <c:tx>
            <c:strRef>
              <c:f>'Santé social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AMS'!$H$48:$K$48</c:f>
              <c:numCache>
                <c:formatCode>0%</c:formatCode>
                <c:ptCount val="4"/>
                <c:pt idx="0">
                  <c:v>1.4999999999999999E-2</c:v>
                </c:pt>
                <c:pt idx="1">
                  <c:v>9.9999999999999985E-3</c:v>
                </c:pt>
                <c:pt idx="2">
                  <c:v>4.9999999999999992E-3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BB-4E1C-9F4B-841EAA7A05C4}"/>
            </c:ext>
          </c:extLst>
        </c:ser>
        <c:ser>
          <c:idx val="4"/>
          <c:order val="4"/>
          <c:tx>
            <c:strRef>
              <c:f>'Santé social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AMS'!$H$49:$K$49</c:f>
              <c:numCache>
                <c:formatCode>0%</c:formatCode>
                <c:ptCount val="4"/>
                <c:pt idx="0">
                  <c:v>1.2999999999999999E-2</c:v>
                </c:pt>
                <c:pt idx="1">
                  <c:v>2.1999999999999999E-2</c:v>
                </c:pt>
                <c:pt idx="2">
                  <c:v>0.03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BB-4E1C-9F4B-841EAA7A05C4}"/>
            </c:ext>
          </c:extLst>
        </c:ser>
        <c:ser>
          <c:idx val="5"/>
          <c:order val="5"/>
          <c:tx>
            <c:strRef>
              <c:f>'Santé social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AMS'!$H$50:$K$50</c:f>
              <c:numCache>
                <c:formatCode>0%</c:formatCode>
                <c:ptCount val="4"/>
                <c:pt idx="0">
                  <c:v>0.16900000000000001</c:v>
                </c:pt>
                <c:pt idx="1">
                  <c:v>0.15478</c:v>
                </c:pt>
                <c:pt idx="2">
                  <c:v>9.4200000000000006E-2</c:v>
                </c:pt>
                <c:pt idx="3">
                  <c:v>9.3650000000000011E-2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BB-4E1C-9F4B-841EAA7A05C4}"/>
            </c:ext>
          </c:extLst>
        </c:ser>
        <c:ser>
          <c:idx val="6"/>
          <c:order val="6"/>
          <c:tx>
            <c:strRef>
              <c:f>'Santé social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'Santé social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'Santé social - AMS'!$H$51:$K$51</c:f>
              <c:numCache>
                <c:formatCode>0%</c:formatCode>
                <c:ptCount val="4"/>
                <c:pt idx="0">
                  <c:v>3.2000000000000001E-2</c:v>
                </c:pt>
                <c:pt idx="1">
                  <c:v>0.15</c:v>
                </c:pt>
                <c:pt idx="2">
                  <c:v>0.43</c:v>
                </c:pt>
                <c:pt idx="3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BB-4E1C-9F4B-841EAA7A0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817536"/>
        <c:axId val="1567832928"/>
      </c:areaChart>
      <c:catAx>
        <c:axId val="156781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32928"/>
        <c:crosses val="autoZero"/>
        <c:auto val="1"/>
        <c:lblAlgn val="ctr"/>
        <c:lblOffset val="100"/>
        <c:noMultiLvlLbl val="0"/>
      </c:catAx>
      <c:valAx>
        <c:axId val="15678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781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AMS'!$H$13:$K$13</c:f>
              <c:numCache>
                <c:formatCode>#,##0</c:formatCode>
                <c:ptCount val="4"/>
                <c:pt idx="0">
                  <c:v>775.0285636451614</c:v>
                </c:pt>
                <c:pt idx="1">
                  <c:v>122.89630535301498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1-41A4-92FD-599983F559A5}"/>
            </c:ext>
          </c:extLst>
        </c:ser>
        <c:ser>
          <c:idx val="1"/>
          <c:order val="1"/>
          <c:tx>
            <c:strRef>
              <c:f>'Sport Loisir Culture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AMS'!$H$14:$K$14</c:f>
              <c:numCache>
                <c:formatCode>#,##0</c:formatCode>
                <c:ptCount val="4"/>
                <c:pt idx="0">
                  <c:v>4659.8384813407283</c:v>
                </c:pt>
                <c:pt idx="1">
                  <c:v>3556.130826487105</c:v>
                </c:pt>
                <c:pt idx="2">
                  <c:v>1842.7174219457263</c:v>
                </c:pt>
                <c:pt idx="3">
                  <c:v>249.26294855321964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1-41A4-92FD-599983F559A5}"/>
            </c:ext>
          </c:extLst>
        </c:ser>
        <c:ser>
          <c:idx val="2"/>
          <c:order val="2"/>
          <c:tx>
            <c:strRef>
              <c:f>'Sport Loisir Culture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AMS'!$H$15:$K$15</c:f>
              <c:numCache>
                <c:formatCode>#,##0</c:formatCode>
                <c:ptCount val="4"/>
                <c:pt idx="0">
                  <c:v>196.33019618287977</c:v>
                </c:pt>
                <c:pt idx="1">
                  <c:v>440.86141217293198</c:v>
                </c:pt>
                <c:pt idx="2">
                  <c:v>565.98966494131707</c:v>
                </c:pt>
                <c:pt idx="3">
                  <c:v>621.12820441494387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1-41A4-92FD-599983F559A5}"/>
            </c:ext>
          </c:extLst>
        </c:ser>
        <c:ser>
          <c:idx val="3"/>
          <c:order val="3"/>
          <c:tx>
            <c:strRef>
              <c:f>'Sport Loisir Culture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AMS'!$H$16:$K$16</c:f>
              <c:numCache>
                <c:formatCode>#,##0</c:formatCode>
                <c:ptCount val="4"/>
                <c:pt idx="0">
                  <c:v>23.048589382883492</c:v>
                </c:pt>
                <c:pt idx="1">
                  <c:v>13.928731005992304</c:v>
                </c:pt>
                <c:pt idx="2">
                  <c:v>7.1778779598132187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81-41A4-92FD-599983F559A5}"/>
            </c:ext>
          </c:extLst>
        </c:ser>
        <c:ser>
          <c:idx val="4"/>
          <c:order val="4"/>
          <c:tx>
            <c:strRef>
              <c:f>'Sport Loisir Culture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AMS'!$H$17:$K$17</c:f>
              <c:numCache>
                <c:formatCode>#,##0</c:formatCode>
                <c:ptCount val="4"/>
                <c:pt idx="0">
                  <c:v>21.255363322958679</c:v>
                </c:pt>
                <c:pt idx="1">
                  <c:v>56.256845218318389</c:v>
                </c:pt>
                <c:pt idx="2">
                  <c:v>95.862748410434719</c:v>
                </c:pt>
                <c:pt idx="3">
                  <c:v>140.0947914401533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81-41A4-92FD-599983F559A5}"/>
            </c:ext>
          </c:extLst>
        </c:ser>
        <c:ser>
          <c:idx val="5"/>
          <c:order val="5"/>
          <c:tx>
            <c:strRef>
              <c:f>'Sport Loisir Culture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AMS'!$H$18:$K$18</c:f>
              <c:numCache>
                <c:formatCode>#,##0</c:formatCode>
                <c:ptCount val="4"/>
                <c:pt idx="0">
                  <c:v>922.21764323082664</c:v>
                </c:pt>
                <c:pt idx="1">
                  <c:v>696.15654039766798</c:v>
                </c:pt>
                <c:pt idx="2">
                  <c:v>478.59379908336115</c:v>
                </c:pt>
                <c:pt idx="3">
                  <c:v>474.72210117268406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81-41A4-92FD-599983F559A5}"/>
            </c:ext>
          </c:extLst>
        </c:ser>
        <c:ser>
          <c:idx val="6"/>
          <c:order val="6"/>
          <c:tx>
            <c:strRef>
              <c:f>'Sport Loisir Culture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AMS'!$H$19:$K$19</c:f>
              <c:numCache>
                <c:formatCode>#,##0</c:formatCode>
                <c:ptCount val="4"/>
                <c:pt idx="0">
                  <c:v>164.33662746238309</c:v>
                </c:pt>
                <c:pt idx="1">
                  <c:v>516.89491801875215</c:v>
                </c:pt>
                <c:pt idx="2">
                  <c:v>1254.0904472704087</c:v>
                </c:pt>
                <c:pt idx="3">
                  <c:v>1800.3559856399422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81-41A4-92FD-599983F55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'Sport Loisir Culture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'Sport Loisir Culture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AMS'!$H$8:$K$8</c:f>
              <c:numCache>
                <c:formatCode>#,##0</c:formatCode>
                <c:ptCount val="4"/>
                <c:pt idx="0">
                  <c:v>0</c:v>
                </c:pt>
                <c:pt idx="1">
                  <c:v>3032.6506608058498</c:v>
                </c:pt>
                <c:pt idx="2">
                  <c:v>1932.1865496032522</c:v>
                </c:pt>
                <c:pt idx="3">
                  <c:v>1190.4419462520159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B-480C-A5E0-BCBCACCA77B6}"/>
            </c:ext>
          </c:extLst>
        </c:ser>
        <c:ser>
          <c:idx val="1"/>
          <c:order val="1"/>
          <c:tx>
            <c:strRef>
              <c:f>'Sport Loisir Culture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'Sport Loisir Culture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AMS'!$H$9:$K$9</c:f>
              <c:numCache>
                <c:formatCode>#,##0</c:formatCode>
                <c:ptCount val="4"/>
                <c:pt idx="0">
                  <c:v>56508.434021496723</c:v>
                </c:pt>
                <c:pt idx="1">
                  <c:v>55371.36709117992</c:v>
                </c:pt>
                <c:pt idx="2">
                  <c:v>57228.807744252132</c:v>
                </c:pt>
                <c:pt idx="3">
                  <c:v>56704.890169085382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7B-480C-A5E0-BCBCACCA7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AMS'!$H$111:$K$111</c:f>
              <c:numCache>
                <c:formatCode>_-* #\ ##0_-;\-* #\ ##0_-;_-* "-"??_-;_-@_-</c:formatCode>
                <c:ptCount val="4"/>
                <c:pt idx="0" formatCode="0">
                  <c:v>694.68329002347662</c:v>
                </c:pt>
                <c:pt idx="1">
                  <c:v>110.17250550029576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2-482A-BBA4-D39929B1949C}"/>
            </c:ext>
          </c:extLst>
        </c:ser>
        <c:ser>
          <c:idx val="1"/>
          <c:order val="1"/>
          <c:tx>
            <c:strRef>
              <c:f>'Sport Loisir Culture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AMS'!$H$112:$K$112</c:f>
              <c:numCache>
                <c:formatCode>_-* #\ ##0_-;\-* #\ ##0_-;_-* "-"??_-;_-@_-</c:formatCode>
                <c:ptCount val="4"/>
                <c:pt idx="0" formatCode="0">
                  <c:v>4176.764675576338</c:v>
                </c:pt>
                <c:pt idx="1">
                  <c:v>3173.8866225527122</c:v>
                </c:pt>
                <c:pt idx="2">
                  <c:v>1670.1777787065207</c:v>
                </c:pt>
                <c:pt idx="3">
                  <c:v>229.19690647071027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2-482A-BBA4-D39929B1949C}"/>
            </c:ext>
          </c:extLst>
        </c:ser>
        <c:ser>
          <c:idx val="2"/>
          <c:order val="2"/>
          <c:tx>
            <c:strRef>
              <c:f>'Sport Loisir Culture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AMS'!$H$113:$K$113</c:f>
              <c:numCache>
                <c:formatCode>_-* #\ ##0_-;\-* #\ ##0_-;_-* "-"??_-;_-@_-</c:formatCode>
                <c:ptCount val="4"/>
                <c:pt idx="0" formatCode="0">
                  <c:v>175.97713557009109</c:v>
                </c:pt>
                <c:pt idx="1">
                  <c:v>348.79018148444726</c:v>
                </c:pt>
                <c:pt idx="2">
                  <c:v>482.30768167558301</c:v>
                </c:pt>
                <c:pt idx="3">
                  <c:v>529.49299178301715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2-482A-BBA4-D39929B1949C}"/>
            </c:ext>
          </c:extLst>
        </c:ser>
        <c:ser>
          <c:idx val="3"/>
          <c:order val="3"/>
          <c:tx>
            <c:strRef>
              <c:f>'Sport Loisir Culture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AMS'!$H$114:$K$114</c:f>
              <c:numCache>
                <c:formatCode>_-* #\ ##0_-;\-* #\ ##0_-;_-* "-"??_-;_-@_-</c:formatCode>
                <c:ptCount val="4"/>
                <c:pt idx="0" formatCode="0">
                  <c:v>20.659199743033415</c:v>
                </c:pt>
                <c:pt idx="1">
                  <c:v>11.3741512882603</c:v>
                </c:pt>
                <c:pt idx="2">
                  <c:v>6.4342622364598085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2-482A-BBA4-D39929B1949C}"/>
            </c:ext>
          </c:extLst>
        </c:ser>
        <c:ser>
          <c:idx val="4"/>
          <c:order val="4"/>
          <c:tx>
            <c:strRef>
              <c:f>'Sport Loisir Culture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AMS'!$H$115:$K$115</c:f>
              <c:numCache>
                <c:formatCode>_-* #\ ##0_-;\-* #\ ##0_-;_-* "-"??_-;_-@_-</c:formatCode>
                <c:ptCount val="4"/>
                <c:pt idx="0" formatCode="0">
                  <c:v>19.051872945675861</c:v>
                </c:pt>
                <c:pt idx="1">
                  <c:v>43.268031318001881</c:v>
                </c:pt>
                <c:pt idx="2">
                  <c:v>80.104461937769514</c:v>
                </c:pt>
                <c:pt idx="3">
                  <c:v>122.14065608736381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2-482A-BBA4-D39929B1949C}"/>
            </c:ext>
          </c:extLst>
        </c:ser>
        <c:ser>
          <c:idx val="5"/>
          <c:order val="5"/>
          <c:tx>
            <c:strRef>
              <c:f>'Sport Loisir Culture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AMS'!$H$116:$K$116</c:f>
              <c:numCache>
                <c:formatCode>_-* #\ ##0_-;\-* #\ ##0_-;_-* "-"??_-;_-@_-</c:formatCode>
                <c:ptCount val="4"/>
                <c:pt idx="0" formatCode="0">
                  <c:v>826.61364570119486</c:v>
                </c:pt>
                <c:pt idx="1">
                  <c:v>615.97324398561409</c:v>
                </c:pt>
                <c:pt idx="2">
                  <c:v>435.29471743393327</c:v>
                </c:pt>
                <c:pt idx="3">
                  <c:v>457.80492673278633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C2-482A-BBA4-D39929B1949C}"/>
            </c:ext>
          </c:extLst>
        </c:ser>
        <c:ser>
          <c:idx val="6"/>
          <c:order val="6"/>
          <c:tx>
            <c:strRef>
              <c:f>'Sport Loisir Culture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AMS'!$H$117:$K$117</c:f>
              <c:numCache>
                <c:formatCode>_-* #\ ##0_-;\-* #\ ##0_-;_-* "-"??_-;_-@_-</c:formatCode>
                <c:ptCount val="4"/>
                <c:pt idx="0" formatCode="0">
                  <c:v>147.3002601349265</c:v>
                </c:pt>
                <c:pt idx="1">
                  <c:v>382.52958479015825</c:v>
                </c:pt>
                <c:pt idx="2">
                  <c:v>1094.6979770983789</c:v>
                </c:pt>
                <c:pt idx="3">
                  <c:v>1648.9743832342403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C2-482A-BBA4-D39929B1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'Sport Loisir Culture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AMS'!$H$122:$K$122</c:f>
              <c:numCache>
                <c:formatCode>_-* #\ ##0_-;\-* #\ ##0_-;_-* "-"??_-;_-@_-</c:formatCode>
                <c:ptCount val="4"/>
                <c:pt idx="0">
                  <c:v>80.345273621684782</c:v>
                </c:pt>
                <c:pt idx="1">
                  <c:v>12.723799852719219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F-4B87-B8EA-F074C9EDC591}"/>
            </c:ext>
          </c:extLst>
        </c:ser>
        <c:ser>
          <c:idx val="1"/>
          <c:order val="1"/>
          <c:tx>
            <c:strRef>
              <c:f>'Sport Loisir Culture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AMS'!$H$123:$K$123</c:f>
              <c:numCache>
                <c:formatCode>_-* #\ ##0_-;\-* #\ ##0_-;_-* "-"??_-;_-@_-</c:formatCode>
                <c:ptCount val="4"/>
                <c:pt idx="0">
                  <c:v>483.07380576439004</c:v>
                </c:pt>
                <c:pt idx="1">
                  <c:v>382.24420393439271</c:v>
                </c:pt>
                <c:pt idx="2">
                  <c:v>172.53964323920562</c:v>
                </c:pt>
                <c:pt idx="3">
                  <c:v>20.066042082509377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EF-4B87-B8EA-F074C9EDC591}"/>
            </c:ext>
          </c:extLst>
        </c:ser>
        <c:ser>
          <c:idx val="2"/>
          <c:order val="2"/>
          <c:tx>
            <c:strRef>
              <c:f>'Sport Loisir Culture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AMS'!$H$124:$K$124</c:f>
              <c:numCache>
                <c:formatCode>_-* #\ ##0_-;\-* #\ ##0_-;_-* "-"??_-;_-@_-</c:formatCode>
                <c:ptCount val="4"/>
                <c:pt idx="0">
                  <c:v>20.353060612788692</c:v>
                </c:pt>
                <c:pt idx="1">
                  <c:v>56.169922619683398</c:v>
                </c:pt>
                <c:pt idx="2">
                  <c:v>60.808255849577357</c:v>
                </c:pt>
                <c:pt idx="3">
                  <c:v>74.723898604457361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EF-4B87-B8EA-F074C9EDC591}"/>
            </c:ext>
          </c:extLst>
        </c:ser>
        <c:ser>
          <c:idx val="3"/>
          <c:order val="3"/>
          <c:tx>
            <c:strRef>
              <c:f>'Sport Loisir Culture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AMS'!$H$125:$K$125</c:f>
              <c:numCache>
                <c:formatCode>_-* #\ ##0_-;\-* #\ ##0_-;_-* "-"??_-;_-@_-</c:formatCode>
                <c:ptCount val="4"/>
                <c:pt idx="0">
                  <c:v>2.3893896398500747</c:v>
                </c:pt>
                <c:pt idx="1">
                  <c:v>1.4986782324557582</c:v>
                </c:pt>
                <c:pt idx="2">
                  <c:v>0.74361572335341042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EF-4B87-B8EA-F074C9EDC591}"/>
            </c:ext>
          </c:extLst>
        </c:ser>
        <c:ser>
          <c:idx val="4"/>
          <c:order val="4"/>
          <c:tx>
            <c:strRef>
              <c:f>'Sport Loisir Culture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AMS'!$H$126:$K$126</c:f>
              <c:numCache>
                <c:formatCode>_-* #\ ##0_-;\-* #\ ##0_-;_-* "-"??_-;_-@_-</c:formatCode>
                <c:ptCount val="4"/>
                <c:pt idx="0">
                  <c:v>2.2034903772828187</c:v>
                </c:pt>
                <c:pt idx="1">
                  <c:v>5.7010721111501574</c:v>
                </c:pt>
                <c:pt idx="2">
                  <c:v>9.2577727202589877</c:v>
                </c:pt>
                <c:pt idx="3">
                  <c:v>12.23264976831271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EF-4B87-B8EA-F074C9EDC591}"/>
            </c:ext>
          </c:extLst>
        </c:ser>
        <c:ser>
          <c:idx val="5"/>
          <c:order val="5"/>
          <c:tx>
            <c:strRef>
              <c:f>'Sport Loisir Culture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AMS'!$H$127:$K$127</c:f>
              <c:numCache>
                <c:formatCode>_-* #\ ##0_-;\-* #\ ##0_-;_-* "-"??_-;_-@_-</c:formatCode>
                <c:ptCount val="4"/>
                <c:pt idx="0">
                  <c:v>95.603997529631741</c:v>
                </c:pt>
                <c:pt idx="1">
                  <c:v>46.717583368426567</c:v>
                </c:pt>
                <c:pt idx="2">
                  <c:v>31.327538600162981</c:v>
                </c:pt>
                <c:pt idx="3">
                  <c:v>16.917174439897757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EF-4B87-B8EA-F074C9EDC591}"/>
            </c:ext>
          </c:extLst>
        </c:ser>
        <c:ser>
          <c:idx val="6"/>
          <c:order val="6"/>
          <c:tx>
            <c:strRef>
              <c:f>'Sport Loisir Culture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'Sport Loisir Culture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'Sport Loisir Culture - AMS'!$H$128:$K$128</c:f>
              <c:numCache>
                <c:formatCode>_-* #\ ##0_-;\-* #\ ##0_-;_-* "-"??_-;_-@_-</c:formatCode>
                <c:ptCount val="4"/>
                <c:pt idx="0">
                  <c:v>17.036367327456603</c:v>
                </c:pt>
                <c:pt idx="1">
                  <c:v>42.646754748323659</c:v>
                </c:pt>
                <c:pt idx="2">
                  <c:v>95.643592251646382</c:v>
                </c:pt>
                <c:pt idx="3">
                  <c:v>112.10519903848761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EF-4B87-B8EA-F074C9EDC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'Sport Loisir Culture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AMS'!$H$45:$K$45</c:f>
              <c:numCache>
                <c:formatCode>0%</c:formatCode>
                <c:ptCount val="4"/>
                <c:pt idx="0">
                  <c:v>0.115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B-4511-8E48-8CE707F6F25F}"/>
            </c:ext>
          </c:extLst>
        </c:ser>
        <c:ser>
          <c:idx val="1"/>
          <c:order val="1"/>
          <c:tx>
            <c:strRef>
              <c:f>'Sport Loisir Culture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AMS'!$H$46:$K$46</c:f>
              <c:numCache>
                <c:formatCode>0%</c:formatCode>
                <c:ptCount val="4"/>
                <c:pt idx="0">
                  <c:v>0.47399999999999998</c:v>
                </c:pt>
                <c:pt idx="1">
                  <c:v>0.40763999999999995</c:v>
                </c:pt>
                <c:pt idx="2">
                  <c:v>0.18959999999999999</c:v>
                </c:pt>
                <c:pt idx="3">
                  <c:v>2.3699999999999999E-2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B-4511-8E48-8CE707F6F25F}"/>
            </c:ext>
          </c:extLst>
        </c:ser>
        <c:ser>
          <c:idx val="2"/>
          <c:order val="2"/>
          <c:tx>
            <c:strRef>
              <c:f>'Sport Loisir Culture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AMS'!$H$47:$K$47</c:f>
              <c:numCache>
                <c:formatCode>0%</c:formatCode>
                <c:ptCount val="4"/>
                <c:pt idx="0">
                  <c:v>7.4999999999999997E-2</c:v>
                </c:pt>
                <c:pt idx="1">
                  <c:v>0.18</c:v>
                </c:pt>
                <c:pt idx="2">
                  <c:v>0.22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B-4511-8E48-8CE707F6F25F}"/>
            </c:ext>
          </c:extLst>
        </c:ser>
        <c:ser>
          <c:idx val="3"/>
          <c:order val="3"/>
          <c:tx>
            <c:strRef>
              <c:f>'Sport Loisir Culture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AMS'!$H$48:$K$48</c:f>
              <c:numCache>
                <c:formatCode>0%</c:formatCode>
                <c:ptCount val="4"/>
                <c:pt idx="0">
                  <c:v>8.9999999999999993E-3</c:v>
                </c:pt>
                <c:pt idx="1">
                  <c:v>6.0000000000000001E-3</c:v>
                </c:pt>
                <c:pt idx="2">
                  <c:v>3.0000000000000001E-3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B-4511-8E48-8CE707F6F25F}"/>
            </c:ext>
          </c:extLst>
        </c:ser>
        <c:ser>
          <c:idx val="4"/>
          <c:order val="4"/>
          <c:tx>
            <c:strRef>
              <c:f>'Sport Loisir Culture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AMS'!$H$49:$K$49</c:f>
              <c:numCache>
                <c:formatCode>0%</c:formatCode>
                <c:ptCount val="4"/>
                <c:pt idx="0">
                  <c:v>8.0000000000000002E-3</c:v>
                </c:pt>
                <c:pt idx="1">
                  <c:v>2.1999999999999999E-2</c:v>
                </c:pt>
                <c:pt idx="2">
                  <c:v>3.6000000000000004E-2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9B-4511-8E48-8CE707F6F25F}"/>
            </c:ext>
          </c:extLst>
        </c:ser>
        <c:ser>
          <c:idx val="5"/>
          <c:order val="5"/>
          <c:tx>
            <c:strRef>
              <c:f>'Sport Loisir Culture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AMS'!$H$50:$K$50</c:f>
              <c:numCache>
                <c:formatCode>0%</c:formatCode>
                <c:ptCount val="4"/>
                <c:pt idx="0">
                  <c:v>0.255</c:v>
                </c:pt>
                <c:pt idx="1">
                  <c:v>0.19435999999999995</c:v>
                </c:pt>
                <c:pt idx="2">
                  <c:v>0.12140000000000001</c:v>
                </c:pt>
                <c:pt idx="3">
                  <c:v>0.11629999999999996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9B-4511-8E48-8CE707F6F25F}"/>
            </c:ext>
          </c:extLst>
        </c:ser>
        <c:ser>
          <c:idx val="6"/>
          <c:order val="6"/>
          <c:tx>
            <c:strRef>
              <c:f>'Sport Loisir Culture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'Sport Loisir Culture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'Sport Loisir Culture - AMS'!$H$51:$K$51</c:f>
              <c:numCache>
                <c:formatCode>0%</c:formatCode>
                <c:ptCount val="4"/>
                <c:pt idx="0">
                  <c:v>6.4000000000000001E-2</c:v>
                </c:pt>
                <c:pt idx="1">
                  <c:v>0.17</c:v>
                </c:pt>
                <c:pt idx="2">
                  <c:v>0.43</c:v>
                </c:pt>
                <c:pt idx="3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9B-4511-8E48-8CE707F6F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096608"/>
        <c:axId val="1855111168"/>
      </c:areaChart>
      <c:catAx>
        <c:axId val="185509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111168"/>
        <c:crosses val="autoZero"/>
        <c:auto val="1"/>
        <c:lblAlgn val="ctr"/>
        <c:lblOffset val="100"/>
        <c:noMultiLvlLbl val="0"/>
      </c:catAx>
      <c:valAx>
        <c:axId val="18551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09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par source énergie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AMS'!$E$13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AMS'!$H$13:$K$13</c:f>
              <c:numCache>
                <c:formatCode>#,##0</c:formatCode>
                <c:ptCount val="4"/>
                <c:pt idx="0">
                  <c:v>1184.8678605253267</c:v>
                </c:pt>
                <c:pt idx="1">
                  <c:v>105.99629801259429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2-4B36-A480-3A159D262738}"/>
            </c:ext>
          </c:extLst>
        </c:ser>
        <c:ser>
          <c:idx val="1"/>
          <c:order val="1"/>
          <c:tx>
            <c:strRef>
              <c:f>'Transport - AMS'!$E$14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AMS'!$H$14:$K$14</c:f>
              <c:numCache>
                <c:formatCode>#,##0</c:formatCode>
                <c:ptCount val="4"/>
                <c:pt idx="0">
                  <c:v>2573.628699991908</c:v>
                </c:pt>
                <c:pt idx="1">
                  <c:v>1915.8497501168008</c:v>
                </c:pt>
                <c:pt idx="2">
                  <c:v>864.5886671376112</c:v>
                </c:pt>
                <c:pt idx="3">
                  <c:v>110.68839412563946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2-4B36-A480-3A159D262738}"/>
            </c:ext>
          </c:extLst>
        </c:ser>
        <c:ser>
          <c:idx val="2"/>
          <c:order val="2"/>
          <c:tx>
            <c:strRef>
              <c:f>'Transport - AMS'!$E$15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AMS'!$H$15:$K$15</c:f>
              <c:numCache>
                <c:formatCode>#,##0</c:formatCode>
                <c:ptCount val="4"/>
                <c:pt idx="0">
                  <c:v>324.73142968208481</c:v>
                </c:pt>
                <c:pt idx="1">
                  <c:v>875.54097057068611</c:v>
                </c:pt>
                <c:pt idx="2">
                  <c:v>1036.1799315569488</c:v>
                </c:pt>
                <c:pt idx="3">
                  <c:v>1035.0110262216631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2-4B36-A480-3A159D262738}"/>
            </c:ext>
          </c:extLst>
        </c:ser>
        <c:ser>
          <c:idx val="3"/>
          <c:order val="3"/>
          <c:tx>
            <c:strRef>
              <c:f>'Transport - AMS'!$E$16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AMS'!$H$16:$K$16</c:f>
              <c:numCache>
                <c:formatCode>#,##0</c:formatCode>
                <c:ptCount val="4"/>
                <c:pt idx="0">
                  <c:v>87.743683724161997</c:v>
                </c:pt>
                <c:pt idx="1">
                  <c:v>51.376996110728797</c:v>
                </c:pt>
                <c:pt idx="2">
                  <c:v>81.210807105402267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72-4B36-A480-3A159D262738}"/>
            </c:ext>
          </c:extLst>
        </c:ser>
        <c:ser>
          <c:idx val="4"/>
          <c:order val="4"/>
          <c:tx>
            <c:strRef>
              <c:f>'Transport - AMS'!$E$17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AMS'!$H$17:$K$17</c:f>
              <c:numCache>
                <c:formatCode>#,##0</c:formatCode>
                <c:ptCount val="4"/>
                <c:pt idx="0">
                  <c:v>74.66951741609185</c:v>
                </c:pt>
                <c:pt idx="1">
                  <c:v>87.019234083124289</c:v>
                </c:pt>
                <c:pt idx="2">
                  <c:v>104.68169503459919</c:v>
                </c:pt>
                <c:pt idx="3">
                  <c:v>117.89234919268829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2-4B36-A480-3A159D262738}"/>
            </c:ext>
          </c:extLst>
        </c:ser>
        <c:ser>
          <c:idx val="5"/>
          <c:order val="5"/>
          <c:tx>
            <c:strRef>
              <c:f>'Transport - AMS'!$E$18</c:f>
              <c:strCache>
                <c:ptCount val="1"/>
                <c:pt idx="0">
                  <c:v>Electricité 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AMS'!$H$18:$K$18</c:f>
              <c:numCache>
                <c:formatCode>#,##0</c:formatCode>
                <c:ptCount val="4"/>
                <c:pt idx="0">
                  <c:v>601.96304228562485</c:v>
                </c:pt>
                <c:pt idx="1">
                  <c:v>484.86921812018034</c:v>
                </c:pt>
                <c:pt idx="2">
                  <c:v>238.93421842543472</c:v>
                </c:pt>
                <c:pt idx="3">
                  <c:v>198.69509088631537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72-4B36-A480-3A159D262738}"/>
            </c:ext>
          </c:extLst>
        </c:ser>
        <c:ser>
          <c:idx val="6"/>
          <c:order val="6"/>
          <c:tx>
            <c:strRef>
              <c:f>'Transport - AMS'!$E$19</c:f>
              <c:strCache>
                <c:ptCount val="1"/>
                <c:pt idx="0">
                  <c:v>Electricité 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AMS'!$H$19:$K$19</c:f>
              <c:numCache>
                <c:formatCode>#,##0</c:formatCode>
                <c:ptCount val="4"/>
                <c:pt idx="0">
                  <c:v>131.45762730537481</c:v>
                </c:pt>
                <c:pt idx="1">
                  <c:v>428.98738893311253</c:v>
                </c:pt>
                <c:pt idx="2">
                  <c:v>830.35458490227552</c:v>
                </c:pt>
                <c:pt idx="3">
                  <c:v>1016.316154851211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72-4B36-A480-3A159D262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Surface du parc chauffé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'Transport - AMS'!$E$8</c:f>
              <c:strCache>
                <c:ptCount val="1"/>
                <c:pt idx="0">
                  <c:v>Dont surfaces construites après 2015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'Transport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AMS'!$H$8:$K$8</c:f>
              <c:numCache>
                <c:formatCode>#,##0</c:formatCode>
                <c:ptCount val="4"/>
                <c:pt idx="0">
                  <c:v>0</c:v>
                </c:pt>
                <c:pt idx="1">
                  <c:v>2489.8567580842946</c:v>
                </c:pt>
                <c:pt idx="2">
                  <c:v>1683.7900254259353</c:v>
                </c:pt>
                <c:pt idx="3">
                  <c:v>1138.2129713889146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2-4394-80BD-E4885C1B9532}"/>
            </c:ext>
          </c:extLst>
        </c:ser>
        <c:ser>
          <c:idx val="1"/>
          <c:order val="1"/>
          <c:tx>
            <c:strRef>
              <c:f>'Transport - AMS'!$E$9</c:f>
              <c:strCache>
                <c:ptCount val="1"/>
                <c:pt idx="0">
                  <c:v>Dont surfaces existantes en 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'Transport - AMS'!$H$6:$K$6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AMS'!$H$9:$K$9</c:f>
              <c:numCache>
                <c:formatCode>#,##0</c:formatCode>
                <c:ptCount val="4"/>
                <c:pt idx="0">
                  <c:v>41814.604215450461</c:v>
                </c:pt>
                <c:pt idx="1">
                  <c:v>40727.42450584875</c:v>
                </c:pt>
                <c:pt idx="2">
                  <c:v>42093.631951070784</c:v>
                </c:pt>
                <c:pt idx="3">
                  <c:v>41702.655657247182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2-4394-80BD-E4885C1B9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56895"/>
        <c:axId val="1384149407"/>
      </c:areaChart>
      <c:catAx>
        <c:axId val="138415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49407"/>
        <c:crosses val="autoZero"/>
        <c:auto val="1"/>
        <c:lblAlgn val="ctr"/>
        <c:lblOffset val="100"/>
        <c:noMultiLvlLbl val="0"/>
      </c:catAx>
      <c:valAx>
        <c:axId val="13841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5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 la partie du parc </a:t>
            </a:r>
            <a:r>
              <a:rPr lang="fr-FR" b="1"/>
              <a:t>suivant le décret tertiaire</a:t>
            </a:r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AMS'!$E$111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AMS'!$H$111:$K$111</c:f>
              <c:numCache>
                <c:formatCode>_-* #\ ##0_-;\-* #\ ##0_-;_-* "-"??_-;_-@_-</c:formatCode>
                <c:ptCount val="4"/>
                <c:pt idx="0" formatCode="0">
                  <c:v>1125.6244674990603</c:v>
                </c:pt>
                <c:pt idx="1">
                  <c:v>100.52456157034786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B-4A9A-874A-F88A09378D58}"/>
            </c:ext>
          </c:extLst>
        </c:ser>
        <c:ser>
          <c:idx val="1"/>
          <c:order val="1"/>
          <c:tx>
            <c:strRef>
              <c:f>'Transport - AMS'!$E$112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AMS'!$H$112:$K$112</c:f>
              <c:numCache>
                <c:formatCode>_-* #\ ##0_-;\-* #\ ##0_-;_-* "-"??_-;_-@_-</c:formatCode>
                <c:ptCount val="4"/>
                <c:pt idx="0" formatCode="0">
                  <c:v>2444.9472649923123</c:v>
                </c:pt>
                <c:pt idx="1">
                  <c:v>1783.0824199347726</c:v>
                </c:pt>
                <c:pt idx="2">
                  <c:v>799.50329513070767</c:v>
                </c:pt>
                <c:pt idx="3">
                  <c:v>93.573384894573906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B-4A9A-874A-F88A09378D58}"/>
            </c:ext>
          </c:extLst>
        </c:ser>
        <c:ser>
          <c:idx val="2"/>
          <c:order val="2"/>
          <c:tx>
            <c:strRef>
              <c:f>'Transport - AMS'!$E$113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AMS'!$H$113:$K$113</c:f>
              <c:numCache>
                <c:formatCode>_-* #\ ##0_-;\-* #\ ##0_-;_-* "-"??_-;_-@_-</c:formatCode>
                <c:ptCount val="4"/>
                <c:pt idx="0" formatCode="0">
                  <c:v>308.49485819798053</c:v>
                </c:pt>
                <c:pt idx="1">
                  <c:v>788.73937372437729</c:v>
                </c:pt>
                <c:pt idx="2">
                  <c:v>950.45341193295224</c:v>
                </c:pt>
                <c:pt idx="3">
                  <c:v>961.11788365893381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1B-4A9A-874A-F88A09378D58}"/>
            </c:ext>
          </c:extLst>
        </c:ser>
        <c:ser>
          <c:idx val="3"/>
          <c:order val="3"/>
          <c:tx>
            <c:strRef>
              <c:f>'Transport - AMS'!$E$114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AMS'!$H$114:$K$114</c:f>
              <c:numCache>
                <c:formatCode>_-* #\ ##0_-;\-* #\ ##0_-;_-* "-"??_-;_-@_-</c:formatCode>
                <c:ptCount val="4"/>
                <c:pt idx="0" formatCode="0">
                  <c:v>83.356499537953894</c:v>
                </c:pt>
                <c:pt idx="1">
                  <c:v>44.044886461307563</c:v>
                </c:pt>
                <c:pt idx="2">
                  <c:v>74.929895673025982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1B-4A9A-874A-F88A09378D58}"/>
            </c:ext>
          </c:extLst>
        </c:ser>
        <c:ser>
          <c:idx val="4"/>
          <c:order val="4"/>
          <c:tx>
            <c:strRef>
              <c:f>'Transport - AMS'!$E$115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AMS'!$H$115:$K$115</c:f>
              <c:numCache>
                <c:formatCode>_-* #\ ##0_-;\-* #\ ##0_-;_-* "-"??_-;_-@_-</c:formatCode>
                <c:ptCount val="4"/>
                <c:pt idx="0" formatCode="0">
                  <c:v>70.936041545287253</c:v>
                </c:pt>
                <c:pt idx="1">
                  <c:v>77.641324982506859</c:v>
                </c:pt>
                <c:pt idx="2">
                  <c:v>95.495732460097713</c:v>
                </c:pt>
                <c:pt idx="3">
                  <c:v>108.74688423973636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1B-4A9A-874A-F88A09378D58}"/>
            </c:ext>
          </c:extLst>
        </c:ser>
        <c:ser>
          <c:idx val="5"/>
          <c:order val="5"/>
          <c:tx>
            <c:strRef>
              <c:f>'Transport - AMS'!$E$116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AMS'!$H$116:$K$116</c:f>
              <c:numCache>
                <c:formatCode>_-* #\ ##0_-;\-* #\ ##0_-;_-* "-"??_-;_-@_-</c:formatCode>
                <c:ptCount val="4"/>
                <c:pt idx="0" formatCode="0">
                  <c:v>571.86489017134363</c:v>
                </c:pt>
                <c:pt idx="1">
                  <c:v>447.30367810514457</c:v>
                </c:pt>
                <c:pt idx="2">
                  <c:v>219.18549909683185</c:v>
                </c:pt>
                <c:pt idx="3">
                  <c:v>183.67790731784211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1B-4A9A-874A-F88A09378D58}"/>
            </c:ext>
          </c:extLst>
        </c:ser>
        <c:ser>
          <c:idx val="6"/>
          <c:order val="6"/>
          <c:tx>
            <c:strRef>
              <c:f>'Transport - AMS'!$E$117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AMS'!$H$117:$K$117</c:f>
              <c:numCache>
                <c:formatCode>_-* #\ ##0_-;\-* #\ ##0_-;_-* "-"??_-;_-@_-</c:formatCode>
                <c:ptCount val="4"/>
                <c:pt idx="0" formatCode="0">
                  <c:v>124.88474594010606</c:v>
                </c:pt>
                <c:pt idx="1">
                  <c:v>355.09008257615267</c:v>
                </c:pt>
                <c:pt idx="2">
                  <c:v>753.0928485598231</c:v>
                </c:pt>
                <c:pt idx="3">
                  <c:v>945.5182752775155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1B-4A9A-874A-F88A09378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de chauffage de</a:t>
            </a:r>
            <a:r>
              <a:rPr lang="fr-FR" baseline="0"/>
              <a:t> la partie du parc </a:t>
            </a:r>
            <a:r>
              <a:rPr lang="fr-FR" b="1" baseline="0"/>
              <a:t>ne suivant pas le décret tertiaire</a:t>
            </a:r>
            <a:endParaRPr lang="fr-FR" b="1"/>
          </a:p>
        </c:rich>
      </c:tx>
      <c:layout>
        <c:manualLayout>
          <c:xMode val="edge"/>
          <c:yMode val="edge"/>
          <c:x val="0.2515067804024496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'Transport - AMS'!$E$122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AMS'!$H$122:$K$122</c:f>
              <c:numCache>
                <c:formatCode>_-* #\ ##0_-;\-* #\ ##0_-;_-* "-"??_-;_-@_-</c:formatCode>
                <c:ptCount val="4"/>
                <c:pt idx="0">
                  <c:v>59.243393026266382</c:v>
                </c:pt>
                <c:pt idx="1">
                  <c:v>5.4717364422464447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7-4E6A-A793-8C28C360E6E7}"/>
            </c:ext>
          </c:extLst>
        </c:ser>
        <c:ser>
          <c:idx val="1"/>
          <c:order val="1"/>
          <c:tx>
            <c:strRef>
              <c:f>'Transport - AMS'!$E$123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AMS'!$H$123:$K$123</c:f>
              <c:numCache>
                <c:formatCode>_-* #\ ##0_-;\-* #\ ##0_-;_-* "-"??_-;_-@_-</c:formatCode>
                <c:ptCount val="4"/>
                <c:pt idx="0">
                  <c:v>128.6814349995955</c:v>
                </c:pt>
                <c:pt idx="1">
                  <c:v>101.21160179031043</c:v>
                </c:pt>
                <c:pt idx="2">
                  <c:v>45.685489759750546</c:v>
                </c:pt>
                <c:pt idx="3">
                  <c:v>5.3124224742119903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F7-4E6A-A793-8C28C360E6E7}"/>
            </c:ext>
          </c:extLst>
        </c:ser>
        <c:ser>
          <c:idx val="2"/>
          <c:order val="2"/>
          <c:tx>
            <c:strRef>
              <c:f>'Transport - AMS'!$E$124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AMS'!$H$124:$K$124</c:f>
              <c:numCache>
                <c:formatCode>_-* #\ ##0_-;\-* #\ ##0_-;_-* "-"??_-;_-@_-</c:formatCode>
                <c:ptCount val="4"/>
                <c:pt idx="0">
                  <c:v>16.236571484104257</c:v>
                </c:pt>
                <c:pt idx="1">
                  <c:v>46.532448511256938</c:v>
                </c:pt>
                <c:pt idx="2">
                  <c:v>60.7592596732175</c:v>
                </c:pt>
                <c:pt idx="3">
                  <c:v>55.484506470343682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F7-4E6A-A793-8C28C360E6E7}"/>
            </c:ext>
          </c:extLst>
        </c:ser>
        <c:ser>
          <c:idx val="3"/>
          <c:order val="3"/>
          <c:tx>
            <c:strRef>
              <c:f>'Transport - AMS'!$E$125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AMS'!$H$125:$K$125</c:f>
              <c:numCache>
                <c:formatCode>_-* #\ ##0_-;\-* #\ ##0_-;_-* "-"??_-;_-@_-</c:formatCode>
                <c:ptCount val="4"/>
                <c:pt idx="0">
                  <c:v>4.3871841862081027</c:v>
                </c:pt>
                <c:pt idx="1">
                  <c:v>2.7352326612919122</c:v>
                </c:pt>
                <c:pt idx="2">
                  <c:v>4.7900138305838826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F7-4E6A-A793-8C28C360E6E7}"/>
            </c:ext>
          </c:extLst>
        </c:ser>
        <c:ser>
          <c:idx val="4"/>
          <c:order val="4"/>
          <c:tx>
            <c:strRef>
              <c:f>'Transport - AMS'!$E$126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AMS'!$H$126:$K$126</c:f>
              <c:numCache>
                <c:formatCode>_-* #\ ##0_-;\-* #\ ##0_-;_-* "-"??_-;_-@_-</c:formatCode>
                <c:ptCount val="4"/>
                <c:pt idx="0">
                  <c:v>3.7334758708045954</c:v>
                </c:pt>
                <c:pt idx="1">
                  <c:v>4.8216059801787017</c:v>
                </c:pt>
                <c:pt idx="2">
                  <c:v>6.1047179518531625</c:v>
                </c:pt>
                <c:pt idx="3">
                  <c:v>7.0625968134798027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F7-4E6A-A793-8C28C360E6E7}"/>
            </c:ext>
          </c:extLst>
        </c:ser>
        <c:ser>
          <c:idx val="5"/>
          <c:order val="5"/>
          <c:tx>
            <c:strRef>
              <c:f>'Transport - AMS'!$E$127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AMS'!$H$127:$K$127</c:f>
              <c:numCache>
                <c:formatCode>_-* #\ ##0_-;\-* #\ ##0_-;_-* "-"??_-;_-@_-</c:formatCode>
                <c:ptCount val="4"/>
                <c:pt idx="0">
                  <c:v>30.098152114281266</c:v>
                </c:pt>
                <c:pt idx="1">
                  <c:v>22.197763763348757</c:v>
                </c:pt>
                <c:pt idx="2">
                  <c:v>10.592664445016387</c:v>
                </c:pt>
                <c:pt idx="3">
                  <c:v>8.5313950156428628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F7-4E6A-A793-8C28C360E6E7}"/>
            </c:ext>
          </c:extLst>
        </c:ser>
        <c:ser>
          <c:idx val="6"/>
          <c:order val="6"/>
          <c:tx>
            <c:strRef>
              <c:f>'Transport - AMS'!$E$128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'Transport - AMS'!$H$11:$K$12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'Transport - AMS'!$H$128:$K$128</c:f>
              <c:numCache>
                <c:formatCode>_-* #\ ##0_-;\-* #\ ##0_-;_-* "-"??_-;_-@_-</c:formatCode>
                <c:ptCount val="4"/>
                <c:pt idx="0">
                  <c:v>6.5728813652687457</c:v>
                </c:pt>
                <c:pt idx="1">
                  <c:v>18.502678294933791</c:v>
                </c:pt>
                <c:pt idx="2">
                  <c:v>36.395016429492685</c:v>
                </c:pt>
                <c:pt idx="3">
                  <c:v>43.172682844500109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F7-4E6A-A793-8C28C360E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366928"/>
        <c:axId val="1307369008"/>
      </c:barChart>
      <c:catAx>
        <c:axId val="13073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9008"/>
        <c:crosses val="autoZero"/>
        <c:auto val="1"/>
        <c:lblAlgn val="ctr"/>
        <c:lblOffset val="100"/>
        <c:noMultiLvlLbl val="0"/>
      </c:catAx>
      <c:valAx>
        <c:axId val="13073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73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'Transport - AMS'!$E$45</c:f>
              <c:strCache>
                <c:ptCount val="1"/>
                <c:pt idx="0">
                  <c:v>Fuel domestique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AMS'!$H$45:$K$45</c:f>
              <c:numCache>
                <c:formatCode>0%</c:formatCode>
                <c:ptCount val="4"/>
                <c:pt idx="0">
                  <c:v>0.19600000000000001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A-4C2B-AEC3-2D40550E08B5}"/>
            </c:ext>
          </c:extLst>
        </c:ser>
        <c:ser>
          <c:idx val="1"/>
          <c:order val="1"/>
          <c:tx>
            <c:strRef>
              <c:f>'Transport - AMS'!$E$46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AMS'!$H$46:$K$46</c:f>
              <c:numCache>
                <c:formatCode>0%</c:formatCode>
                <c:ptCount val="4"/>
                <c:pt idx="0">
                  <c:v>0.41</c:v>
                </c:pt>
                <c:pt idx="1">
                  <c:v>0.35259999999999997</c:v>
                </c:pt>
                <c:pt idx="2">
                  <c:v>0.16400000000000001</c:v>
                </c:pt>
                <c:pt idx="3">
                  <c:v>2.0500000000000001E-2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A-4C2B-AEC3-2D40550E08B5}"/>
            </c:ext>
          </c:extLst>
        </c:ser>
        <c:ser>
          <c:idx val="2"/>
          <c:order val="2"/>
          <c:tx>
            <c:strRef>
              <c:f>'Transport - AMS'!$E$47</c:f>
              <c:strCache>
                <c:ptCount val="1"/>
                <c:pt idx="0">
                  <c:v>Réseaux de chaleur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AMS'!$H$47:$K$47</c:f>
              <c:numCache>
                <c:formatCode>0%</c:formatCode>
                <c:ptCount val="4"/>
                <c:pt idx="0">
                  <c:v>6.2E-2</c:v>
                </c:pt>
                <c:pt idx="1">
                  <c:v>0.2</c:v>
                </c:pt>
                <c:pt idx="2">
                  <c:v>0.25</c:v>
                </c:pt>
                <c:pt idx="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A-4C2B-AEC3-2D40550E08B5}"/>
            </c:ext>
          </c:extLst>
        </c:ser>
        <c:ser>
          <c:idx val="3"/>
          <c:order val="3"/>
          <c:tx>
            <c:strRef>
              <c:f>'Transport - AMS'!$E$48</c:f>
              <c:strCache>
                <c:ptCount val="1"/>
                <c:pt idx="0">
                  <c:v>GPL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AMS'!$H$48:$K$48</c:f>
              <c:numCache>
                <c:formatCode>0%</c:formatCode>
                <c:ptCount val="4"/>
                <c:pt idx="0">
                  <c:v>1.7000000000000001E-2</c:v>
                </c:pt>
                <c:pt idx="1">
                  <c:v>1.1333333333333334E-2</c:v>
                </c:pt>
                <c:pt idx="2">
                  <c:v>0.02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8A-4C2B-AEC3-2D40550E08B5}"/>
            </c:ext>
          </c:extLst>
        </c:ser>
        <c:ser>
          <c:idx val="4"/>
          <c:order val="4"/>
          <c:tx>
            <c:strRef>
              <c:f>'Transport - AMS'!$E$49</c:f>
              <c:strCache>
                <c:ptCount val="1"/>
                <c:pt idx="0">
                  <c:v>ENR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AMS'!$H$49:$K$49</c:f>
              <c:numCache>
                <c:formatCode>0%</c:formatCode>
                <c:ptCount val="4"/>
                <c:pt idx="0">
                  <c:v>1.4E-2</c:v>
                </c:pt>
                <c:pt idx="1">
                  <c:v>1.9333333333333334E-2</c:v>
                </c:pt>
                <c:pt idx="2">
                  <c:v>2.4666666666666667E-2</c:v>
                </c:pt>
                <c:pt idx="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8A-4C2B-AEC3-2D40550E08B5}"/>
            </c:ext>
          </c:extLst>
        </c:ser>
        <c:ser>
          <c:idx val="5"/>
          <c:order val="5"/>
          <c:tx>
            <c:strRef>
              <c:f>'Transport - AMS'!$E$50</c:f>
              <c:strCache>
                <c:ptCount val="1"/>
                <c:pt idx="0">
                  <c:v>Joule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AMS'!$H$50:$K$50</c:f>
              <c:numCache>
                <c:formatCode>0%</c:formatCode>
                <c:ptCount val="4"/>
                <c:pt idx="0">
                  <c:v>0.23599999999999999</c:v>
                </c:pt>
                <c:pt idx="1">
                  <c:v>0.19673333333333326</c:v>
                </c:pt>
                <c:pt idx="2">
                  <c:v>0.1</c:v>
                </c:pt>
                <c:pt idx="3">
                  <c:v>8.9500000000000024E-2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8A-4C2B-AEC3-2D40550E08B5}"/>
            </c:ext>
          </c:extLst>
        </c:ser>
        <c:ser>
          <c:idx val="6"/>
          <c:order val="6"/>
          <c:tx>
            <c:strRef>
              <c:f>'Transport - AMS'!$E$51</c:f>
              <c:strCache>
                <c:ptCount val="1"/>
                <c:pt idx="0">
                  <c:v>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'Transport - AMS'!$H$44:$K$44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'Transport - AMS'!$H$51:$K$51</c:f>
              <c:numCache>
                <c:formatCode>0%</c:formatCode>
                <c:ptCount val="4"/>
                <c:pt idx="0">
                  <c:v>6.6000000000000003E-2</c:v>
                </c:pt>
                <c:pt idx="1">
                  <c:v>0.2</c:v>
                </c:pt>
                <c:pt idx="2">
                  <c:v>0.44</c:v>
                </c:pt>
                <c:pt idx="3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8A-4C2B-AEC3-2D40550E0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124480"/>
        <c:axId val="1855133632"/>
      </c:areaChart>
      <c:catAx>
        <c:axId val="185512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133632"/>
        <c:crosses val="autoZero"/>
        <c:auto val="1"/>
        <c:lblAlgn val="ctr"/>
        <c:lblOffset val="100"/>
        <c:noMultiLvlLbl val="0"/>
      </c:catAx>
      <c:valAx>
        <c:axId val="18551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12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4" Type="http://schemas.openxmlformats.org/officeDocument/2006/relationships/chart" Target="../charts/chart5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4" Type="http://schemas.openxmlformats.org/officeDocument/2006/relationships/chart" Target="../charts/chart5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4" Type="http://schemas.openxmlformats.org/officeDocument/2006/relationships/chart" Target="../charts/chart6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4" Type="http://schemas.openxmlformats.org/officeDocument/2006/relationships/chart" Target="../charts/chart6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Relationship Id="rId5" Type="http://schemas.openxmlformats.org/officeDocument/2006/relationships/chart" Target="../charts/chart72.xml"/><Relationship Id="rId4" Type="http://schemas.openxmlformats.org/officeDocument/2006/relationships/chart" Target="../charts/chart7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0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Relationship Id="rId5" Type="http://schemas.openxmlformats.org/officeDocument/2006/relationships/chart" Target="../charts/chart82.xml"/><Relationship Id="rId4" Type="http://schemas.openxmlformats.org/officeDocument/2006/relationships/chart" Target="../charts/chart8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5.xml"/><Relationship Id="rId2" Type="http://schemas.openxmlformats.org/officeDocument/2006/relationships/chart" Target="../charts/chart84.xml"/><Relationship Id="rId1" Type="http://schemas.openxmlformats.org/officeDocument/2006/relationships/chart" Target="../charts/chart83.xml"/><Relationship Id="rId5" Type="http://schemas.openxmlformats.org/officeDocument/2006/relationships/chart" Target="../charts/chart87.xml"/><Relationship Id="rId4" Type="http://schemas.openxmlformats.org/officeDocument/2006/relationships/chart" Target="../charts/chart8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0.xml"/><Relationship Id="rId2" Type="http://schemas.openxmlformats.org/officeDocument/2006/relationships/chart" Target="../charts/chart89.xml"/><Relationship Id="rId1" Type="http://schemas.openxmlformats.org/officeDocument/2006/relationships/chart" Target="../charts/chart88.xml"/><Relationship Id="rId5" Type="http://schemas.openxmlformats.org/officeDocument/2006/relationships/chart" Target="../charts/chart92.xml"/><Relationship Id="rId4" Type="http://schemas.openxmlformats.org/officeDocument/2006/relationships/chart" Target="../charts/chart91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5" Type="http://schemas.openxmlformats.org/officeDocument/2006/relationships/chart" Target="../charts/chart97.xml"/><Relationship Id="rId4" Type="http://schemas.openxmlformats.org/officeDocument/2006/relationships/chart" Target="../charts/chart9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0.xml"/><Relationship Id="rId2" Type="http://schemas.openxmlformats.org/officeDocument/2006/relationships/chart" Target="../charts/chart99.xml"/><Relationship Id="rId1" Type="http://schemas.openxmlformats.org/officeDocument/2006/relationships/chart" Target="../charts/chart98.xml"/><Relationship Id="rId5" Type="http://schemas.openxmlformats.org/officeDocument/2006/relationships/chart" Target="../charts/chart102.xml"/><Relationship Id="rId4" Type="http://schemas.openxmlformats.org/officeDocument/2006/relationships/chart" Target="../charts/chart101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59417</xdr:colOff>
      <xdr:row>4</xdr:row>
      <xdr:rowOff>52614</xdr:rowOff>
    </xdr:from>
    <xdr:to>
      <xdr:col>13</xdr:col>
      <xdr:colOff>545192</xdr:colOff>
      <xdr:row>20</xdr:row>
      <xdr:rowOff>125639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268941</xdr:colOff>
      <xdr:row>61</xdr:row>
      <xdr:rowOff>190499</xdr:rowOff>
    </xdr:from>
    <xdr:to>
      <xdr:col>13</xdr:col>
      <xdr:colOff>614875</xdr:colOff>
      <xdr:row>76</xdr:row>
      <xdr:rowOff>207914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704850</xdr:colOff>
      <xdr:row>77</xdr:row>
      <xdr:rowOff>25401</xdr:rowOff>
    </xdr:from>
    <xdr:to>
      <xdr:col>13</xdr:col>
      <xdr:colOff>504825</xdr:colOff>
      <xdr:row>90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650422</xdr:colOff>
      <xdr:row>89</xdr:row>
      <xdr:rowOff>135165</xdr:rowOff>
    </xdr:from>
    <xdr:to>
      <xdr:col>13</xdr:col>
      <xdr:colOff>450397</xdr:colOff>
      <xdr:row>102</xdr:row>
      <xdr:rowOff>109764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362857</xdr:colOff>
      <xdr:row>4</xdr:row>
      <xdr:rowOff>81643</xdr:rowOff>
    </xdr:from>
    <xdr:to>
      <xdr:col>22</xdr:col>
      <xdr:colOff>86632</xdr:colOff>
      <xdr:row>20</xdr:row>
      <xdr:rowOff>154668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362857</xdr:colOff>
      <xdr:row>59</xdr:row>
      <xdr:rowOff>172357</xdr:rowOff>
    </xdr:from>
    <xdr:to>
      <xdr:col>22</xdr:col>
      <xdr:colOff>80282</xdr:colOff>
      <xdr:row>77</xdr:row>
      <xdr:rowOff>63046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371929</xdr:colOff>
      <xdr:row>77</xdr:row>
      <xdr:rowOff>90715</xdr:rowOff>
    </xdr:from>
    <xdr:to>
      <xdr:col>22</xdr:col>
      <xdr:colOff>171904</xdr:colOff>
      <xdr:row>90</xdr:row>
      <xdr:rowOff>65314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399142</xdr:colOff>
      <xdr:row>90</xdr:row>
      <xdr:rowOff>9072</xdr:rowOff>
    </xdr:from>
    <xdr:to>
      <xdr:col>22</xdr:col>
      <xdr:colOff>199117</xdr:colOff>
      <xdr:row>102</xdr:row>
      <xdr:rowOff>165099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86178</xdr:colOff>
      <xdr:row>20</xdr:row>
      <xdr:rowOff>18142</xdr:rowOff>
    </xdr:from>
    <xdr:to>
      <xdr:col>13</xdr:col>
      <xdr:colOff>136071</xdr:colOff>
      <xdr:row>33</xdr:row>
      <xdr:rowOff>69850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607785</xdr:colOff>
      <xdr:row>20</xdr:row>
      <xdr:rowOff>0</xdr:rowOff>
    </xdr:from>
    <xdr:to>
      <xdr:col>21</xdr:col>
      <xdr:colOff>171450</xdr:colOff>
      <xdr:row>34</xdr:row>
      <xdr:rowOff>12700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95249</xdr:colOff>
      <xdr:row>33</xdr:row>
      <xdr:rowOff>29936</xdr:rowOff>
    </xdr:from>
    <xdr:to>
      <xdr:col>13</xdr:col>
      <xdr:colOff>95249</xdr:colOff>
      <xdr:row>47</xdr:row>
      <xdr:rowOff>178707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504076</xdr:colOff>
      <xdr:row>33</xdr:row>
      <xdr:rowOff>124239</xdr:rowOff>
    </xdr:from>
    <xdr:to>
      <xdr:col>21</xdr:col>
      <xdr:colOff>491830</xdr:colOff>
      <xdr:row>47</xdr:row>
      <xdr:rowOff>136485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625929</xdr:colOff>
      <xdr:row>109</xdr:row>
      <xdr:rowOff>0</xdr:rowOff>
    </xdr:from>
    <xdr:to>
      <xdr:col>13</xdr:col>
      <xdr:colOff>425904</xdr:colOff>
      <xdr:row>121</xdr:row>
      <xdr:rowOff>156027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425823</xdr:colOff>
      <xdr:row>109</xdr:row>
      <xdr:rowOff>134470</xdr:rowOff>
    </xdr:from>
    <xdr:to>
      <xdr:col>22</xdr:col>
      <xdr:colOff>225798</xdr:colOff>
      <xdr:row>122</xdr:row>
      <xdr:rowOff>103732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571499</xdr:colOff>
      <xdr:row>128</xdr:row>
      <xdr:rowOff>166204</xdr:rowOff>
    </xdr:from>
    <xdr:to>
      <xdr:col>12</xdr:col>
      <xdr:colOff>571499</xdr:colOff>
      <xdr:row>145</xdr:row>
      <xdr:rowOff>120926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705971</xdr:colOff>
      <xdr:row>128</xdr:row>
      <xdr:rowOff>136713</xdr:rowOff>
    </xdr:from>
    <xdr:to>
      <xdr:col>21</xdr:col>
      <xdr:colOff>705971</xdr:colOff>
      <xdr:row>145</xdr:row>
      <xdr:rowOff>91435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182486</xdr:colOff>
      <xdr:row>151</xdr:row>
      <xdr:rowOff>42329</xdr:rowOff>
    </xdr:from>
    <xdr:to>
      <xdr:col>22</xdr:col>
      <xdr:colOff>669552</xdr:colOff>
      <xdr:row>172</xdr:row>
      <xdr:rowOff>126066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1A67E1CC-3DB2-445D-AA10-0B648A018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5</xdr:col>
      <xdr:colOff>666360</xdr:colOff>
      <xdr:row>172</xdr:row>
      <xdr:rowOff>83737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98F1C8DB-B834-478D-A522-9115AA5D9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28574</xdr:colOff>
      <xdr:row>5</xdr:row>
      <xdr:rowOff>52387</xdr:rowOff>
    </xdr:from>
    <xdr:to>
      <xdr:col>35</xdr:col>
      <xdr:colOff>552449</xdr:colOff>
      <xdr:row>24</xdr:row>
      <xdr:rowOff>19050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1AD796F4-529B-48CE-8216-C9C4E0CF3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342899</xdr:colOff>
      <xdr:row>149</xdr:row>
      <xdr:rowOff>128586</xdr:rowOff>
    </xdr:from>
    <xdr:to>
      <xdr:col>37</xdr:col>
      <xdr:colOff>9524</xdr:colOff>
      <xdr:row>169</xdr:row>
      <xdr:rowOff>152399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7FA94943-0228-4DEC-97FB-34DA1BFBC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59417</xdr:colOff>
      <xdr:row>4</xdr:row>
      <xdr:rowOff>52614</xdr:rowOff>
    </xdr:from>
    <xdr:to>
      <xdr:col>13</xdr:col>
      <xdr:colOff>545192</xdr:colOff>
      <xdr:row>20</xdr:row>
      <xdr:rowOff>125639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14E202-3F34-49C0-83F2-8907BB7AE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268941</xdr:colOff>
      <xdr:row>61</xdr:row>
      <xdr:rowOff>190499</xdr:rowOff>
    </xdr:from>
    <xdr:to>
      <xdr:col>13</xdr:col>
      <xdr:colOff>614875</xdr:colOff>
      <xdr:row>76</xdr:row>
      <xdr:rowOff>207914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56E0CF4-0BD0-4B44-9EB9-635B76EE1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704850</xdr:colOff>
      <xdr:row>77</xdr:row>
      <xdr:rowOff>25401</xdr:rowOff>
    </xdr:from>
    <xdr:to>
      <xdr:col>13</xdr:col>
      <xdr:colOff>504825</xdr:colOff>
      <xdr:row>90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7C0441A-4E4D-4A88-BBBC-D218DA01E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650422</xdr:colOff>
      <xdr:row>89</xdr:row>
      <xdr:rowOff>135165</xdr:rowOff>
    </xdr:from>
    <xdr:to>
      <xdr:col>13</xdr:col>
      <xdr:colOff>450397</xdr:colOff>
      <xdr:row>102</xdr:row>
      <xdr:rowOff>109764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D58AE5E-1E5E-45FF-B149-ABBD218AE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362857</xdr:colOff>
      <xdr:row>4</xdr:row>
      <xdr:rowOff>81643</xdr:rowOff>
    </xdr:from>
    <xdr:to>
      <xdr:col>22</xdr:col>
      <xdr:colOff>86632</xdr:colOff>
      <xdr:row>20</xdr:row>
      <xdr:rowOff>154668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D970B18-9917-4A69-A83E-6C6F8B3ED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362857</xdr:colOff>
      <xdr:row>59</xdr:row>
      <xdr:rowOff>172357</xdr:rowOff>
    </xdr:from>
    <xdr:to>
      <xdr:col>22</xdr:col>
      <xdr:colOff>80282</xdr:colOff>
      <xdr:row>77</xdr:row>
      <xdr:rowOff>63046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4E35D94-1042-44DF-B32C-1B78FB91D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371929</xdr:colOff>
      <xdr:row>77</xdr:row>
      <xdr:rowOff>90715</xdr:rowOff>
    </xdr:from>
    <xdr:to>
      <xdr:col>22</xdr:col>
      <xdr:colOff>171904</xdr:colOff>
      <xdr:row>90</xdr:row>
      <xdr:rowOff>65314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8D2C803-A459-4A10-A0DB-5FFAD82DA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399142</xdr:colOff>
      <xdr:row>90</xdr:row>
      <xdr:rowOff>9072</xdr:rowOff>
    </xdr:from>
    <xdr:to>
      <xdr:col>22</xdr:col>
      <xdr:colOff>199117</xdr:colOff>
      <xdr:row>102</xdr:row>
      <xdr:rowOff>165099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CB8E3C4-68FD-484A-96D5-65D062335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86178</xdr:colOff>
      <xdr:row>20</xdr:row>
      <xdr:rowOff>18142</xdr:rowOff>
    </xdr:from>
    <xdr:to>
      <xdr:col>13</xdr:col>
      <xdr:colOff>136071</xdr:colOff>
      <xdr:row>33</xdr:row>
      <xdr:rowOff>69850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3B9424CC-A48E-4E60-9837-0D9C731C5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607785</xdr:colOff>
      <xdr:row>20</xdr:row>
      <xdr:rowOff>0</xdr:rowOff>
    </xdr:from>
    <xdr:to>
      <xdr:col>21</xdr:col>
      <xdr:colOff>171450</xdr:colOff>
      <xdr:row>34</xdr:row>
      <xdr:rowOff>12700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0BFF0DF-CED0-4889-8E9E-8067096EC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95249</xdr:colOff>
      <xdr:row>33</xdr:row>
      <xdr:rowOff>29936</xdr:rowOff>
    </xdr:from>
    <xdr:to>
      <xdr:col>13</xdr:col>
      <xdr:colOff>95249</xdr:colOff>
      <xdr:row>47</xdr:row>
      <xdr:rowOff>178707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9C8FAF63-BDEB-4AA8-9804-E287C33E6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504076</xdr:colOff>
      <xdr:row>33</xdr:row>
      <xdr:rowOff>124239</xdr:rowOff>
    </xdr:from>
    <xdr:to>
      <xdr:col>21</xdr:col>
      <xdr:colOff>491830</xdr:colOff>
      <xdr:row>47</xdr:row>
      <xdr:rowOff>136485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48CB98EF-ABAA-4097-AAC5-EFA3E3333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625929</xdr:colOff>
      <xdr:row>109</xdr:row>
      <xdr:rowOff>0</xdr:rowOff>
    </xdr:from>
    <xdr:to>
      <xdr:col>13</xdr:col>
      <xdr:colOff>425904</xdr:colOff>
      <xdr:row>121</xdr:row>
      <xdr:rowOff>156027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46DD4FAE-1733-4091-876D-445F5497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425823</xdr:colOff>
      <xdr:row>109</xdr:row>
      <xdr:rowOff>134470</xdr:rowOff>
    </xdr:from>
    <xdr:to>
      <xdr:col>22</xdr:col>
      <xdr:colOff>225798</xdr:colOff>
      <xdr:row>122</xdr:row>
      <xdr:rowOff>103732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E7F403E8-DF54-4957-9D0A-1C9CF04D3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571499</xdr:colOff>
      <xdr:row>128</xdr:row>
      <xdr:rowOff>166204</xdr:rowOff>
    </xdr:from>
    <xdr:to>
      <xdr:col>12</xdr:col>
      <xdr:colOff>571499</xdr:colOff>
      <xdr:row>145</xdr:row>
      <xdr:rowOff>120926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77FBA359-7694-47E8-9B6E-BF4D13501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705971</xdr:colOff>
      <xdr:row>128</xdr:row>
      <xdr:rowOff>136713</xdr:rowOff>
    </xdr:from>
    <xdr:to>
      <xdr:col>21</xdr:col>
      <xdr:colOff>705971</xdr:colOff>
      <xdr:row>145</xdr:row>
      <xdr:rowOff>91435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DB1B3B12-9EF7-4CC4-89A5-04C3E1D54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182486</xdr:colOff>
      <xdr:row>151</xdr:row>
      <xdr:rowOff>42329</xdr:rowOff>
    </xdr:from>
    <xdr:to>
      <xdr:col>22</xdr:col>
      <xdr:colOff>669552</xdr:colOff>
      <xdr:row>172</xdr:row>
      <xdr:rowOff>126066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74983E4C-8C3C-4E0A-BB67-587837070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5</xdr:col>
      <xdr:colOff>666360</xdr:colOff>
      <xdr:row>172</xdr:row>
      <xdr:rowOff>83737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BC817792-D12D-4E2A-B24A-BB8A794A2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28574</xdr:colOff>
      <xdr:row>5</xdr:row>
      <xdr:rowOff>52387</xdr:rowOff>
    </xdr:from>
    <xdr:to>
      <xdr:col>35</xdr:col>
      <xdr:colOff>552449</xdr:colOff>
      <xdr:row>24</xdr:row>
      <xdr:rowOff>19050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16DF7FC9-9D8D-4A64-905B-2B5CD2911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342899</xdr:colOff>
      <xdr:row>149</xdr:row>
      <xdr:rowOff>128586</xdr:rowOff>
    </xdr:from>
    <xdr:to>
      <xdr:col>37</xdr:col>
      <xdr:colOff>9524</xdr:colOff>
      <xdr:row>169</xdr:row>
      <xdr:rowOff>152399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1E3015DF-0D07-4721-AEB9-7E9B453CB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756245</xdr:colOff>
      <xdr:row>71</xdr:row>
      <xdr:rowOff>75884</xdr:rowOff>
    </xdr:from>
    <xdr:to>
      <xdr:col>23</xdr:col>
      <xdr:colOff>70644</xdr:colOff>
      <xdr:row>88</xdr:row>
      <xdr:rowOff>6584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571011</xdr:colOff>
      <xdr:row>42</xdr:row>
      <xdr:rowOff>254977</xdr:rowOff>
    </xdr:from>
    <xdr:to>
      <xdr:col>24</xdr:col>
      <xdr:colOff>296740</xdr:colOff>
      <xdr:row>62</xdr:row>
      <xdr:rowOff>39077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0AA78D0-1B77-43DA-82A7-5BF18F0F1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538370</xdr:colOff>
      <xdr:row>42</xdr:row>
      <xdr:rowOff>180423</xdr:rowOff>
    </xdr:from>
    <xdr:to>
      <xdr:col>24</xdr:col>
      <xdr:colOff>265044</xdr:colOff>
      <xdr:row>61</xdr:row>
      <xdr:rowOff>99254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2C3AF41-4301-44BC-99F0-381D8F099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356152</xdr:colOff>
      <xdr:row>42</xdr:row>
      <xdr:rowOff>221835</xdr:rowOff>
    </xdr:from>
    <xdr:to>
      <xdr:col>24</xdr:col>
      <xdr:colOff>82826</xdr:colOff>
      <xdr:row>62</xdr:row>
      <xdr:rowOff>8144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222B602-882F-4A61-96FA-F2B29331C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505239</xdr:colOff>
      <xdr:row>42</xdr:row>
      <xdr:rowOff>251791</xdr:rowOff>
    </xdr:from>
    <xdr:to>
      <xdr:col>24</xdr:col>
      <xdr:colOff>231913</xdr:colOff>
      <xdr:row>62</xdr:row>
      <xdr:rowOff>34925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5E74D8F-85CE-4908-A4D1-A9D071789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397565</xdr:colOff>
      <xdr:row>42</xdr:row>
      <xdr:rowOff>226944</xdr:rowOff>
    </xdr:from>
    <xdr:to>
      <xdr:col>24</xdr:col>
      <xdr:colOff>124239</xdr:colOff>
      <xdr:row>62</xdr:row>
      <xdr:rowOff>16428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2C620BD-A6DA-4E24-8F27-60D5C241E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579782</xdr:colOff>
      <xdr:row>42</xdr:row>
      <xdr:rowOff>213553</xdr:rowOff>
    </xdr:from>
    <xdr:to>
      <xdr:col>24</xdr:col>
      <xdr:colOff>306456</xdr:colOff>
      <xdr:row>61</xdr:row>
      <xdr:rowOff>132384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ED85E5B-2BA8-47B2-906F-A898651F9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499085</xdr:colOff>
      <xdr:row>1</xdr:row>
      <xdr:rowOff>83457</xdr:rowOff>
    </xdr:from>
    <xdr:to>
      <xdr:col>26</xdr:col>
      <xdr:colOff>121556</xdr:colOff>
      <xdr:row>25</xdr:row>
      <xdr:rowOff>56243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564590</xdr:colOff>
      <xdr:row>25</xdr:row>
      <xdr:rowOff>97758</xdr:rowOff>
    </xdr:from>
    <xdr:to>
      <xdr:col>26</xdr:col>
      <xdr:colOff>239059</xdr:colOff>
      <xdr:row>42</xdr:row>
      <xdr:rowOff>179294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450850</xdr:colOff>
      <xdr:row>2</xdr:row>
      <xdr:rowOff>96052</xdr:rowOff>
    </xdr:from>
    <xdr:to>
      <xdr:col>33</xdr:col>
      <xdr:colOff>572250</xdr:colOff>
      <xdr:row>25</xdr:row>
      <xdr:rowOff>51710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490391</xdr:colOff>
      <xdr:row>25</xdr:row>
      <xdr:rowOff>26681</xdr:rowOff>
    </xdr:from>
    <xdr:to>
      <xdr:col>33</xdr:col>
      <xdr:colOff>611791</xdr:colOff>
      <xdr:row>42</xdr:row>
      <xdr:rowOff>264085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430696</xdr:colOff>
      <xdr:row>42</xdr:row>
      <xdr:rowOff>230118</xdr:rowOff>
    </xdr:from>
    <xdr:to>
      <xdr:col>24</xdr:col>
      <xdr:colOff>157370</xdr:colOff>
      <xdr:row>62</xdr:row>
      <xdr:rowOff>10077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727E903-4CA7-4116-98E7-102292E2B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2</xdr:row>
      <xdr:rowOff>120650</xdr:rowOff>
    </xdr:from>
    <xdr:to>
      <xdr:col>12</xdr:col>
      <xdr:colOff>457200</xdr:colOff>
      <xdr:row>24</xdr:row>
      <xdr:rowOff>119100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350" y="488950"/>
          <a:ext cx="8070850" cy="404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184149</xdr:rowOff>
    </xdr:from>
    <xdr:to>
      <xdr:col>16</xdr:col>
      <xdr:colOff>342900</xdr:colOff>
      <xdr:row>42</xdr:row>
      <xdr:rowOff>148300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4972049"/>
          <a:ext cx="11010900" cy="2910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0DDD-74A1-4607-A6BF-126ECFD1EF4A}">
  <sheetPr>
    <tabColor rgb="FF3DB84B"/>
  </sheetPr>
  <dimension ref="A1:A2"/>
  <sheetViews>
    <sheetView workbookViewId="0">
      <selection activeCell="C9" sqref="C9"/>
    </sheetView>
  </sheetViews>
  <sheetFormatPr baseColWidth="10" defaultRowHeight="15"/>
  <sheetData>
    <row r="1" spans="1:1">
      <c r="A1" t="s">
        <v>403</v>
      </c>
    </row>
    <row r="2" spans="1:1">
      <c r="A2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B84B"/>
  </sheetPr>
  <dimension ref="A2:AQ58"/>
  <sheetViews>
    <sheetView topLeftCell="A22" zoomScale="85" zoomScaleNormal="85" workbookViewId="0">
      <selection activeCell="B44" sqref="B44:M44"/>
    </sheetView>
  </sheetViews>
  <sheetFormatPr baseColWidth="10" defaultRowHeight="15"/>
  <cols>
    <col min="1" max="1" width="13.85546875" customWidth="1"/>
    <col min="2" max="2" width="8.140625" customWidth="1"/>
    <col min="3" max="3" width="22.85546875" customWidth="1"/>
    <col min="4" max="4" width="14.140625" style="74" customWidth="1"/>
    <col min="5" max="5" width="13.42578125" customWidth="1"/>
    <col min="6" max="6" width="16.28515625" customWidth="1"/>
    <col min="7" max="7" width="10" bestFit="1" customWidth="1"/>
    <col min="8" max="8" width="13" bestFit="1" customWidth="1"/>
    <col min="9" max="9" width="14.7109375" customWidth="1"/>
    <col min="11" max="11" width="11.85546875" customWidth="1"/>
    <col min="13" max="13" width="11.85546875" style="169" customWidth="1"/>
    <col min="15" max="15" width="36.42578125" customWidth="1"/>
    <col min="16" max="16" width="13.140625" customWidth="1"/>
    <col min="31" max="31" width="14.7109375" customWidth="1"/>
  </cols>
  <sheetData>
    <row r="2" spans="2:20">
      <c r="B2" s="451" t="s">
        <v>267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3"/>
    </row>
    <row r="3" spans="2:20">
      <c r="B3" s="158"/>
      <c r="C3" s="158"/>
      <c r="D3" s="159"/>
      <c r="E3" s="158"/>
      <c r="F3" s="158"/>
      <c r="G3" s="158"/>
      <c r="H3" s="158"/>
      <c r="I3" s="158"/>
      <c r="J3" s="158"/>
      <c r="K3" s="158"/>
      <c r="L3" s="158"/>
    </row>
    <row r="4" spans="2:20" ht="45">
      <c r="B4" s="158"/>
      <c r="C4" s="158"/>
      <c r="D4" s="159"/>
      <c r="E4" s="165" t="s">
        <v>0</v>
      </c>
      <c r="F4" s="165" t="s">
        <v>48</v>
      </c>
      <c r="G4" s="165" t="s">
        <v>3</v>
      </c>
      <c r="H4" s="165" t="s">
        <v>43</v>
      </c>
      <c r="I4" s="165" t="s">
        <v>1</v>
      </c>
      <c r="J4" s="165" t="s">
        <v>45</v>
      </c>
      <c r="K4" s="165" t="s">
        <v>44</v>
      </c>
      <c r="L4" s="165" t="s">
        <v>4</v>
      </c>
      <c r="M4" s="166" t="s">
        <v>17</v>
      </c>
      <c r="O4" s="322" t="s">
        <v>294</v>
      </c>
    </row>
    <row r="5" spans="2:20">
      <c r="B5" s="158"/>
      <c r="C5" s="158"/>
      <c r="D5"/>
      <c r="O5" s="323"/>
      <c r="Q5" s="16"/>
      <c r="R5" s="16"/>
      <c r="S5" s="16"/>
    </row>
    <row r="6" spans="2:20" ht="30">
      <c r="B6" s="158"/>
      <c r="C6" s="446" t="s">
        <v>101</v>
      </c>
      <c r="D6" s="446"/>
      <c r="E6" s="325">
        <v>261321</v>
      </c>
      <c r="F6" s="325">
        <v>76051</v>
      </c>
      <c r="G6" s="325">
        <v>247482</v>
      </c>
      <c r="H6" s="325">
        <v>224459</v>
      </c>
      <c r="I6" s="325">
        <v>72135</v>
      </c>
      <c r="J6" s="325">
        <v>138496</v>
      </c>
      <c r="K6" s="325">
        <v>73203</v>
      </c>
      <c r="L6" s="325">
        <v>31290</v>
      </c>
      <c r="M6" s="167">
        <f>SUM(E6:L6)</f>
        <v>1124437</v>
      </c>
      <c r="O6" s="324" t="s">
        <v>295</v>
      </c>
      <c r="Q6" s="16"/>
      <c r="R6" s="16"/>
      <c r="S6" s="16"/>
    </row>
    <row r="7" spans="2:20">
      <c r="B7" s="158"/>
      <c r="C7" s="158"/>
      <c r="D7"/>
      <c r="O7" s="324"/>
      <c r="Q7" s="16"/>
      <c r="R7" s="16"/>
      <c r="S7" s="16"/>
    </row>
    <row r="8" spans="2:20">
      <c r="C8" s="447" t="s">
        <v>92</v>
      </c>
      <c r="D8" s="448"/>
      <c r="E8" s="160">
        <v>0.1</v>
      </c>
      <c r="F8" s="160">
        <v>0</v>
      </c>
      <c r="G8" s="160">
        <v>0</v>
      </c>
      <c r="H8" s="160">
        <v>7.0000000000000007E-2</v>
      </c>
      <c r="I8" s="160">
        <v>0</v>
      </c>
      <c r="J8" s="160">
        <v>0.6</v>
      </c>
      <c r="K8" s="160">
        <v>0.06</v>
      </c>
      <c r="L8" s="160">
        <v>0.5</v>
      </c>
      <c r="M8" s="168">
        <f>SUMPRODUCT(E$6:L$6,E8:L8)/M$6</f>
        <v>0.12893475579334368</v>
      </c>
      <c r="N8" s="107"/>
      <c r="O8" s="449" t="s">
        <v>296</v>
      </c>
      <c r="Q8" s="16"/>
      <c r="R8" s="16"/>
      <c r="S8" s="16"/>
    </row>
    <row r="9" spans="2:20" ht="14.45" customHeight="1">
      <c r="C9" s="447" t="s">
        <v>94</v>
      </c>
      <c r="D9" s="448"/>
      <c r="E9" s="160">
        <v>0.1</v>
      </c>
      <c r="F9" s="160">
        <v>0</v>
      </c>
      <c r="G9" s="160">
        <v>0</v>
      </c>
      <c r="H9" s="160">
        <v>0.72</v>
      </c>
      <c r="I9" s="160">
        <v>0.1</v>
      </c>
      <c r="J9" s="160">
        <v>0.08</v>
      </c>
      <c r="K9" s="160">
        <v>0.85</v>
      </c>
      <c r="L9" s="160">
        <v>0</v>
      </c>
      <c r="M9" s="168">
        <f>SUMPRODUCT(E$6:L$6,E9:L9)/M$6</f>
        <v>0.23857122275414275</v>
      </c>
      <c r="N9" s="157"/>
      <c r="O9" s="449"/>
      <c r="Q9" s="16"/>
      <c r="S9" s="16"/>
    </row>
    <row r="10" spans="2:20" ht="14.45" customHeight="1">
      <c r="C10" s="447" t="s">
        <v>93</v>
      </c>
      <c r="D10" s="448"/>
      <c r="E10" s="160">
        <v>0.8</v>
      </c>
      <c r="F10" s="160">
        <v>1</v>
      </c>
      <c r="G10" s="160">
        <v>1</v>
      </c>
      <c r="H10" s="160">
        <v>0.21</v>
      </c>
      <c r="I10" s="160">
        <v>0.9</v>
      </c>
      <c r="J10" s="160">
        <v>0.32</v>
      </c>
      <c r="K10" s="160">
        <v>0.09</v>
      </c>
      <c r="L10" s="160">
        <v>0.5</v>
      </c>
      <c r="M10" s="168">
        <f>SUMPRODUCT(E$6:L$6,E10:L10)/M$6</f>
        <v>0.63249402145251366</v>
      </c>
      <c r="O10" s="449"/>
      <c r="Q10" s="437" t="s">
        <v>219</v>
      </c>
      <c r="R10" s="437"/>
      <c r="S10" s="437"/>
      <c r="T10" s="437"/>
    </row>
    <row r="11" spans="2:20" ht="14.45" customHeight="1">
      <c r="C11" s="158"/>
      <c r="D11" s="161"/>
      <c r="E11" s="162"/>
      <c r="F11" s="162"/>
      <c r="G11" s="162"/>
      <c r="H11" s="162"/>
      <c r="I11" s="162"/>
      <c r="J11" s="162"/>
      <c r="K11" s="162"/>
      <c r="L11" s="162"/>
      <c r="M11" s="170"/>
      <c r="O11" s="324"/>
      <c r="Q11" s="438"/>
      <c r="R11" s="438"/>
      <c r="S11" s="438"/>
      <c r="T11" s="438"/>
    </row>
    <row r="12" spans="2:20" ht="28.5" customHeight="1">
      <c r="C12" s="440" t="s">
        <v>112</v>
      </c>
      <c r="D12" s="441"/>
      <c r="E12" s="160">
        <v>0.76</v>
      </c>
      <c r="F12" s="160">
        <v>0.61</v>
      </c>
      <c r="G12" s="160">
        <v>0.74</v>
      </c>
      <c r="H12" s="160">
        <v>0.92</v>
      </c>
      <c r="I12" s="160">
        <v>0.85</v>
      </c>
      <c r="J12" s="160">
        <v>0.83</v>
      </c>
      <c r="K12" s="160">
        <v>0.77</v>
      </c>
      <c r="L12" s="160">
        <v>0.86</v>
      </c>
      <c r="M12" s="168">
        <f>SUMPRODUCT(E$6:L$6,E12:L12)/M$6</f>
        <v>0.79522122626701186</v>
      </c>
      <c r="O12" s="324" t="s">
        <v>297</v>
      </c>
      <c r="Q12" s="280" t="s">
        <v>220</v>
      </c>
      <c r="R12" s="289" t="s">
        <v>8</v>
      </c>
      <c r="S12" s="289" t="s">
        <v>9</v>
      </c>
      <c r="T12" s="289" t="s">
        <v>10</v>
      </c>
    </row>
    <row r="13" spans="2:20" ht="28.5" customHeight="1">
      <c r="C13" s="440" t="s">
        <v>113</v>
      </c>
      <c r="D13" s="441"/>
      <c r="E13" s="160">
        <f>MIN(100%, E12+0.175)</f>
        <v>0.93500000000000005</v>
      </c>
      <c r="F13" s="160">
        <f t="shared" ref="F13:L13" si="0">MIN(100%, F12+0.175)</f>
        <v>0.78499999999999992</v>
      </c>
      <c r="G13" s="160">
        <f t="shared" si="0"/>
        <v>0.91500000000000004</v>
      </c>
      <c r="H13" s="160">
        <f t="shared" si="0"/>
        <v>1</v>
      </c>
      <c r="I13" s="160">
        <v>0.9</v>
      </c>
      <c r="J13" s="160">
        <f t="shared" si="0"/>
        <v>1</v>
      </c>
      <c r="K13" s="160">
        <f t="shared" si="0"/>
        <v>0.94500000000000006</v>
      </c>
      <c r="L13" s="160">
        <f t="shared" si="0"/>
        <v>1</v>
      </c>
      <c r="M13" s="168">
        <f t="shared" ref="M13" si="1">SUMPRODUCT(E$6:L$6,E13:L13)/M$6</f>
        <v>0.94164860725856581</v>
      </c>
      <c r="O13" s="74" t="s">
        <v>298</v>
      </c>
      <c r="Q13" s="105"/>
      <c r="R13" s="93"/>
      <c r="S13" s="93"/>
      <c r="T13" s="93"/>
    </row>
    <row r="14" spans="2:20">
      <c r="B14" s="158"/>
      <c r="C14" s="161"/>
      <c r="D14" s="161"/>
      <c r="E14" s="158"/>
      <c r="F14" s="158"/>
      <c r="G14" s="158"/>
      <c r="H14" s="158"/>
      <c r="I14" s="158"/>
      <c r="J14" s="158"/>
      <c r="K14" s="158"/>
      <c r="L14" s="158"/>
      <c r="O14" s="324"/>
      <c r="Q14" s="93" t="s">
        <v>0</v>
      </c>
      <c r="R14" s="102">
        <v>0.65</v>
      </c>
      <c r="S14" s="102">
        <v>0.65</v>
      </c>
      <c r="T14" s="102">
        <v>0.55000000000000004</v>
      </c>
    </row>
    <row r="15" spans="2:20" ht="14.45" customHeight="1">
      <c r="B15" s="454" t="s">
        <v>18</v>
      </c>
      <c r="C15" s="455" t="s">
        <v>218</v>
      </c>
      <c r="D15" s="314" t="s">
        <v>95</v>
      </c>
      <c r="E15" s="163">
        <v>0.6</v>
      </c>
      <c r="F15" s="163">
        <v>0.6</v>
      </c>
      <c r="G15" s="163">
        <v>0.6</v>
      </c>
      <c r="H15" s="163">
        <v>0.6</v>
      </c>
      <c r="I15" s="163">
        <v>0.6</v>
      </c>
      <c r="J15" s="163">
        <v>0.6</v>
      </c>
      <c r="K15" s="163">
        <v>0.6</v>
      </c>
      <c r="L15" s="163">
        <v>0.6</v>
      </c>
      <c r="M15" s="171">
        <f>SUMPRODUCT(E$6:L$6,E15:L15)/M$6</f>
        <v>0.60000000000000009</v>
      </c>
      <c r="O15" s="450" t="s">
        <v>299</v>
      </c>
      <c r="Q15" s="93" t="s">
        <v>11</v>
      </c>
      <c r="R15" s="102">
        <v>0.66</v>
      </c>
      <c r="S15" s="102">
        <v>0.66</v>
      </c>
      <c r="T15" s="102">
        <v>0.55000000000000004</v>
      </c>
    </row>
    <row r="16" spans="2:20">
      <c r="B16" s="454"/>
      <c r="C16" s="455"/>
      <c r="D16" s="314" t="s">
        <v>97</v>
      </c>
      <c r="E16" s="163">
        <v>0.5</v>
      </c>
      <c r="F16" s="163">
        <v>0.5</v>
      </c>
      <c r="G16" s="163">
        <v>0.5</v>
      </c>
      <c r="H16" s="163">
        <v>0.5</v>
      </c>
      <c r="I16" s="163">
        <v>0.5</v>
      </c>
      <c r="J16" s="163">
        <v>0.5</v>
      </c>
      <c r="K16" s="163">
        <v>0.5</v>
      </c>
      <c r="L16" s="163">
        <v>0.5</v>
      </c>
      <c r="M16" s="171">
        <f>SUMPRODUCT(E$6:L$6,E16:L16)/M$6</f>
        <v>0.5</v>
      </c>
      <c r="O16" s="450"/>
      <c r="Q16" s="93" t="s">
        <v>3</v>
      </c>
      <c r="R16" s="102">
        <v>0.52</v>
      </c>
      <c r="S16" s="102">
        <v>0.52</v>
      </c>
      <c r="T16" s="102">
        <v>0.42</v>
      </c>
    </row>
    <row r="17" spans="1:31" ht="27" customHeight="1">
      <c r="B17" s="454"/>
      <c r="C17" s="455"/>
      <c r="D17" s="314" t="s">
        <v>96</v>
      </c>
      <c r="E17" s="163">
        <v>0.45</v>
      </c>
      <c r="F17" s="163">
        <v>0.45</v>
      </c>
      <c r="G17" s="163">
        <v>0.45</v>
      </c>
      <c r="H17" s="163">
        <v>0.45</v>
      </c>
      <c r="I17" s="163">
        <v>0.45</v>
      </c>
      <c r="J17" s="163">
        <v>0.45</v>
      </c>
      <c r="K17" s="163">
        <v>0.45</v>
      </c>
      <c r="L17" s="163">
        <v>0.45</v>
      </c>
      <c r="M17" s="171">
        <f t="shared" ref="M17" si="2">SUMPRODUCT(E$6:L$6,E17:L17)/M$6</f>
        <v>0.44999999999999996</v>
      </c>
      <c r="O17" s="450"/>
      <c r="Q17" s="93" t="s">
        <v>12</v>
      </c>
      <c r="R17" s="102">
        <v>0.85</v>
      </c>
      <c r="S17" s="102">
        <v>0.85</v>
      </c>
      <c r="T17" s="102">
        <v>0.75</v>
      </c>
    </row>
    <row r="18" spans="1:31">
      <c r="B18" s="158"/>
      <c r="C18" s="256"/>
      <c r="D18" s="161"/>
      <c r="E18" s="158"/>
      <c r="F18" s="158"/>
      <c r="G18" s="158"/>
      <c r="H18" s="158"/>
      <c r="I18" s="158"/>
      <c r="J18" s="158"/>
      <c r="K18" s="158"/>
      <c r="L18" s="158"/>
      <c r="O18" s="74"/>
      <c r="Q18" s="93" t="s">
        <v>1</v>
      </c>
      <c r="R18" s="102">
        <v>0.78</v>
      </c>
      <c r="S18" s="102">
        <v>0.78</v>
      </c>
      <c r="T18" s="102">
        <v>0.68</v>
      </c>
    </row>
    <row r="19" spans="1:31">
      <c r="B19" s="456" t="s">
        <v>19</v>
      </c>
      <c r="C19" s="455" t="s">
        <v>218</v>
      </c>
      <c r="D19" s="314" t="s">
        <v>95</v>
      </c>
      <c r="E19" s="163">
        <v>1</v>
      </c>
      <c r="F19" s="163">
        <v>1</v>
      </c>
      <c r="G19" s="163">
        <v>1</v>
      </c>
      <c r="H19" s="163">
        <v>1</v>
      </c>
      <c r="I19" s="163">
        <v>1</v>
      </c>
      <c r="J19" s="163">
        <v>1</v>
      </c>
      <c r="K19" s="163">
        <v>1</v>
      </c>
      <c r="L19" s="163">
        <v>1</v>
      </c>
      <c r="M19" s="171">
        <f>SUMPRODUCT(E$6:L$6,E19:L19)/M$6</f>
        <v>1</v>
      </c>
      <c r="O19" s="74"/>
      <c r="Q19" s="93" t="s">
        <v>2</v>
      </c>
      <c r="R19" s="102">
        <v>0.99</v>
      </c>
      <c r="S19" s="102">
        <v>0.99</v>
      </c>
      <c r="T19" s="102">
        <v>0.89</v>
      </c>
    </row>
    <row r="20" spans="1:31">
      <c r="B20" s="456"/>
      <c r="C20" s="455"/>
      <c r="D20" s="314" t="s">
        <v>97</v>
      </c>
      <c r="E20" s="163">
        <v>0.95</v>
      </c>
      <c r="F20" s="163">
        <v>0.95</v>
      </c>
      <c r="G20" s="163">
        <v>0.95</v>
      </c>
      <c r="H20" s="163">
        <v>0.95</v>
      </c>
      <c r="I20" s="163">
        <v>0.95</v>
      </c>
      <c r="J20" s="163">
        <v>0.95</v>
      </c>
      <c r="K20" s="163">
        <v>0.95</v>
      </c>
      <c r="L20" s="163">
        <v>0.95</v>
      </c>
      <c r="M20" s="171">
        <f t="shared" ref="M20:M21" si="3">SUMPRODUCT(E$6:L$6,E20:L20)/M$6</f>
        <v>0.95</v>
      </c>
      <c r="O20" s="74"/>
      <c r="Q20" s="93" t="s">
        <v>13</v>
      </c>
      <c r="R20" s="102">
        <v>0.59</v>
      </c>
      <c r="S20" s="102">
        <v>0.59</v>
      </c>
      <c r="T20" s="102">
        <v>0.49</v>
      </c>
    </row>
    <row r="21" spans="1:31" ht="33.950000000000003" customHeight="1">
      <c r="B21" s="456"/>
      <c r="C21" s="455"/>
      <c r="D21" s="314" t="s">
        <v>96</v>
      </c>
      <c r="E21" s="163">
        <v>0.9</v>
      </c>
      <c r="F21" s="163">
        <v>0.9</v>
      </c>
      <c r="G21" s="163">
        <v>0.9</v>
      </c>
      <c r="H21" s="163">
        <v>0.9</v>
      </c>
      <c r="I21" s="163">
        <v>0.9</v>
      </c>
      <c r="J21" s="163">
        <v>0.9</v>
      </c>
      <c r="K21" s="163">
        <v>0.9</v>
      </c>
      <c r="L21" s="163">
        <v>0.9</v>
      </c>
      <c r="M21" s="171">
        <f t="shared" si="3"/>
        <v>0.89999999999999991</v>
      </c>
      <c r="O21" s="74"/>
      <c r="Q21" s="93" t="s">
        <v>4</v>
      </c>
      <c r="R21" s="102">
        <v>0.78</v>
      </c>
      <c r="S21" s="102">
        <v>0.57999999999999996</v>
      </c>
      <c r="T21" s="102">
        <v>0.57999999999999996</v>
      </c>
    </row>
    <row r="22" spans="1:31">
      <c r="B22" s="158"/>
      <c r="C22" s="257"/>
      <c r="D22" s="159"/>
      <c r="E22" s="158"/>
      <c r="F22" s="158"/>
      <c r="G22" s="158"/>
      <c r="H22" s="158"/>
      <c r="I22" s="158"/>
      <c r="J22" s="158"/>
      <c r="K22" s="158"/>
      <c r="L22" s="158"/>
      <c r="O22" s="74"/>
      <c r="Q22" s="105" t="s">
        <v>14</v>
      </c>
      <c r="R22" s="106">
        <v>0.70855330401002814</v>
      </c>
      <c r="S22" s="106">
        <v>0.71522962558045855</v>
      </c>
      <c r="T22" s="106">
        <v>0.61947513903282436</v>
      </c>
    </row>
    <row r="23" spans="1:31" ht="15.75" thickBot="1">
      <c r="B23" s="158"/>
      <c r="C23" s="257"/>
      <c r="D23" s="159"/>
      <c r="E23" s="158"/>
      <c r="F23" s="158"/>
      <c r="G23" s="158"/>
      <c r="H23" s="158"/>
      <c r="I23" s="158"/>
      <c r="J23" s="158"/>
      <c r="K23" s="158"/>
      <c r="L23" s="158"/>
      <c r="O23" s="74"/>
    </row>
    <row r="24" spans="1:31" ht="14.45" customHeight="1">
      <c r="B24" s="128" t="s">
        <v>18</v>
      </c>
      <c r="C24" s="439" t="s">
        <v>223</v>
      </c>
      <c r="D24" s="164" t="s">
        <v>17</v>
      </c>
      <c r="E24" s="163">
        <f>E8*E15+E9*E16+E10*E17</f>
        <v>0.47000000000000003</v>
      </c>
      <c r="F24" s="163">
        <f>F8*F15+F9*F16+F10*F17</f>
        <v>0.45</v>
      </c>
      <c r="G24" s="163">
        <f t="shared" ref="G24:L24" si="4">G8*G15+G9*G16+G10*G17</f>
        <v>0.45</v>
      </c>
      <c r="H24" s="163">
        <f t="shared" si="4"/>
        <v>0.49649999999999994</v>
      </c>
      <c r="I24" s="163">
        <f t="shared" ref="I24" si="5">I8*I15+I9*I16+I10*I17</f>
        <v>0.45500000000000002</v>
      </c>
      <c r="J24" s="163">
        <f t="shared" si="4"/>
        <v>0.54400000000000004</v>
      </c>
      <c r="K24" s="163">
        <f t="shared" si="4"/>
        <v>0.50149999999999995</v>
      </c>
      <c r="L24" s="173">
        <f t="shared" si="4"/>
        <v>0.52500000000000002</v>
      </c>
      <c r="M24" s="174">
        <f t="shared" ref="M24:M25" si="6">SUMPRODUCT(E$6:L$6,E24:L24)/M$6</f>
        <v>0.48126877450670869</v>
      </c>
      <c r="O24" s="74"/>
    </row>
    <row r="25" spans="1:31" ht="43.5" customHeight="1" thickBot="1">
      <c r="B25" s="128" t="s">
        <v>19</v>
      </c>
      <c r="C25" s="439"/>
      <c r="D25" s="164" t="s">
        <v>17</v>
      </c>
      <c r="E25" s="163">
        <f>E8*E19+E9*E20+E10*E21</f>
        <v>0.91500000000000004</v>
      </c>
      <c r="F25" s="163">
        <f t="shared" ref="F25:L25" si="7">F8*F19+F9*F20+F10*F21</f>
        <v>0.9</v>
      </c>
      <c r="G25" s="163">
        <f t="shared" si="7"/>
        <v>0.9</v>
      </c>
      <c r="H25" s="163">
        <f t="shared" si="7"/>
        <v>0.94300000000000006</v>
      </c>
      <c r="I25" s="163">
        <f t="shared" ref="I25" si="8">I8*I19+I9*I20+I10*I21</f>
        <v>0.90500000000000003</v>
      </c>
      <c r="J25" s="163">
        <f t="shared" si="7"/>
        <v>0.96399999999999997</v>
      </c>
      <c r="K25" s="163">
        <f t="shared" si="7"/>
        <v>0.9484999999999999</v>
      </c>
      <c r="L25" s="173">
        <f t="shared" si="7"/>
        <v>0.95</v>
      </c>
      <c r="M25" s="175">
        <f t="shared" si="6"/>
        <v>0.92482203671704166</v>
      </c>
      <c r="O25" s="74"/>
    </row>
    <row r="26" spans="1:31" ht="15.75" thickBot="1">
      <c r="C26" s="258"/>
      <c r="L26" s="156"/>
      <c r="M26" s="172"/>
      <c r="N26" s="156"/>
      <c r="O26" s="74"/>
      <c r="S26" s="156"/>
      <c r="T26" s="156"/>
      <c r="U26" s="156"/>
    </row>
    <row r="27" spans="1:31">
      <c r="B27" s="128" t="s">
        <v>18</v>
      </c>
      <c r="C27" s="439" t="s">
        <v>219</v>
      </c>
      <c r="D27" s="164" t="s">
        <v>17</v>
      </c>
      <c r="E27" s="163">
        <f>E12*E24</f>
        <v>0.35720000000000002</v>
      </c>
      <c r="F27" s="163">
        <f t="shared" ref="F27:K27" si="9">F12*F24</f>
        <v>0.27450000000000002</v>
      </c>
      <c r="G27" s="163">
        <f t="shared" si="9"/>
        <v>0.33300000000000002</v>
      </c>
      <c r="H27" s="163">
        <f t="shared" si="9"/>
        <v>0.45677999999999996</v>
      </c>
      <c r="I27" s="163">
        <f t="shared" ref="I27" si="10">I12*I24</f>
        <v>0.38674999999999998</v>
      </c>
      <c r="J27" s="163">
        <f t="shared" si="9"/>
        <v>0.45152000000000003</v>
      </c>
      <c r="K27" s="163">
        <f t="shared" si="9"/>
        <v>0.38615499999999997</v>
      </c>
      <c r="L27" s="173">
        <f>L12*L24</f>
        <v>0.45150000000000001</v>
      </c>
      <c r="M27" s="174">
        <f t="shared" ref="M27:M28" si="11">SUMPRODUCT(E$6:L$6,E27:L27)/M$6</f>
        <v>0.38418053955446152</v>
      </c>
      <c r="O27" s="74"/>
      <c r="S27" s="156"/>
      <c r="T27" s="156"/>
      <c r="U27" s="156"/>
    </row>
    <row r="28" spans="1:31" ht="45" customHeight="1" thickBot="1">
      <c r="B28" s="128" t="s">
        <v>19</v>
      </c>
      <c r="C28" s="439"/>
      <c r="D28" s="164" t="s">
        <v>17</v>
      </c>
      <c r="E28" s="163">
        <f>E13*E25</f>
        <v>0.85552500000000009</v>
      </c>
      <c r="F28" s="163">
        <f t="shared" ref="F28:L28" si="12">F13*F25</f>
        <v>0.70649999999999991</v>
      </c>
      <c r="G28" s="163">
        <f t="shared" si="12"/>
        <v>0.82350000000000001</v>
      </c>
      <c r="H28" s="163">
        <f t="shared" si="12"/>
        <v>0.94300000000000006</v>
      </c>
      <c r="I28" s="163">
        <f t="shared" ref="I28" si="13">I13*I25</f>
        <v>0.8145</v>
      </c>
      <c r="J28" s="163">
        <f t="shared" si="12"/>
        <v>0.96399999999999997</v>
      </c>
      <c r="K28" s="163">
        <f t="shared" si="12"/>
        <v>0.89633249999999998</v>
      </c>
      <c r="L28" s="163">
        <f t="shared" si="12"/>
        <v>0.95</v>
      </c>
      <c r="M28" s="175">
        <f t="shared" si="11"/>
        <v>0.87187345624743762</v>
      </c>
      <c r="O28" s="74"/>
    </row>
    <row r="29" spans="1:31">
      <c r="S29" s="156"/>
      <c r="T29" s="156"/>
      <c r="U29" s="156"/>
    </row>
    <row r="31" spans="1:31" ht="14.45" customHeight="1">
      <c r="B31" s="451" t="s">
        <v>274</v>
      </c>
      <c r="C31" s="452"/>
      <c r="D31" s="452"/>
      <c r="E31" s="452"/>
      <c r="F31" s="452"/>
      <c r="G31" s="452"/>
      <c r="H31" s="452"/>
      <c r="I31" s="452"/>
      <c r="J31" s="452"/>
      <c r="K31" s="452"/>
      <c r="L31" s="452"/>
      <c r="M31" s="453"/>
    </row>
    <row r="32" spans="1:31" ht="36.75" thickBot="1">
      <c r="A32" s="326">
        <v>2030</v>
      </c>
      <c r="P32" s="326">
        <v>2040</v>
      </c>
      <c r="AE32" s="326">
        <v>2050</v>
      </c>
    </row>
    <row r="33" spans="1:43" ht="60.6" customHeight="1" thickBot="1">
      <c r="B33" s="442" t="s">
        <v>396</v>
      </c>
      <c r="C33" s="442"/>
      <c r="D33" s="442"/>
      <c r="E33" s="380" t="s">
        <v>268</v>
      </c>
      <c r="F33" s="380" t="s">
        <v>272</v>
      </c>
      <c r="G33" s="443" t="s">
        <v>271</v>
      </c>
      <c r="H33" s="444"/>
      <c r="I33" s="444"/>
      <c r="J33" s="444"/>
      <c r="K33" s="444"/>
      <c r="L33" s="444"/>
      <c r="M33" s="445"/>
      <c r="P33" s="385">
        <v>0.5</v>
      </c>
      <c r="Q33" s="156"/>
      <c r="R33" s="156"/>
      <c r="AE33" s="386">
        <v>0.6</v>
      </c>
    </row>
    <row r="34" spans="1:43" ht="51.75" customHeight="1">
      <c r="A34" s="420" t="s">
        <v>304</v>
      </c>
      <c r="B34" s="423" t="s">
        <v>273</v>
      </c>
      <c r="C34" s="423"/>
      <c r="D34" s="423"/>
      <c r="E34" s="383">
        <v>0.5</v>
      </c>
      <c r="F34" s="383">
        <v>0.2</v>
      </c>
      <c r="G34" s="424" t="s">
        <v>305</v>
      </c>
      <c r="H34" s="425"/>
      <c r="I34" s="425"/>
      <c r="J34" s="425"/>
      <c r="K34" s="425"/>
      <c r="L34" s="425"/>
      <c r="M34" s="426"/>
      <c r="P34" s="156"/>
      <c r="Q34" s="156"/>
      <c r="R34" s="156"/>
    </row>
    <row r="35" spans="1:43" ht="45" customHeight="1">
      <c r="A35" s="421"/>
      <c r="B35" s="427" t="s">
        <v>269</v>
      </c>
      <c r="C35" s="427"/>
      <c r="D35" s="427"/>
      <c r="E35" s="163">
        <v>0.25</v>
      </c>
      <c r="F35" s="163">
        <v>0.33</v>
      </c>
      <c r="G35" s="428" t="s">
        <v>307</v>
      </c>
      <c r="H35" s="429"/>
      <c r="I35" s="429"/>
      <c r="J35" s="429"/>
      <c r="K35" s="429"/>
      <c r="L35" s="429"/>
      <c r="M35" s="430"/>
      <c r="P35" s="156"/>
      <c r="Q35" s="156"/>
      <c r="R35" s="156"/>
    </row>
    <row r="36" spans="1:43" ht="15.75" thickBot="1">
      <c r="A36" s="421"/>
      <c r="B36" s="427" t="s">
        <v>270</v>
      </c>
      <c r="C36" s="427"/>
      <c r="D36" s="427"/>
      <c r="E36" s="163">
        <v>0.25</v>
      </c>
      <c r="F36" s="286">
        <v>0.45</v>
      </c>
      <c r="G36" s="431" t="s">
        <v>308</v>
      </c>
      <c r="H36" s="431"/>
      <c r="I36" s="431"/>
      <c r="J36" s="431"/>
      <c r="K36" s="431"/>
      <c r="L36" s="431"/>
      <c r="M36" s="432"/>
      <c r="P36" s="156"/>
      <c r="Q36" s="156"/>
      <c r="R36" s="156"/>
    </row>
    <row r="37" spans="1:43" ht="15.75" thickBot="1">
      <c r="A37" s="422"/>
      <c r="B37" s="433" t="s">
        <v>17</v>
      </c>
      <c r="C37" s="433"/>
      <c r="D37" s="433"/>
      <c r="E37" s="384">
        <f>SUM(E34:E36)</f>
        <v>1</v>
      </c>
      <c r="F37" s="287" cm="1">
        <f t="array" ref="F37">MMULT(TRANSPOSE(E34:E36),F34:F36)</f>
        <v>0.29499999999999998</v>
      </c>
      <c r="G37" s="434" t="s">
        <v>309</v>
      </c>
      <c r="H37" s="435"/>
      <c r="I37" s="435"/>
      <c r="J37" s="435"/>
      <c r="K37" s="435"/>
      <c r="L37" s="435"/>
      <c r="M37" s="436"/>
      <c r="P37" s="156"/>
      <c r="Q37" s="156"/>
      <c r="R37" s="156"/>
    </row>
    <row r="38" spans="1:43" ht="56.25" customHeight="1">
      <c r="A38" s="420" t="s">
        <v>312</v>
      </c>
      <c r="B38" s="423" t="s">
        <v>273</v>
      </c>
      <c r="C38" s="423"/>
      <c r="D38" s="423"/>
      <c r="E38" s="383">
        <v>0.25</v>
      </c>
      <c r="F38" s="383">
        <v>0.2</v>
      </c>
      <c r="G38" s="424" t="s">
        <v>305</v>
      </c>
      <c r="H38" s="425"/>
      <c r="I38" s="425"/>
      <c r="J38" s="425"/>
      <c r="K38" s="425"/>
      <c r="L38" s="425"/>
      <c r="M38" s="426"/>
      <c r="P38" s="156"/>
      <c r="Q38" s="156"/>
      <c r="R38" s="156"/>
    </row>
    <row r="39" spans="1:43" ht="50.25" customHeight="1">
      <c r="A39" s="421"/>
      <c r="B39" s="427" t="s">
        <v>269</v>
      </c>
      <c r="C39" s="427"/>
      <c r="D39" s="427"/>
      <c r="E39" s="163">
        <v>0.25</v>
      </c>
      <c r="F39" s="163">
        <v>0.33</v>
      </c>
      <c r="G39" s="428" t="s">
        <v>307</v>
      </c>
      <c r="H39" s="429"/>
      <c r="I39" s="429"/>
      <c r="J39" s="429"/>
      <c r="K39" s="429"/>
      <c r="L39" s="429"/>
      <c r="M39" s="430"/>
      <c r="P39" s="156"/>
      <c r="Q39" s="156"/>
      <c r="R39" s="156"/>
    </row>
    <row r="40" spans="1:43" ht="15.75" thickBot="1">
      <c r="A40" s="421"/>
      <c r="B40" s="427" t="s">
        <v>270</v>
      </c>
      <c r="C40" s="427"/>
      <c r="D40" s="427"/>
      <c r="E40" s="163">
        <v>0.5</v>
      </c>
      <c r="F40" s="286">
        <v>0.45</v>
      </c>
      <c r="G40" s="431" t="s">
        <v>308</v>
      </c>
      <c r="H40" s="431"/>
      <c r="I40" s="431"/>
      <c r="J40" s="431"/>
      <c r="K40" s="431"/>
      <c r="L40" s="431"/>
      <c r="M40" s="432"/>
      <c r="P40" s="156"/>
      <c r="Q40" s="156"/>
      <c r="R40" s="156"/>
    </row>
    <row r="41" spans="1:43" ht="15.75" thickBot="1">
      <c r="A41" s="422"/>
      <c r="B41" s="433" t="s">
        <v>17</v>
      </c>
      <c r="C41" s="433"/>
      <c r="D41" s="433"/>
      <c r="E41" s="384">
        <f>SUM(E38:E40)</f>
        <v>1</v>
      </c>
      <c r="F41" s="287" cm="1">
        <f t="array" ref="F41">MMULT(TRANSPOSE(E38:E40),F38:F40)</f>
        <v>0.35750000000000004</v>
      </c>
      <c r="G41" s="434" t="s">
        <v>313</v>
      </c>
      <c r="H41" s="435"/>
      <c r="I41" s="435"/>
      <c r="J41" s="435"/>
      <c r="K41" s="435"/>
      <c r="L41" s="435"/>
      <c r="M41" s="436"/>
      <c r="P41" s="156"/>
      <c r="Q41" s="156"/>
      <c r="R41" s="156"/>
    </row>
    <row r="42" spans="1:43">
      <c r="D42"/>
      <c r="M42"/>
      <c r="P42" s="156"/>
      <c r="Q42" s="156"/>
      <c r="R42" s="156"/>
    </row>
    <row r="43" spans="1:43">
      <c r="O43" s="282"/>
      <c r="P43" s="156"/>
      <c r="Q43" s="156"/>
      <c r="R43" s="156"/>
    </row>
    <row r="44" spans="1:43">
      <c r="B44" s="457" t="s">
        <v>275</v>
      </c>
      <c r="C44" s="457"/>
      <c r="D44" s="457"/>
      <c r="E44" s="457"/>
      <c r="F44" s="457"/>
      <c r="G44" s="457"/>
      <c r="H44" s="457"/>
      <c r="I44" s="457"/>
      <c r="J44" s="457"/>
      <c r="K44" s="457"/>
      <c r="L44" s="457"/>
      <c r="M44" s="457"/>
      <c r="P44" s="156"/>
      <c r="Q44" s="156"/>
      <c r="R44" s="156"/>
    </row>
    <row r="45" spans="1:43">
      <c r="B45" s="458" t="s">
        <v>276</v>
      </c>
      <c r="C45" s="458"/>
      <c r="D45" s="458"/>
      <c r="E45" s="458"/>
      <c r="F45" s="458"/>
      <c r="G45" s="458"/>
      <c r="H45" s="458"/>
      <c r="I45" s="458"/>
      <c r="J45" s="458"/>
      <c r="K45" s="458"/>
      <c r="L45" s="458"/>
      <c r="M45" s="458"/>
      <c r="P45" s="156"/>
      <c r="Q45" s="156"/>
      <c r="R45" s="156"/>
    </row>
    <row r="46" spans="1:43">
      <c r="C46" s="156"/>
      <c r="D46" s="156"/>
      <c r="M46"/>
      <c r="P46" s="156"/>
      <c r="Q46" s="156"/>
      <c r="R46" s="156"/>
    </row>
    <row r="47" spans="1:43" ht="36">
      <c r="A47" s="326">
        <v>2030</v>
      </c>
      <c r="D47" s="156"/>
      <c r="M47"/>
      <c r="P47" s="326">
        <v>2040</v>
      </c>
      <c r="R47" s="156"/>
      <c r="AE47" s="326">
        <v>2050</v>
      </c>
    </row>
    <row r="48" spans="1:43" ht="105.75" thickBot="1">
      <c r="B48" s="442" t="s">
        <v>300</v>
      </c>
      <c r="C48" s="442"/>
      <c r="D48" s="442"/>
      <c r="E48" s="380" t="s">
        <v>268</v>
      </c>
      <c r="F48" s="380" t="s">
        <v>301</v>
      </c>
      <c r="G48" s="443" t="s">
        <v>271</v>
      </c>
      <c r="H48" s="444"/>
      <c r="I48" s="444"/>
      <c r="J48" s="444"/>
      <c r="K48" s="444"/>
      <c r="L48" s="444"/>
      <c r="M48" s="445"/>
      <c r="Q48" s="456" t="s">
        <v>300</v>
      </c>
      <c r="R48" s="456"/>
      <c r="S48" s="456"/>
      <c r="T48" s="285" t="s">
        <v>268</v>
      </c>
      <c r="U48" s="285" t="s">
        <v>302</v>
      </c>
      <c r="V48" s="459" t="s">
        <v>271</v>
      </c>
      <c r="W48" s="460"/>
      <c r="X48" s="460"/>
      <c r="Y48" s="460"/>
      <c r="Z48" s="460"/>
      <c r="AA48" s="460"/>
      <c r="AB48" s="461"/>
      <c r="AF48" s="456" t="s">
        <v>300</v>
      </c>
      <c r="AG48" s="456"/>
      <c r="AH48" s="456"/>
      <c r="AI48" s="285" t="s">
        <v>268</v>
      </c>
      <c r="AJ48" s="285" t="s">
        <v>303</v>
      </c>
      <c r="AK48" s="459" t="s">
        <v>271</v>
      </c>
      <c r="AL48" s="460"/>
      <c r="AM48" s="460"/>
      <c r="AN48" s="460"/>
      <c r="AO48" s="460"/>
      <c r="AP48" s="460"/>
      <c r="AQ48" s="461"/>
    </row>
    <row r="49" spans="1:43" ht="55.5" customHeight="1">
      <c r="A49" s="420" t="s">
        <v>304</v>
      </c>
      <c r="B49" s="462" t="s">
        <v>273</v>
      </c>
      <c r="C49" s="462"/>
      <c r="D49" s="462"/>
      <c r="E49" s="383">
        <v>0.5</v>
      </c>
      <c r="F49" s="383">
        <v>0.2</v>
      </c>
      <c r="G49" s="424" t="s">
        <v>305</v>
      </c>
      <c r="H49" s="425"/>
      <c r="I49" s="425"/>
      <c r="J49" s="425"/>
      <c r="K49" s="425"/>
      <c r="L49" s="425"/>
      <c r="M49" s="426"/>
      <c r="P49" s="463" t="s">
        <v>304</v>
      </c>
      <c r="Q49" s="466" t="s">
        <v>273</v>
      </c>
      <c r="R49" s="466"/>
      <c r="S49" s="466"/>
      <c r="T49" s="163">
        <v>0.25</v>
      </c>
      <c r="U49" s="163">
        <v>0.3</v>
      </c>
      <c r="V49" s="428" t="s">
        <v>306</v>
      </c>
      <c r="W49" s="429"/>
      <c r="X49" s="429"/>
      <c r="Y49" s="429"/>
      <c r="Z49" s="429"/>
      <c r="AA49" s="429"/>
      <c r="AB49" s="467"/>
      <c r="AE49" s="463" t="s">
        <v>304</v>
      </c>
      <c r="AF49" s="466" t="s">
        <v>273</v>
      </c>
      <c r="AG49" s="466"/>
      <c r="AH49" s="466"/>
      <c r="AI49" s="163">
        <v>0.25</v>
      </c>
      <c r="AJ49" s="163">
        <v>0.4</v>
      </c>
      <c r="AK49" s="428" t="s">
        <v>306</v>
      </c>
      <c r="AL49" s="429"/>
      <c r="AM49" s="429"/>
      <c r="AN49" s="429"/>
      <c r="AO49" s="429"/>
      <c r="AP49" s="429"/>
      <c r="AQ49" s="467"/>
    </row>
    <row r="50" spans="1:43" ht="49.5" customHeight="1">
      <c r="A50" s="421"/>
      <c r="B50" s="466" t="s">
        <v>269</v>
      </c>
      <c r="C50" s="466"/>
      <c r="D50" s="466"/>
      <c r="E50" s="163">
        <v>0.25</v>
      </c>
      <c r="F50" s="163">
        <v>0.3</v>
      </c>
      <c r="G50" s="428" t="s">
        <v>307</v>
      </c>
      <c r="H50" s="429"/>
      <c r="I50" s="429"/>
      <c r="J50" s="429"/>
      <c r="K50" s="429"/>
      <c r="L50" s="429"/>
      <c r="M50" s="430"/>
      <c r="P50" s="464"/>
      <c r="Q50" s="466" t="s">
        <v>269</v>
      </c>
      <c r="R50" s="466"/>
      <c r="S50" s="466"/>
      <c r="T50" s="163">
        <v>0.25</v>
      </c>
      <c r="U50" s="163">
        <v>0.4</v>
      </c>
      <c r="V50" s="428"/>
      <c r="W50" s="429"/>
      <c r="X50" s="429"/>
      <c r="Y50" s="429"/>
      <c r="Z50" s="429"/>
      <c r="AA50" s="429"/>
      <c r="AB50" s="467"/>
      <c r="AE50" s="464"/>
      <c r="AF50" s="466" t="s">
        <v>269</v>
      </c>
      <c r="AG50" s="466"/>
      <c r="AH50" s="466"/>
      <c r="AI50" s="163">
        <v>0.25</v>
      </c>
      <c r="AJ50" s="163">
        <v>0.5</v>
      </c>
      <c r="AK50" s="428"/>
      <c r="AL50" s="429"/>
      <c r="AM50" s="429"/>
      <c r="AN50" s="429"/>
      <c r="AO50" s="429"/>
      <c r="AP50" s="429"/>
      <c r="AQ50" s="467"/>
    </row>
    <row r="51" spans="1:43">
      <c r="A51" s="421"/>
      <c r="B51" s="466" t="s">
        <v>270</v>
      </c>
      <c r="C51" s="466"/>
      <c r="D51" s="466"/>
      <c r="E51" s="163">
        <v>0.25</v>
      </c>
      <c r="F51" s="286">
        <v>0.4</v>
      </c>
      <c r="G51" s="431" t="s">
        <v>308</v>
      </c>
      <c r="H51" s="431"/>
      <c r="I51" s="431"/>
      <c r="J51" s="431"/>
      <c r="K51" s="431"/>
      <c r="L51" s="431"/>
      <c r="M51" s="432"/>
      <c r="P51" s="464"/>
      <c r="Q51" s="466" t="s">
        <v>270</v>
      </c>
      <c r="R51" s="466"/>
      <c r="S51" s="466"/>
      <c r="T51" s="163">
        <v>0.5</v>
      </c>
      <c r="U51" s="286">
        <v>0.5</v>
      </c>
      <c r="V51" s="431"/>
      <c r="W51" s="431"/>
      <c r="X51" s="431"/>
      <c r="Y51" s="431"/>
      <c r="Z51" s="431"/>
      <c r="AA51" s="431"/>
      <c r="AB51" s="431"/>
      <c r="AE51" s="464"/>
      <c r="AF51" s="466" t="s">
        <v>270</v>
      </c>
      <c r="AG51" s="466"/>
      <c r="AH51" s="466"/>
      <c r="AI51" s="163">
        <v>0.5</v>
      </c>
      <c r="AJ51" s="286">
        <v>0.6</v>
      </c>
      <c r="AK51" s="431"/>
      <c r="AL51" s="431"/>
      <c r="AM51" s="431"/>
      <c r="AN51" s="431"/>
      <c r="AO51" s="431"/>
      <c r="AP51" s="431"/>
      <c r="AQ51" s="431"/>
    </row>
    <row r="52" spans="1:43" ht="15.75" thickBot="1">
      <c r="A52" s="422"/>
      <c r="B52" s="468" t="s">
        <v>17</v>
      </c>
      <c r="C52" s="468"/>
      <c r="D52" s="468"/>
      <c r="E52" s="384">
        <f>SUM(E49:E51)</f>
        <v>1</v>
      </c>
      <c r="F52" s="287" cm="1">
        <f t="array" ref="F52">MMULT(TRANSPOSE(E49:E51),F49:F51)</f>
        <v>0.27500000000000002</v>
      </c>
      <c r="G52" s="469" t="s">
        <v>309</v>
      </c>
      <c r="H52" s="470"/>
      <c r="I52" s="470"/>
      <c r="J52" s="470"/>
      <c r="K52" s="470"/>
      <c r="L52" s="470"/>
      <c r="M52" s="471"/>
      <c r="P52" s="465"/>
      <c r="Q52" s="472" t="s">
        <v>17</v>
      </c>
      <c r="R52" s="472"/>
      <c r="S52" s="472"/>
      <c r="T52" s="173">
        <f>SUM(T49:T51)</f>
        <v>1</v>
      </c>
      <c r="U52" s="287" cm="1">
        <f t="array" ref="U52">MMULT(TRANSPOSE(T49:T51),U49:U51)</f>
        <v>0.42499999999999999</v>
      </c>
      <c r="V52" s="473" t="s">
        <v>310</v>
      </c>
      <c r="W52" s="474"/>
      <c r="X52" s="474"/>
      <c r="Y52" s="474"/>
      <c r="Z52" s="474"/>
      <c r="AA52" s="474"/>
      <c r="AB52" s="475"/>
      <c r="AE52" s="465"/>
      <c r="AF52" s="472" t="s">
        <v>17</v>
      </c>
      <c r="AG52" s="472"/>
      <c r="AH52" s="472"/>
      <c r="AI52" s="173">
        <f>SUM(AI49:AI51)</f>
        <v>1</v>
      </c>
      <c r="AJ52" s="287" cm="1">
        <f t="array" ref="AJ52">MMULT(TRANSPOSE(AI49:AI51),AJ49:AJ51)</f>
        <v>0.52500000000000002</v>
      </c>
      <c r="AK52" s="473" t="s">
        <v>311</v>
      </c>
      <c r="AL52" s="474"/>
      <c r="AM52" s="474"/>
      <c r="AN52" s="474"/>
      <c r="AO52" s="474"/>
      <c r="AP52" s="474"/>
      <c r="AQ52" s="475"/>
    </row>
    <row r="53" spans="1:43" ht="49.5" customHeight="1">
      <c r="A53" s="420" t="s">
        <v>312</v>
      </c>
      <c r="B53" s="462" t="s">
        <v>273</v>
      </c>
      <c r="C53" s="462"/>
      <c r="D53" s="462"/>
      <c r="E53" s="383">
        <v>0.25</v>
      </c>
      <c r="F53" s="383">
        <v>0.2</v>
      </c>
      <c r="G53" s="424" t="s">
        <v>305</v>
      </c>
      <c r="H53" s="425"/>
      <c r="I53" s="425"/>
      <c r="J53" s="425"/>
      <c r="K53" s="425"/>
      <c r="L53" s="425"/>
      <c r="M53" s="426"/>
      <c r="P53" s="463" t="s">
        <v>312</v>
      </c>
      <c r="Q53" s="466" t="s">
        <v>273</v>
      </c>
      <c r="R53" s="466"/>
      <c r="S53" s="466"/>
      <c r="T53" s="163">
        <v>0.25</v>
      </c>
      <c r="U53" s="163">
        <v>0.3</v>
      </c>
      <c r="V53" s="428" t="s">
        <v>306</v>
      </c>
      <c r="W53" s="429"/>
      <c r="X53" s="429"/>
      <c r="Y53" s="429"/>
      <c r="Z53" s="429"/>
      <c r="AA53" s="429"/>
      <c r="AB53" s="467"/>
      <c r="AE53" s="463" t="s">
        <v>312</v>
      </c>
      <c r="AF53" s="466" t="s">
        <v>273</v>
      </c>
      <c r="AG53" s="466"/>
      <c r="AH53" s="466"/>
      <c r="AI53" s="163">
        <v>0.25</v>
      </c>
      <c r="AJ53" s="163">
        <v>0.4</v>
      </c>
      <c r="AK53" s="428" t="s">
        <v>306</v>
      </c>
      <c r="AL53" s="429"/>
      <c r="AM53" s="429"/>
      <c r="AN53" s="429"/>
      <c r="AO53" s="429"/>
      <c r="AP53" s="429"/>
      <c r="AQ53" s="467"/>
    </row>
    <row r="54" spans="1:43" ht="51.75" customHeight="1">
      <c r="A54" s="421"/>
      <c r="B54" s="466" t="s">
        <v>269</v>
      </c>
      <c r="C54" s="466"/>
      <c r="D54" s="466"/>
      <c r="E54" s="163">
        <v>0.25</v>
      </c>
      <c r="F54" s="163">
        <v>0.3</v>
      </c>
      <c r="G54" s="428" t="s">
        <v>307</v>
      </c>
      <c r="H54" s="429"/>
      <c r="I54" s="429"/>
      <c r="J54" s="429"/>
      <c r="K54" s="429"/>
      <c r="L54" s="429"/>
      <c r="M54" s="430"/>
      <c r="O54" s="156"/>
      <c r="P54" s="464"/>
      <c r="Q54" s="466" t="s">
        <v>269</v>
      </c>
      <c r="R54" s="466"/>
      <c r="S54" s="466"/>
      <c r="T54" s="163">
        <v>0.25</v>
      </c>
      <c r="U54" s="163">
        <v>0.4</v>
      </c>
      <c r="V54" s="428"/>
      <c r="W54" s="429"/>
      <c r="X54" s="429"/>
      <c r="Y54" s="429"/>
      <c r="Z54" s="429"/>
      <c r="AA54" s="429"/>
      <c r="AB54" s="467"/>
      <c r="AE54" s="464"/>
      <c r="AF54" s="466" t="s">
        <v>269</v>
      </c>
      <c r="AG54" s="466"/>
      <c r="AH54" s="466"/>
      <c r="AI54" s="163">
        <v>0.25</v>
      </c>
      <c r="AJ54" s="163">
        <v>0.5</v>
      </c>
      <c r="AK54" s="428"/>
      <c r="AL54" s="429"/>
      <c r="AM54" s="429"/>
      <c r="AN54" s="429"/>
      <c r="AO54" s="429"/>
      <c r="AP54" s="429"/>
      <c r="AQ54" s="467"/>
    </row>
    <row r="55" spans="1:43" ht="15.75" thickBot="1">
      <c r="A55" s="421"/>
      <c r="B55" s="466" t="s">
        <v>270</v>
      </c>
      <c r="C55" s="466"/>
      <c r="D55" s="466"/>
      <c r="E55" s="163">
        <v>0.5</v>
      </c>
      <c r="F55" s="286">
        <v>0.4</v>
      </c>
      <c r="G55" s="431" t="s">
        <v>308</v>
      </c>
      <c r="H55" s="431"/>
      <c r="I55" s="431"/>
      <c r="J55" s="431"/>
      <c r="K55" s="431"/>
      <c r="L55" s="431"/>
      <c r="M55" s="432"/>
      <c r="N55" s="156"/>
      <c r="O55" s="156"/>
      <c r="P55" s="464"/>
      <c r="Q55" s="466" t="s">
        <v>270</v>
      </c>
      <c r="R55" s="466"/>
      <c r="S55" s="466"/>
      <c r="T55" s="163">
        <v>0.5</v>
      </c>
      <c r="U55" s="286">
        <v>0.5</v>
      </c>
      <c r="V55" s="431"/>
      <c r="W55" s="431"/>
      <c r="X55" s="431"/>
      <c r="Y55" s="431"/>
      <c r="Z55" s="431"/>
      <c r="AA55" s="431"/>
      <c r="AB55" s="431"/>
      <c r="AE55" s="464"/>
      <c r="AF55" s="466" t="s">
        <v>270</v>
      </c>
      <c r="AG55" s="466"/>
      <c r="AH55" s="466"/>
      <c r="AI55" s="163">
        <v>0.5</v>
      </c>
      <c r="AJ55" s="286">
        <v>0.6</v>
      </c>
      <c r="AK55" s="431"/>
      <c r="AL55" s="431"/>
      <c r="AM55" s="431"/>
      <c r="AN55" s="431"/>
      <c r="AO55" s="431"/>
      <c r="AP55" s="431"/>
      <c r="AQ55" s="431"/>
    </row>
    <row r="56" spans="1:43" ht="15.75" customHeight="1" thickBot="1">
      <c r="A56" s="422"/>
      <c r="B56" s="468" t="s">
        <v>17</v>
      </c>
      <c r="C56" s="468"/>
      <c r="D56" s="468"/>
      <c r="E56" s="384">
        <f>SUM(E53:E55)</f>
        <v>1</v>
      </c>
      <c r="F56" s="287" cm="1">
        <f t="array" ref="F56">MMULT(TRANSPOSE(E53:E55),F53:F55)</f>
        <v>0.32500000000000001</v>
      </c>
      <c r="G56" s="469" t="s">
        <v>313</v>
      </c>
      <c r="H56" s="470"/>
      <c r="I56" s="470"/>
      <c r="J56" s="470"/>
      <c r="K56" s="470"/>
      <c r="L56" s="470"/>
      <c r="M56" s="471"/>
      <c r="P56" s="465"/>
      <c r="Q56" s="472" t="s">
        <v>17</v>
      </c>
      <c r="R56" s="472"/>
      <c r="S56" s="472"/>
      <c r="T56" s="173">
        <f>SUM(T53:T55)</f>
        <v>1</v>
      </c>
      <c r="U56" s="287" cm="1">
        <f t="array" ref="U56">MMULT(TRANSPOSE(T53:T55),U53:U55)</f>
        <v>0.42499999999999999</v>
      </c>
      <c r="V56" s="473" t="s">
        <v>314</v>
      </c>
      <c r="W56" s="474"/>
      <c r="X56" s="474"/>
      <c r="Y56" s="474"/>
      <c r="Z56" s="474"/>
      <c r="AA56" s="474"/>
      <c r="AB56" s="475"/>
      <c r="AE56" s="465"/>
      <c r="AF56" s="472" t="s">
        <v>17</v>
      </c>
      <c r="AG56" s="472"/>
      <c r="AH56" s="472"/>
      <c r="AI56" s="173">
        <f>SUM(AI53:AI55)</f>
        <v>1</v>
      </c>
      <c r="AJ56" s="287" cm="1">
        <f t="array" ref="AJ56">MMULT(TRANSPOSE(AI53:AI55),AJ53:AJ55)</f>
        <v>0.52500000000000002</v>
      </c>
      <c r="AK56" s="473" t="s">
        <v>315</v>
      </c>
      <c r="AL56" s="474"/>
      <c r="AM56" s="474"/>
      <c r="AN56" s="474"/>
      <c r="AO56" s="474"/>
      <c r="AP56" s="474"/>
      <c r="AQ56" s="475"/>
    </row>
    <row r="57" spans="1:43">
      <c r="M57" s="321"/>
    </row>
    <row r="58" spans="1:43" ht="34.5" customHeight="1">
      <c r="B58" s="476" t="s">
        <v>275</v>
      </c>
      <c r="C58" s="476"/>
      <c r="D58" s="476"/>
      <c r="E58" s="476"/>
      <c r="F58" s="476"/>
      <c r="G58" s="476"/>
      <c r="H58" s="476"/>
      <c r="I58" s="476"/>
      <c r="J58" s="476"/>
      <c r="K58" s="476"/>
      <c r="L58" s="476"/>
      <c r="M58" s="476"/>
      <c r="P58" s="476" t="s">
        <v>316</v>
      </c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6"/>
    </row>
  </sheetData>
  <mergeCells count="101">
    <mergeCell ref="B58:M58"/>
    <mergeCell ref="P58:AA58"/>
    <mergeCell ref="AE53:AE56"/>
    <mergeCell ref="AF53:AH53"/>
    <mergeCell ref="AK53:AQ53"/>
    <mergeCell ref="B54:D54"/>
    <mergeCell ref="G54:M54"/>
    <mergeCell ref="Q54:S54"/>
    <mergeCell ref="V54:AB54"/>
    <mergeCell ref="AF54:AH54"/>
    <mergeCell ref="AK54:AQ54"/>
    <mergeCell ref="B55:D55"/>
    <mergeCell ref="G55:M55"/>
    <mergeCell ref="Q55:S55"/>
    <mergeCell ref="V55:AB55"/>
    <mergeCell ref="AF55:AH55"/>
    <mergeCell ref="AK55:AQ55"/>
    <mergeCell ref="V56:AB56"/>
    <mergeCell ref="AF56:AH56"/>
    <mergeCell ref="AK56:AQ56"/>
    <mergeCell ref="A53:A56"/>
    <mergeCell ref="B53:D53"/>
    <mergeCell ref="G53:M53"/>
    <mergeCell ref="P53:P56"/>
    <mergeCell ref="Q53:S53"/>
    <mergeCell ref="B56:D56"/>
    <mergeCell ref="G56:M56"/>
    <mergeCell ref="Q56:S56"/>
    <mergeCell ref="V53:AB53"/>
    <mergeCell ref="B52:D52"/>
    <mergeCell ref="G52:M52"/>
    <mergeCell ref="Q52:S52"/>
    <mergeCell ref="V52:AB52"/>
    <mergeCell ref="AF52:AH52"/>
    <mergeCell ref="AK52:AQ52"/>
    <mergeCell ref="B51:D51"/>
    <mergeCell ref="G51:M51"/>
    <mergeCell ref="Q51:S51"/>
    <mergeCell ref="V51:AB51"/>
    <mergeCell ref="AF51:AH51"/>
    <mergeCell ref="B44:M44"/>
    <mergeCell ref="B45:M45"/>
    <mergeCell ref="B48:D48"/>
    <mergeCell ref="G48:M48"/>
    <mergeCell ref="Q48:S48"/>
    <mergeCell ref="V48:AB48"/>
    <mergeCell ref="AF48:AH48"/>
    <mergeCell ref="AK48:AQ48"/>
    <mergeCell ref="A49:A52"/>
    <mergeCell ref="B49:D49"/>
    <mergeCell ref="G49:M49"/>
    <mergeCell ref="P49:P52"/>
    <mergeCell ref="Q49:S49"/>
    <mergeCell ref="V49:AB49"/>
    <mergeCell ref="AE49:AE52"/>
    <mergeCell ref="AF49:AH49"/>
    <mergeCell ref="AK49:AQ49"/>
    <mergeCell ref="B50:D50"/>
    <mergeCell ref="G50:M50"/>
    <mergeCell ref="Q50:S50"/>
    <mergeCell ref="V50:AB50"/>
    <mergeCell ref="AF50:AH50"/>
    <mergeCell ref="AK50:AQ50"/>
    <mergeCell ref="AK51:AQ51"/>
    <mergeCell ref="C6:D6"/>
    <mergeCell ref="C8:D8"/>
    <mergeCell ref="C9:D9"/>
    <mergeCell ref="C10:D10"/>
    <mergeCell ref="C12:D12"/>
    <mergeCell ref="O8:O10"/>
    <mergeCell ref="O15:O17"/>
    <mergeCell ref="B2:M2"/>
    <mergeCell ref="B31:M31"/>
    <mergeCell ref="B15:B17"/>
    <mergeCell ref="C15:C17"/>
    <mergeCell ref="C19:C21"/>
    <mergeCell ref="B19:B21"/>
    <mergeCell ref="A34:A37"/>
    <mergeCell ref="B35:D35"/>
    <mergeCell ref="G35:M35"/>
    <mergeCell ref="B36:D36"/>
    <mergeCell ref="G36:M36"/>
    <mergeCell ref="B37:D37"/>
    <mergeCell ref="G37:M37"/>
    <mergeCell ref="Q10:T11"/>
    <mergeCell ref="C27:C28"/>
    <mergeCell ref="C24:C25"/>
    <mergeCell ref="C13:D13"/>
    <mergeCell ref="B33:D33"/>
    <mergeCell ref="B34:D34"/>
    <mergeCell ref="G33:M33"/>
    <mergeCell ref="G34:M34"/>
    <mergeCell ref="A38:A41"/>
    <mergeCell ref="B38:D38"/>
    <mergeCell ref="G38:M38"/>
    <mergeCell ref="B39:D39"/>
    <mergeCell ref="G39:M39"/>
    <mergeCell ref="B40:D40"/>
    <mergeCell ref="G40:M40"/>
    <mergeCell ref="B41:D41"/>
    <mergeCell ref="G41:M4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B84B"/>
  </sheetPr>
  <dimension ref="A1:AL175"/>
  <sheetViews>
    <sheetView topLeftCell="X54" zoomScale="115" zoomScaleNormal="115" workbookViewId="0">
      <selection activeCell="AD55" sqref="AD55:AH65"/>
    </sheetView>
  </sheetViews>
  <sheetFormatPr baseColWidth="10" defaultRowHeight="15"/>
  <cols>
    <col min="1" max="1" width="19.140625" customWidth="1"/>
    <col min="2" max="2" width="12.42578125" bestFit="1" customWidth="1"/>
    <col min="24" max="24" width="14.140625" customWidth="1"/>
  </cols>
  <sheetData>
    <row r="1" spans="1:29">
      <c r="A1" s="477" t="s">
        <v>108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181"/>
      <c r="P1" s="477" t="s">
        <v>109</v>
      </c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</row>
    <row r="2" spans="1:29">
      <c r="A2" s="477"/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181"/>
      <c r="P2" s="477"/>
      <c r="Q2" s="477"/>
      <c r="R2" s="477"/>
      <c r="S2" s="477"/>
      <c r="T2" s="477"/>
      <c r="U2" s="477"/>
      <c r="V2" s="477"/>
      <c r="W2" s="477"/>
      <c r="X2" s="477"/>
      <c r="Y2" s="477"/>
      <c r="Z2" s="477"/>
      <c r="AA2" s="477"/>
      <c r="AB2" s="477"/>
      <c r="AC2" s="477"/>
    </row>
    <row r="3" spans="1:29" ht="14.45" customHeight="1">
      <c r="A3" s="483" t="s">
        <v>198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181"/>
      <c r="P3" s="483" t="s">
        <v>198</v>
      </c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</row>
    <row r="4" spans="1:29" ht="14.45" customHeight="1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181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</row>
    <row r="5" spans="1:29">
      <c r="O5" s="181"/>
    </row>
    <row r="6" spans="1:29">
      <c r="O6" s="181"/>
    </row>
    <row r="7" spans="1:29">
      <c r="A7" s="58"/>
      <c r="B7" s="478" t="s">
        <v>59</v>
      </c>
      <c r="C7" s="479"/>
      <c r="D7" s="479"/>
      <c r="E7" s="479"/>
      <c r="F7" s="480"/>
      <c r="O7" s="181"/>
      <c r="X7" s="58"/>
      <c r="Y7" s="478" t="s">
        <v>213</v>
      </c>
      <c r="Z7" s="479"/>
      <c r="AA7" s="479"/>
      <c r="AB7" s="479"/>
      <c r="AC7" s="480"/>
    </row>
    <row r="8" spans="1:29">
      <c r="A8" s="8" t="s">
        <v>27</v>
      </c>
      <c r="B8" s="9"/>
      <c r="C8" s="9">
        <v>2020</v>
      </c>
      <c r="D8" s="9">
        <v>2030</v>
      </c>
      <c r="E8" s="9">
        <v>2040</v>
      </c>
      <c r="F8" s="9">
        <v>2050</v>
      </c>
      <c r="O8" s="181"/>
      <c r="X8" s="8" t="s">
        <v>27</v>
      </c>
      <c r="Y8" s="9"/>
      <c r="Z8" s="9">
        <v>2020</v>
      </c>
      <c r="AA8" s="9">
        <v>2030</v>
      </c>
      <c r="AB8" s="9">
        <v>2040</v>
      </c>
      <c r="AC8" s="9">
        <v>2050</v>
      </c>
    </row>
    <row r="9" spans="1:29">
      <c r="A9" t="s">
        <v>0</v>
      </c>
      <c r="B9" s="83" t="s">
        <v>103</v>
      </c>
      <c r="C9" s="178">
        <f>'Bureaux - AME'!H8</f>
        <v>0</v>
      </c>
      <c r="D9" s="178">
        <f>'Bureaux - AME'!I8</f>
        <v>6206.4099090819327</v>
      </c>
      <c r="E9" s="178">
        <f>'Bureaux - AME'!J8</f>
        <v>6411.8444638873989</v>
      </c>
      <c r="F9" s="178">
        <f>'Bureaux - AME'!K8</f>
        <v>5961.6497428461562</v>
      </c>
      <c r="O9" s="181"/>
      <c r="X9" t="s">
        <v>0</v>
      </c>
      <c r="Y9" s="83" t="s">
        <v>103</v>
      </c>
      <c r="Z9" s="178">
        <f>'Bureaux - AMS'!H8</f>
        <v>0</v>
      </c>
      <c r="AA9" s="178">
        <f>'Bureaux - AMS'!I8</f>
        <v>6206.4099090819327</v>
      </c>
      <c r="AB9" s="178">
        <f>'Bureaux - AMS'!J8</f>
        <v>5920.8738890125724</v>
      </c>
      <c r="AC9" s="178">
        <f>'Bureaux - AMS'!K8</f>
        <v>5623.8458501736704</v>
      </c>
    </row>
    <row r="10" spans="1:29">
      <c r="B10" s="83" t="s">
        <v>102</v>
      </c>
      <c r="C10" s="178">
        <f>'Bureaux - AME'!H9</f>
        <v>287333.79208712652</v>
      </c>
      <c r="D10" s="178">
        <f>'Bureaux - AME'!I9</f>
        <v>269335.75939351093</v>
      </c>
      <c r="E10" s="178">
        <f>'Bureaux - AME'!J9</f>
        <v>269590.45844565687</v>
      </c>
      <c r="F10" s="178">
        <f>'Bureaux - AME'!K9</f>
        <v>263785.0239682839</v>
      </c>
      <c r="O10" s="181"/>
      <c r="Y10" s="83" t="s">
        <v>102</v>
      </c>
      <c r="Z10" s="178">
        <f>'Bureaux - AMS'!H9</f>
        <v>287333.79208712652</v>
      </c>
      <c r="AA10" s="178">
        <f>'Bureaux - AMS'!I9</f>
        <v>267908.12198964827</v>
      </c>
      <c r="AB10" s="178">
        <f>'Bureaux - AMS'!J9</f>
        <v>254442.35991532399</v>
      </c>
      <c r="AC10" s="178">
        <f>'Bureaux - AMS'!K9</f>
        <v>233249.46371632058</v>
      </c>
    </row>
    <row r="11" spans="1:29">
      <c r="A11" t="s">
        <v>48</v>
      </c>
      <c r="B11" s="83" t="s">
        <v>103</v>
      </c>
      <c r="C11" s="178">
        <f>'CaHoREs - AME'!H8</f>
        <v>0</v>
      </c>
      <c r="D11" s="178">
        <f>'CaHoREs - AME'!I8</f>
        <v>4554.2951187047984</v>
      </c>
      <c r="E11" s="178">
        <f>'CaHoREs - AME'!J8</f>
        <v>3048.0726788650627</v>
      </c>
      <c r="F11" s="178">
        <f>'CaHoREs - AME'!K8</f>
        <v>2041.8509200297726</v>
      </c>
      <c r="O11" s="181"/>
      <c r="X11" t="s">
        <v>48</v>
      </c>
      <c r="Y11" s="83" t="s">
        <v>103</v>
      </c>
      <c r="Z11" s="178">
        <f>'CaHoREs - AMS'!H8</f>
        <v>0</v>
      </c>
      <c r="AA11" s="178">
        <f>'CaHoREs - AMS'!I8</f>
        <v>4192.3289288814958</v>
      </c>
      <c r="AB11" s="178">
        <f>'CaHoREs - AMS'!J8</f>
        <v>2902.374208220388</v>
      </c>
      <c r="AC11" s="178">
        <f>'CaHoREs - AMS'!K8</f>
        <v>2027.5304070447819</v>
      </c>
    </row>
    <row r="12" spans="1:29">
      <c r="B12" s="83" t="s">
        <v>102</v>
      </c>
      <c r="C12" s="178">
        <f>'CaHoREs - AME'!H9</f>
        <v>67243.869415029592</v>
      </c>
      <c r="D12" s="178">
        <f>'CaHoREs - AME'!I9</f>
        <v>65307.245975876736</v>
      </c>
      <c r="E12" s="178">
        <f>'CaHoREs - AME'!J9</f>
        <v>67849.528711057588</v>
      </c>
      <c r="F12" s="178">
        <f>'CaHoREs - AME'!K9</f>
        <v>68171.331097608199</v>
      </c>
      <c r="O12" s="181"/>
      <c r="Y12" s="83" t="s">
        <v>102</v>
      </c>
      <c r="Z12" s="178">
        <f>'CaHoREs - AMS'!H9</f>
        <v>67243.869415029592</v>
      </c>
      <c r="AA12" s="178">
        <f>'CaHoREs - AMS'!I9</f>
        <v>65307.245975876736</v>
      </c>
      <c r="AB12" s="178">
        <f>'CaHoREs - AMS'!J9</f>
        <v>67497.987147501204</v>
      </c>
      <c r="AC12" s="178">
        <f>'CaHoREs - AMS'!K9</f>
        <v>66866.719096003129</v>
      </c>
    </row>
    <row r="13" spans="1:29">
      <c r="A13" t="s">
        <v>3</v>
      </c>
      <c r="B13" s="83" t="s">
        <v>103</v>
      </c>
      <c r="C13" s="178">
        <f>'Commerce - AME'!H8</f>
        <v>0</v>
      </c>
      <c r="D13" s="178">
        <f>'Commerce - AME'!I8</f>
        <v>13164.331097787628</v>
      </c>
      <c r="E13" s="178">
        <f>'Commerce - AME'!J8</f>
        <v>8969.5375212372728</v>
      </c>
      <c r="F13" s="178">
        <f>'Commerce - AME'!K8</f>
        <v>8772.0507016362499</v>
      </c>
      <c r="O13" s="181"/>
      <c r="X13" t="s">
        <v>3</v>
      </c>
      <c r="Y13" s="83" t="s">
        <v>103</v>
      </c>
      <c r="Z13" s="178">
        <f>'Commerce - AMS'!H8</f>
        <v>0</v>
      </c>
      <c r="AA13" s="178">
        <f>'Commerce - AMS'!I8</f>
        <v>12185.884803305064</v>
      </c>
      <c r="AB13" s="178">
        <f>'Commerce - AMS'!J8</f>
        <v>8717.0415355715377</v>
      </c>
      <c r="AC13" s="178">
        <f>'Commerce - AMS'!K8</f>
        <v>8710.5279603109702</v>
      </c>
    </row>
    <row r="14" spans="1:29">
      <c r="B14" s="83" t="s">
        <v>102</v>
      </c>
      <c r="C14" s="178">
        <f>'Commerce - AME'!H9</f>
        <v>184229.64520786435</v>
      </c>
      <c r="D14" s="178">
        <f>'Commerce - AME'!I9</f>
        <v>175681.38967021945</v>
      </c>
      <c r="E14" s="178">
        <f>'Commerce - AME'!J9</f>
        <v>180083.27932437154</v>
      </c>
      <c r="F14" s="178">
        <f>'Commerce - AME'!K9</f>
        <v>175887.23385249983</v>
      </c>
      <c r="O14" s="181"/>
      <c r="Y14" s="83" t="s">
        <v>102</v>
      </c>
      <c r="Z14" s="178">
        <f>'Commerce - AMS'!H9</f>
        <v>184229.64520786435</v>
      </c>
      <c r="AA14" s="178">
        <f>'Commerce - AMS'!I9</f>
        <v>175681.38967021945</v>
      </c>
      <c r="AB14" s="178">
        <f>'Commerce - AMS'!J9</f>
        <v>179009.85416078556</v>
      </c>
      <c r="AC14" s="178">
        <f>'Commerce - AMS'!K9</f>
        <v>172479.99008131743</v>
      </c>
    </row>
    <row r="15" spans="1:29">
      <c r="A15" t="s">
        <v>43</v>
      </c>
      <c r="B15" s="83" t="s">
        <v>103</v>
      </c>
      <c r="C15" s="178">
        <f>'Enseignement - AME'!H8</f>
        <v>0</v>
      </c>
      <c r="D15" s="178">
        <f>'Enseignement - AME'!I8</f>
        <v>5840.7077315636325</v>
      </c>
      <c r="E15" s="178">
        <f>'Enseignement - AME'!J8</f>
        <v>3412.3997149425531</v>
      </c>
      <c r="F15" s="178">
        <f>'Enseignement - AME'!K8</f>
        <v>3380.7737398508161</v>
      </c>
      <c r="O15" s="181"/>
      <c r="X15" t="s">
        <v>43</v>
      </c>
      <c r="Y15" s="83" t="s">
        <v>103</v>
      </c>
      <c r="Z15" s="178">
        <f>'Enseignement - AMS'!H8</f>
        <v>0</v>
      </c>
      <c r="AA15" s="178">
        <f>'Enseignement - AMS'!I8</f>
        <v>4962.05556380077</v>
      </c>
      <c r="AB15" s="178">
        <f>'Enseignement - AMS'!J8</f>
        <v>3394.7194103913025</v>
      </c>
      <c r="AC15" s="178">
        <f>'Enseignement - AMS'!K8</f>
        <v>3357.062697205185</v>
      </c>
    </row>
    <row r="16" spans="1:29">
      <c r="B16" s="83" t="s">
        <v>102</v>
      </c>
      <c r="C16" s="178">
        <f>'Enseignement - AME'!H9</f>
        <v>167106.71056882737</v>
      </c>
      <c r="D16" s="178">
        <f>'Enseignement - AME'!I9</f>
        <v>163744.17685661104</v>
      </c>
      <c r="E16" s="178">
        <f>'Enseignement - AME'!J9</f>
        <v>164600.77939206138</v>
      </c>
      <c r="F16" s="178">
        <f>'Enseignement - AME'!K9</f>
        <v>158963.23681763752</v>
      </c>
      <c r="O16" s="181"/>
      <c r="Y16" s="83" t="s">
        <v>102</v>
      </c>
      <c r="Z16" s="178">
        <f>'Enseignement - AMS'!H9</f>
        <v>167106.71056882737</v>
      </c>
      <c r="AA16" s="178">
        <f>'Enseignement - AMS'!I9</f>
        <v>163744.17685661104</v>
      </c>
      <c r="AB16" s="178">
        <f>'Enseignement - AMS'!J9</f>
        <v>163440.099959646</v>
      </c>
      <c r="AC16" s="178">
        <f>'Enseignement - AMS'!K9</f>
        <v>155937.36674288791</v>
      </c>
    </row>
    <row r="17" spans="1:29">
      <c r="A17" t="s">
        <v>45</v>
      </c>
      <c r="B17" s="83" t="s">
        <v>103</v>
      </c>
      <c r="C17" s="178">
        <f>'Santé social - AME'!H8</f>
        <v>0</v>
      </c>
      <c r="D17" s="178">
        <f>'Santé social - AME'!I8</f>
        <v>22460.450940435054</v>
      </c>
      <c r="E17" s="178">
        <f>'Santé social - AME'!J8</f>
        <v>19028.37793854532</v>
      </c>
      <c r="F17" s="178">
        <f>'Santé social - AME'!K8</f>
        <v>14323.902651057895</v>
      </c>
      <c r="O17" s="181"/>
      <c r="X17" t="s">
        <v>45</v>
      </c>
      <c r="Y17" s="83" t="s">
        <v>103</v>
      </c>
      <c r="Z17" s="178">
        <f>'Santé social - AMS'!H8</f>
        <v>0</v>
      </c>
      <c r="AA17" s="178">
        <f>'Santé social - AMS'!I8</f>
        <v>21439.617925882485</v>
      </c>
      <c r="AB17" s="178">
        <f>'Santé social - AMS'!J8</f>
        <v>18543.245511428384</v>
      </c>
      <c r="AC17" s="178">
        <f>'Santé social - AMS'!K8</f>
        <v>11635.794006183507</v>
      </c>
    </row>
    <row r="18" spans="1:29">
      <c r="B18" s="83" t="s">
        <v>102</v>
      </c>
      <c r="C18" s="178">
        <f>'Santé social - AME'!H9</f>
        <v>179200</v>
      </c>
      <c r="D18" s="178">
        <f>'Santé social - AME'!I9</f>
        <v>174566.14878613554</v>
      </c>
      <c r="E18" s="178">
        <f>'Santé social - AME'!J9</f>
        <v>191931.77858646706</v>
      </c>
      <c r="F18" s="178">
        <f>'Santé social - AME'!K9</f>
        <v>205505.0338833245</v>
      </c>
      <c r="O18" s="181"/>
      <c r="Y18" s="83" t="s">
        <v>102</v>
      </c>
      <c r="Z18" s="178">
        <f>'Santé social - AMS'!H9</f>
        <v>179200</v>
      </c>
      <c r="AA18" s="178">
        <f>'Santé social - AMS'!I9</f>
        <v>174566.14878613554</v>
      </c>
      <c r="AB18" s="178">
        <f>'Santé social - AMS'!J9</f>
        <v>190937.34282807316</v>
      </c>
      <c r="AC18" s="178">
        <f>'Santé social - AMS'!K9</f>
        <v>204063.72517790535</v>
      </c>
    </row>
    <row r="19" spans="1:29">
      <c r="A19" t="s">
        <v>44</v>
      </c>
      <c r="B19" s="83" t="s">
        <v>103</v>
      </c>
      <c r="C19" s="178">
        <f>'Sport Loisir Culture - AME'!H8</f>
        <v>0</v>
      </c>
      <c r="D19" s="178">
        <f>'Sport Loisir Culture - AME'!I8</f>
        <v>3336.8292087326572</v>
      </c>
      <c r="E19" s="178">
        <f>'Sport Loisir Culture - AME'!J8</f>
        <v>2051.9847254707638</v>
      </c>
      <c r="F19" s="178">
        <f>'Sport Loisir Culture - AME'!K8</f>
        <v>1198.8500763051807</v>
      </c>
      <c r="O19" s="181"/>
      <c r="X19" t="s">
        <v>44</v>
      </c>
      <c r="Y19" s="83" t="s">
        <v>103</v>
      </c>
      <c r="Z19" s="178">
        <f>'Sport Loisir Culture - AMS'!H8</f>
        <v>0</v>
      </c>
      <c r="AA19" s="178">
        <f>'Sport Loisir Culture - AMS'!I8</f>
        <v>3032.6506608058498</v>
      </c>
      <c r="AB19" s="178">
        <f>'Sport Loisir Culture - AMS'!J8</f>
        <v>1932.1865496032522</v>
      </c>
      <c r="AC19" s="178">
        <f>'Sport Loisir Culture - AMS'!K8</f>
        <v>1190.4419462520159</v>
      </c>
    </row>
    <row r="20" spans="1:29">
      <c r="B20" s="83" t="s">
        <v>102</v>
      </c>
      <c r="C20" s="178">
        <f>'Sport Loisir Culture - AME'!H9</f>
        <v>56508.434021496723</v>
      </c>
      <c r="D20" s="178">
        <f>'Sport Loisir Culture - AME'!I9</f>
        <v>55371.36709117992</v>
      </c>
      <c r="E20" s="178">
        <f>'Sport Loisir Culture - AME'!J9</f>
        <v>57526.865588716733</v>
      </c>
      <c r="F20" s="178">
        <f>'Sport Loisir Culture - AME'!K9</f>
        <v>57804.847926181203</v>
      </c>
      <c r="O20" s="181"/>
      <c r="Y20" s="83" t="s">
        <v>102</v>
      </c>
      <c r="Z20" s="178">
        <f>'Sport Loisir Culture - AMS'!H9</f>
        <v>56508.434021496723</v>
      </c>
      <c r="AA20" s="178">
        <f>'Sport Loisir Culture - AMS'!I9</f>
        <v>55371.36709117992</v>
      </c>
      <c r="AB20" s="178">
        <f>'Sport Loisir Culture - AMS'!J9</f>
        <v>57228.807744252132</v>
      </c>
      <c r="AC20" s="178">
        <f>'Sport Loisir Culture - AMS'!K9</f>
        <v>56704.890169085382</v>
      </c>
    </row>
    <row r="21" spans="1:29">
      <c r="A21" t="s">
        <v>4</v>
      </c>
      <c r="B21" s="83" t="s">
        <v>103</v>
      </c>
      <c r="C21" s="178">
        <f>'Transport - AME'!H8</f>
        <v>0</v>
      </c>
      <c r="D21" s="178">
        <f>'Transport - AME'!I8</f>
        <v>2714.940071976017</v>
      </c>
      <c r="E21" s="178">
        <f>'Transport - AME'!J8</f>
        <v>1773.7602281094607</v>
      </c>
      <c r="F21" s="178">
        <f>'Transport - AME'!K8</f>
        <v>1146.2522064996804</v>
      </c>
      <c r="O21" s="181"/>
      <c r="X21" t="s">
        <v>4</v>
      </c>
      <c r="Y21" s="83" t="s">
        <v>103</v>
      </c>
      <c r="Z21" s="178">
        <f>'Transport - AMS'!H8</f>
        <v>0</v>
      </c>
      <c r="AA21" s="178">
        <f>'Transport - AMS'!I8</f>
        <v>2489.8567580842946</v>
      </c>
      <c r="AB21" s="178">
        <f>'Transport - AMS'!J8</f>
        <v>1683.7900254259353</v>
      </c>
      <c r="AC21" s="178">
        <f>'Transport - AMS'!K8</f>
        <v>1138.2129713889146</v>
      </c>
    </row>
    <row r="22" spans="1:29">
      <c r="B22" s="83" t="s">
        <v>102</v>
      </c>
      <c r="C22" s="178">
        <f>'Transport - AME'!H9</f>
        <v>41814.604215450461</v>
      </c>
      <c r="D22" s="178">
        <f>'Transport - AME'!I9</f>
        <v>40727.42450584875</v>
      </c>
      <c r="E22" s="178">
        <f>'Transport - AME'!J9</f>
        <v>42312.863098801325</v>
      </c>
      <c r="F22" s="178">
        <f>'Transport - AME'!K9</f>
        <v>42514.775071010132</v>
      </c>
      <c r="O22" s="181"/>
      <c r="Y22" s="83" t="s">
        <v>102</v>
      </c>
      <c r="Z22" s="178">
        <f>'Transport - AMS'!H9</f>
        <v>41814.604215450461</v>
      </c>
      <c r="AA22" s="178">
        <f>'Transport - AMS'!I9</f>
        <v>40727.42450584875</v>
      </c>
      <c r="AB22" s="178">
        <f>'Transport - AMS'!J9</f>
        <v>42093.631951070784</v>
      </c>
      <c r="AC22" s="178">
        <f>'Transport - AMS'!K9</f>
        <v>41702.655657247182</v>
      </c>
    </row>
    <row r="23" spans="1:29">
      <c r="A23" t="s">
        <v>17</v>
      </c>
      <c r="B23" s="83" t="s">
        <v>103</v>
      </c>
      <c r="C23" s="178">
        <f>C9+C11+C13+C15+C17+C19+C21</f>
        <v>0</v>
      </c>
      <c r="D23" s="178">
        <f t="shared" ref="D23:F23" si="0">D9+D11+D13+D15+D17+D19+D21</f>
        <v>58277.964078281715</v>
      </c>
      <c r="E23" s="178">
        <f t="shared" si="0"/>
        <v>44695.977271057833</v>
      </c>
      <c r="F23" s="178">
        <f t="shared" si="0"/>
        <v>36825.330038225744</v>
      </c>
      <c r="O23" s="181"/>
      <c r="X23" t="s">
        <v>17</v>
      </c>
      <c r="Y23" s="83" t="s">
        <v>103</v>
      </c>
      <c r="Z23" s="178">
        <f t="shared" ref="Z23:AC24" si="1">Z9+Z11+Z13+Z15+Z17+Z19+Z21</f>
        <v>0</v>
      </c>
      <c r="AA23" s="178">
        <f t="shared" si="1"/>
        <v>54508.804549841887</v>
      </c>
      <c r="AB23" s="178">
        <f t="shared" si="1"/>
        <v>43094.231129653381</v>
      </c>
      <c r="AC23" s="178">
        <f t="shared" si="1"/>
        <v>33683.415838559042</v>
      </c>
    </row>
    <row r="24" spans="1:29">
      <c r="B24" s="83" t="s">
        <v>102</v>
      </c>
      <c r="C24" s="178">
        <f>C10+C12+C14+C16+C18+C20+C22</f>
        <v>983437.0555157949</v>
      </c>
      <c r="D24" s="178">
        <f t="shared" ref="D24:F24" si="2">D10+D12+D14+D16+D18+D20+D22</f>
        <v>944733.51227938244</v>
      </c>
      <c r="E24" s="178">
        <f t="shared" si="2"/>
        <v>973895.55314713239</v>
      </c>
      <c r="F24" s="178">
        <f t="shared" si="2"/>
        <v>972631.48261654528</v>
      </c>
      <c r="O24" s="181"/>
      <c r="Y24" s="83" t="s">
        <v>102</v>
      </c>
      <c r="Z24" s="178">
        <f t="shared" si="1"/>
        <v>983437.0555157949</v>
      </c>
      <c r="AA24" s="178">
        <f t="shared" si="1"/>
        <v>943305.87487551966</v>
      </c>
      <c r="AB24" s="178">
        <f t="shared" si="1"/>
        <v>954650.08370665286</v>
      </c>
      <c r="AC24" s="178">
        <f t="shared" si="1"/>
        <v>931004.81064076687</v>
      </c>
    </row>
    <row r="25" spans="1:29">
      <c r="B25" s="178"/>
      <c r="C25" s="178"/>
      <c r="D25" s="178"/>
      <c r="E25" s="178"/>
      <c r="F25" s="178"/>
      <c r="O25" s="181"/>
      <c r="Y25" s="178"/>
      <c r="Z25" s="178"/>
      <c r="AA25" s="178">
        <f>AA24*0.4/7</f>
        <v>53903.192850029693</v>
      </c>
      <c r="AB25" s="178"/>
      <c r="AC25" s="178">
        <f>AC24*0.3/10</f>
        <v>27930.144319223007</v>
      </c>
    </row>
    <row r="26" spans="1:29">
      <c r="B26" s="178"/>
      <c r="C26" s="178"/>
      <c r="D26" s="178"/>
      <c r="E26" s="178"/>
      <c r="F26" s="178"/>
      <c r="O26" s="181"/>
      <c r="Y26" s="178"/>
      <c r="Z26" s="178"/>
      <c r="AA26" s="178"/>
      <c r="AB26" s="178"/>
      <c r="AC26" s="178"/>
    </row>
    <row r="27" spans="1:29">
      <c r="A27" s="481" t="s">
        <v>105</v>
      </c>
      <c r="B27" s="482"/>
      <c r="C27" s="482"/>
      <c r="D27" s="482"/>
      <c r="E27" s="482"/>
      <c r="F27" s="178"/>
      <c r="O27" s="181"/>
      <c r="X27" s="481" t="s">
        <v>214</v>
      </c>
      <c r="Y27" s="482"/>
      <c r="Z27" s="482"/>
      <c r="AA27" s="482"/>
      <c r="AB27" s="482"/>
      <c r="AC27" s="178"/>
    </row>
    <row r="28" spans="1:29">
      <c r="A28" s="8" t="s">
        <v>203</v>
      </c>
      <c r="B28" s="9">
        <v>2020</v>
      </c>
      <c r="C28" s="9">
        <v>2030</v>
      </c>
      <c r="D28" s="9">
        <v>2040</v>
      </c>
      <c r="E28" s="9">
        <v>2050</v>
      </c>
      <c r="F28" s="178"/>
      <c r="O28" s="181"/>
      <c r="X28" s="8" t="s">
        <v>203</v>
      </c>
      <c r="Y28" s="9">
        <v>2020</v>
      </c>
      <c r="Z28" s="9">
        <v>2030</v>
      </c>
      <c r="AA28" s="9">
        <v>2040</v>
      </c>
      <c r="AB28" s="9">
        <v>2050</v>
      </c>
      <c r="AC28" s="178"/>
    </row>
    <row r="29" spans="1:29">
      <c r="A29" s="124" t="s">
        <v>197</v>
      </c>
      <c r="B29" s="86">
        <f>B64</f>
        <v>100997.66743394214</v>
      </c>
      <c r="C29" s="86">
        <f t="shared" ref="C29:E29" si="3">C64</f>
        <v>82779.17705973344</v>
      </c>
      <c r="D29" s="86">
        <f t="shared" si="3"/>
        <v>75656.355117339903</v>
      </c>
      <c r="E29" s="86">
        <f t="shared" si="3"/>
        <v>66876.447749426385</v>
      </c>
      <c r="F29" s="178"/>
      <c r="O29" s="181"/>
      <c r="X29" s="124" t="s">
        <v>197</v>
      </c>
      <c r="Y29" s="86">
        <f>Y64</f>
        <v>100997.66743394214</v>
      </c>
      <c r="Z29" s="86">
        <f t="shared" ref="Z29:AB29" si="4">Z64</f>
        <v>81335.172722155374</v>
      </c>
      <c r="AA29" s="86">
        <f t="shared" si="4"/>
        <v>62532.977702039701</v>
      </c>
      <c r="AB29" s="86">
        <f t="shared" si="4"/>
        <v>48822.166499082552</v>
      </c>
      <c r="AC29" s="178"/>
    </row>
    <row r="30" spans="1:29">
      <c r="A30" s="124" t="s">
        <v>204</v>
      </c>
      <c r="B30" s="86">
        <f>B120</f>
        <v>158828.24117655741</v>
      </c>
      <c r="C30" s="86">
        <f t="shared" ref="C30:E30" si="5">C120</f>
        <v>163798.85340304166</v>
      </c>
      <c r="D30" s="86">
        <f t="shared" si="5"/>
        <v>185016.60117107874</v>
      </c>
      <c r="E30" s="86">
        <f t="shared" si="5"/>
        <v>213980.16858048382</v>
      </c>
      <c r="F30" s="178"/>
      <c r="O30" s="181"/>
      <c r="X30" s="124" t="s">
        <v>204</v>
      </c>
      <c r="Y30" s="86">
        <f>Y120</f>
        <v>151855.23907705076</v>
      </c>
      <c r="Z30" s="86">
        <f t="shared" ref="Z30:AB30" si="6">Z120</f>
        <v>130305.86626704002</v>
      </c>
      <c r="AA30" s="86">
        <f t="shared" si="6"/>
        <v>123681.66990754718</v>
      </c>
      <c r="AB30" s="86">
        <f t="shared" si="6"/>
        <v>120626.19991206576</v>
      </c>
      <c r="AC30" s="178"/>
    </row>
    <row r="31" spans="1:29">
      <c r="A31" s="12" t="s">
        <v>17</v>
      </c>
      <c r="B31" s="265">
        <f>SUM(B29:B30)</f>
        <v>259825.90861049955</v>
      </c>
      <c r="C31" s="265">
        <f t="shared" ref="C31" si="7">SUM(C29:C30)</f>
        <v>246578.03046277509</v>
      </c>
      <c r="D31" s="265">
        <f t="shared" ref="D31" si="8">SUM(D29:D30)</f>
        <v>260672.95628841865</v>
      </c>
      <c r="E31" s="265">
        <f t="shared" ref="E31" si="9">SUM(E29:E30)</f>
        <v>280856.61632991023</v>
      </c>
      <c r="F31" s="178"/>
      <c r="O31" s="181"/>
      <c r="X31" s="12" t="s">
        <v>17</v>
      </c>
      <c r="Y31" s="265">
        <f>SUM(Y29:Y30)</f>
        <v>252852.90651099291</v>
      </c>
      <c r="Z31" s="265">
        <f t="shared" ref="Z31:AB31" si="10">SUM(Z29:Z30)</f>
        <v>211641.0389891954</v>
      </c>
      <c r="AA31" s="265">
        <f t="shared" si="10"/>
        <v>186214.64760958689</v>
      </c>
      <c r="AB31" s="265">
        <f t="shared" si="10"/>
        <v>169448.36641114831</v>
      </c>
      <c r="AC31" s="178"/>
    </row>
    <row r="32" spans="1:29">
      <c r="B32" s="178"/>
      <c r="C32" s="178"/>
      <c r="D32" s="178"/>
      <c r="E32" s="178"/>
      <c r="F32" s="178"/>
      <c r="O32" s="181"/>
      <c r="Y32" s="178"/>
      <c r="Z32" s="178"/>
      <c r="AA32" s="178"/>
      <c r="AB32" s="178"/>
      <c r="AC32" s="178"/>
    </row>
    <row r="33" spans="1:37">
      <c r="A33" s="481" t="s">
        <v>105</v>
      </c>
      <c r="B33" s="482"/>
      <c r="C33" s="482"/>
      <c r="D33" s="482"/>
      <c r="E33" s="482"/>
      <c r="F33" s="178"/>
      <c r="O33" s="181"/>
      <c r="X33" s="481" t="s">
        <v>214</v>
      </c>
      <c r="Y33" s="482"/>
      <c r="Z33" s="482"/>
      <c r="AA33" s="482"/>
      <c r="AB33" s="482"/>
      <c r="AC33" s="178"/>
    </row>
    <row r="34" spans="1:37">
      <c r="A34" s="8" t="s">
        <v>20</v>
      </c>
      <c r="B34" s="9">
        <v>2020</v>
      </c>
      <c r="C34" s="9">
        <v>2030</v>
      </c>
      <c r="D34" s="9">
        <v>2040</v>
      </c>
      <c r="E34" s="9">
        <v>2050</v>
      </c>
      <c r="F34" s="178"/>
      <c r="O34" s="181"/>
      <c r="X34" s="8" t="s">
        <v>20</v>
      </c>
      <c r="Y34" s="9">
        <v>2020</v>
      </c>
      <c r="Z34" s="9">
        <v>2030</v>
      </c>
      <c r="AA34" s="9">
        <v>2040</v>
      </c>
      <c r="AB34" s="9">
        <v>2050</v>
      </c>
      <c r="AC34" s="178"/>
    </row>
    <row r="35" spans="1:37">
      <c r="A35" s="124" t="s">
        <v>15</v>
      </c>
      <c r="B35" s="86">
        <f>B57+B116</f>
        <v>22595.21120051519</v>
      </c>
      <c r="C35" s="86">
        <f t="shared" ref="C35:E35" si="11">C57+C116</f>
        <v>16467.226494066581</v>
      </c>
      <c r="D35" s="86">
        <f t="shared" si="11"/>
        <v>13527.856442167027</v>
      </c>
      <c r="E35" s="86">
        <f t="shared" si="11"/>
        <v>10756.58989531611</v>
      </c>
      <c r="F35" s="178"/>
      <c r="O35" s="181"/>
      <c r="X35" s="124" t="s">
        <v>15</v>
      </c>
      <c r="Y35" s="86">
        <f>Y57+Y116</f>
        <v>22595.21120051519</v>
      </c>
      <c r="Z35" s="86">
        <f>Z57+Z116</f>
        <v>1657.255273291556</v>
      </c>
      <c r="AA35" s="86">
        <f>AA57+AA116</f>
        <v>0</v>
      </c>
      <c r="AB35" s="86">
        <f>AB57+AB116</f>
        <v>0</v>
      </c>
      <c r="AC35" s="156">
        <f>Z35/Y35-1</f>
        <v>-0.92665457921217531</v>
      </c>
      <c r="AD35" t="s">
        <v>406</v>
      </c>
    </row>
    <row r="36" spans="1:37">
      <c r="A36" s="124" t="s">
        <v>16</v>
      </c>
      <c r="B36" s="86">
        <f>B58+B115</f>
        <v>72724.001974812665</v>
      </c>
      <c r="C36" s="86">
        <f t="shared" ref="C36:E36" si="12">C58+C115</f>
        <v>59107.143599473755</v>
      </c>
      <c r="D36" s="86">
        <f t="shared" si="12"/>
        <v>54381.501280066455</v>
      </c>
      <c r="E36" s="86">
        <f t="shared" si="12"/>
        <v>48964.706450822312</v>
      </c>
      <c r="F36" s="178"/>
      <c r="O36" s="181"/>
      <c r="X36" s="124" t="s">
        <v>16</v>
      </c>
      <c r="Y36" s="86">
        <f>Y58+Y115</f>
        <v>72856.92088779372</v>
      </c>
      <c r="Z36" s="86">
        <f>Z58+Z115</f>
        <v>50935.799159668109</v>
      </c>
      <c r="AA36" s="86">
        <f t="shared" ref="AA36" si="13">AA58+AA115</f>
        <v>21647.969746715669</v>
      </c>
      <c r="AB36" s="86">
        <f>AB58+AB115</f>
        <v>2830.2407606982761</v>
      </c>
      <c r="AC36" s="156">
        <f>Z36/Y36-1</f>
        <v>-0.30087905803603932</v>
      </c>
      <c r="AD36" t="s">
        <v>405</v>
      </c>
    </row>
    <row r="37" spans="1:37">
      <c r="A37" s="124" t="s">
        <v>21</v>
      </c>
      <c r="B37" s="86">
        <f>B59+B118</f>
        <v>8956.0754726763971</v>
      </c>
      <c r="C37" s="86">
        <f t="shared" ref="C37:D37" si="14">C59+C118</f>
        <v>8753.9663150461474</v>
      </c>
      <c r="D37" s="86">
        <f t="shared" si="14"/>
        <v>8305.5385010957034</v>
      </c>
      <c r="E37" s="86">
        <f>E59+E118</f>
        <v>7473.4207509827047</v>
      </c>
      <c r="F37" s="178"/>
      <c r="O37" s="181"/>
      <c r="X37" s="124" t="s">
        <v>21</v>
      </c>
      <c r="Y37" s="86">
        <f>Y59+Y118</f>
        <v>8956.0754726763953</v>
      </c>
      <c r="Z37" s="86">
        <f>Z59+Z118</f>
        <v>18541.8412446689</v>
      </c>
      <c r="AA37" s="86">
        <f>AA59+AA118</f>
        <v>20367.209523690559</v>
      </c>
      <c r="AB37" s="86">
        <f>AB59+AB118</f>
        <v>19367.231060009683</v>
      </c>
      <c r="AC37" s="156">
        <f t="shared" ref="AC37:AC40" si="15">Z37/Y37-1</f>
        <v>1.070308730786961</v>
      </c>
      <c r="AD37" s="486" t="s">
        <v>397</v>
      </c>
      <c r="AE37" s="487"/>
      <c r="AF37" s="487"/>
      <c r="AG37" s="487"/>
      <c r="AH37" s="487"/>
      <c r="AI37" s="487"/>
      <c r="AJ37" s="487"/>
      <c r="AK37" s="487"/>
    </row>
    <row r="38" spans="1:37">
      <c r="A38" s="124" t="s">
        <v>22</v>
      </c>
      <c r="B38" s="86">
        <f>B60</f>
        <v>1272.5786804340246</v>
      </c>
      <c r="C38" s="86">
        <f t="shared" ref="C38:E38" si="16">C60</f>
        <v>1096.1877318231943</v>
      </c>
      <c r="D38" s="86">
        <f t="shared" si="16"/>
        <v>1044.2803407172721</v>
      </c>
      <c r="E38" s="86">
        <f t="shared" si="16"/>
        <v>969.07550599965407</v>
      </c>
      <c r="F38" s="178"/>
      <c r="O38" s="181"/>
      <c r="X38" s="124" t="s">
        <v>22</v>
      </c>
      <c r="Y38" s="86">
        <f>Y60</f>
        <v>1272.578680434025</v>
      </c>
      <c r="Z38" s="86">
        <f>Z60</f>
        <v>767.39291953860936</v>
      </c>
      <c r="AA38" s="86">
        <f>AA60</f>
        <v>433.5104529688582</v>
      </c>
      <c r="AB38" s="86">
        <f>AB60</f>
        <v>44.699235741139397</v>
      </c>
      <c r="AC38" s="156">
        <f t="shared" si="15"/>
        <v>-0.39697801689017553</v>
      </c>
    </row>
    <row r="39" spans="1:37">
      <c r="A39" s="124" t="s">
        <v>42</v>
      </c>
      <c r="B39" s="86">
        <f>B61+B117+B119</f>
        <v>1509.2890182714991</v>
      </c>
      <c r="C39" s="86">
        <f t="shared" ref="C39:E39" si="17">C61+C117+C119</f>
        <v>1539.1784578563154</v>
      </c>
      <c r="D39" s="86">
        <f t="shared" si="17"/>
        <v>1625.3271270041228</v>
      </c>
      <c r="E39" s="86">
        <f t="shared" si="17"/>
        <v>1663.1942136168313</v>
      </c>
      <c r="F39" s="178"/>
      <c r="O39" s="181"/>
      <c r="X39" s="124" t="s">
        <v>42</v>
      </c>
      <c r="Y39" s="86">
        <f>Y61+Y117+Y119</f>
        <v>1509.2890182714993</v>
      </c>
      <c r="Z39" s="86">
        <f>Z61+Z117+Z119</f>
        <v>2468.9607340435023</v>
      </c>
      <c r="AA39" s="86">
        <f>AA61+AA117+AA119</f>
        <v>2907.1974926872163</v>
      </c>
      <c r="AB39" s="86">
        <f t="shared" ref="AB39" si="18">AB61+AB117+AB119</f>
        <v>3632.0252095179899</v>
      </c>
      <c r="AC39" s="156">
        <f t="shared" si="15"/>
        <v>0.63584356882889059</v>
      </c>
    </row>
    <row r="40" spans="1:37">
      <c r="A40" s="124" t="s">
        <v>200</v>
      </c>
      <c r="B40" s="86">
        <f>B62+B63+B114</f>
        <v>152768.75226378979</v>
      </c>
      <c r="C40" s="86">
        <f t="shared" ref="C40:E40" si="19">C62+C63+C114</f>
        <v>159614.32786450916</v>
      </c>
      <c r="D40" s="86">
        <f t="shared" si="19"/>
        <v>181788.45259736807</v>
      </c>
      <c r="E40" s="86">
        <f t="shared" si="19"/>
        <v>211029.62951317258</v>
      </c>
      <c r="F40" s="178"/>
      <c r="O40" s="181"/>
      <c r="X40" s="124" t="s">
        <v>200</v>
      </c>
      <c r="Y40" s="86">
        <f>Y62+Y63+Y114</f>
        <v>145662.83125130209</v>
      </c>
      <c r="Z40" s="86">
        <f>Z62+Z63+Z114</f>
        <v>137167.52100812527</v>
      </c>
      <c r="AA40" s="86">
        <f>AA62+AA63+AA114</f>
        <v>140681.45672097127</v>
      </c>
      <c r="AB40" s="86">
        <f>AB62+AB63+AB114</f>
        <v>143344.61571316083</v>
      </c>
      <c r="AC40" s="156">
        <f t="shared" si="15"/>
        <v>-5.8321743235379309E-2</v>
      </c>
    </row>
    <row r="41" spans="1:37">
      <c r="A41" s="12" t="s">
        <v>17</v>
      </c>
      <c r="B41" s="13">
        <f>SUM(B35:B40)</f>
        <v>259825.90861049958</v>
      </c>
      <c r="C41" s="13">
        <f t="shared" ref="C41:E41" si="20">SUM(C35:C40)</f>
        <v>246578.03046277515</v>
      </c>
      <c r="D41" s="13">
        <f t="shared" si="20"/>
        <v>260672.95628841867</v>
      </c>
      <c r="E41" s="13">
        <f t="shared" si="20"/>
        <v>280856.61632991023</v>
      </c>
      <c r="F41" s="178"/>
      <c r="O41" s="181"/>
      <c r="X41" s="12" t="s">
        <v>17</v>
      </c>
      <c r="Y41" s="13">
        <f>Y64+Y120</f>
        <v>252852.90651099291</v>
      </c>
      <c r="Z41" s="13">
        <f>Z64+Z120</f>
        <v>211641.0389891954</v>
      </c>
      <c r="AA41" s="13">
        <f>AA64+AA120</f>
        <v>186214.64760958689</v>
      </c>
      <c r="AB41" s="13">
        <f>AB64+AB120</f>
        <v>169448.36641114831</v>
      </c>
      <c r="AC41" s="178"/>
    </row>
    <row r="42" spans="1:37" ht="18.75">
      <c r="A42" s="179" t="s">
        <v>104</v>
      </c>
      <c r="B42" s="180">
        <f>B41/$B41-1</f>
        <v>0</v>
      </c>
      <c r="C42" s="180">
        <f>C41/$B41-1</f>
        <v>-5.0987517829040319E-2</v>
      </c>
      <c r="D42" s="180">
        <f>D41/$B41-1</f>
        <v>3.2600585617075239E-3</v>
      </c>
      <c r="E42" s="376">
        <f>E41/$B41-1</f>
        <v>8.0941534398470738E-2</v>
      </c>
      <c r="F42" s="178"/>
      <c r="O42" s="181"/>
      <c r="X42" s="179" t="s">
        <v>104</v>
      </c>
      <c r="Y42" s="180">
        <f>Y41/$Y41-1</f>
        <v>0</v>
      </c>
      <c r="Z42" s="180">
        <f>Z41/$Y41-1</f>
        <v>-0.16298751748778417</v>
      </c>
      <c r="AA42" s="180">
        <f>AA41/$Y41-1</f>
        <v>-0.26354555231703014</v>
      </c>
      <c r="AB42" s="185">
        <f>AB41/$Y41-1</f>
        <v>-0.32985399001620153</v>
      </c>
      <c r="AC42" s="178"/>
    </row>
    <row r="43" spans="1:37">
      <c r="B43" s="178"/>
      <c r="C43" s="178"/>
      <c r="D43" s="178"/>
      <c r="E43" s="178"/>
      <c r="F43" s="178"/>
      <c r="O43" s="181"/>
      <c r="Y43" s="178"/>
      <c r="Z43" s="178"/>
      <c r="AA43" s="178"/>
      <c r="AB43" s="178"/>
      <c r="AC43" s="178"/>
    </row>
    <row r="44" spans="1:37">
      <c r="B44" s="178">
        <f>SUM(B35:B40)</f>
        <v>259825.90861049958</v>
      </c>
      <c r="C44" s="178">
        <f t="shared" ref="C44:D44" si="21">SUM(C35:C40)</f>
        <v>246578.03046277515</v>
      </c>
      <c r="D44" s="178">
        <f t="shared" si="21"/>
        <v>260672.95628841867</v>
      </c>
      <c r="E44" s="178">
        <f>SUM(E35:E40)</f>
        <v>280856.61632991023</v>
      </c>
      <c r="F44" s="178"/>
      <c r="O44" s="181"/>
      <c r="Y44" s="178"/>
      <c r="Z44" s="178"/>
      <c r="AA44" s="178"/>
      <c r="AB44" s="178"/>
      <c r="AC44" s="178"/>
    </row>
    <row r="45" spans="1:37">
      <c r="B45" s="178"/>
      <c r="C45" s="178"/>
      <c r="D45" s="178"/>
      <c r="E45" s="178"/>
      <c r="F45" s="178"/>
      <c r="O45" s="181"/>
      <c r="Y45" s="178"/>
      <c r="Z45" s="178"/>
      <c r="AA45" s="178"/>
      <c r="AB45" s="178"/>
      <c r="AC45" s="178"/>
    </row>
    <row r="46" spans="1:37">
      <c r="B46" s="178"/>
      <c r="C46" s="178"/>
      <c r="D46" s="178"/>
      <c r="E46" s="178"/>
      <c r="F46" s="178"/>
      <c r="O46" s="181"/>
      <c r="Y46" s="178"/>
      <c r="Z46" s="178"/>
      <c r="AA46" s="178"/>
      <c r="AB46" s="178"/>
      <c r="AC46" s="178"/>
    </row>
    <row r="47" spans="1:37">
      <c r="B47" s="178"/>
      <c r="C47" s="178"/>
      <c r="D47" s="178"/>
      <c r="E47" s="178"/>
      <c r="F47" s="178"/>
      <c r="O47" s="181"/>
      <c r="Y47" s="259"/>
      <c r="Z47" s="178"/>
      <c r="AA47" s="178"/>
      <c r="AB47" s="178"/>
      <c r="AC47" s="178"/>
    </row>
    <row r="48" spans="1:37">
      <c r="B48" s="178"/>
      <c r="O48" s="181"/>
      <c r="Y48" s="178"/>
      <c r="AA48" s="259"/>
    </row>
    <row r="49" spans="1:31" ht="14.45" customHeight="1">
      <c r="A49" s="483" t="s">
        <v>197</v>
      </c>
      <c r="B49" s="483"/>
      <c r="C49" s="483"/>
      <c r="D49" s="483"/>
      <c r="E49" s="483"/>
      <c r="F49" s="483"/>
      <c r="G49" s="483"/>
      <c r="H49" s="483"/>
      <c r="I49" s="483"/>
      <c r="J49" s="483"/>
      <c r="K49" s="483"/>
      <c r="L49" s="483"/>
      <c r="M49" s="483"/>
      <c r="N49" s="483"/>
      <c r="O49" s="181"/>
      <c r="P49" s="483" t="s">
        <v>197</v>
      </c>
      <c r="Q49" s="483"/>
      <c r="R49" s="483"/>
      <c r="S49" s="483"/>
      <c r="T49" s="483"/>
      <c r="U49" s="483"/>
      <c r="V49" s="483"/>
      <c r="W49" s="483"/>
      <c r="X49" s="483"/>
      <c r="Y49" s="483"/>
      <c r="Z49" s="483"/>
      <c r="AA49" s="483"/>
      <c r="AB49" s="483"/>
      <c r="AC49" s="483"/>
      <c r="AD49" s="230"/>
    </row>
    <row r="50" spans="1:31" ht="14.45" customHeight="1">
      <c r="A50" s="483"/>
      <c r="B50" s="483"/>
      <c r="C50" s="483"/>
      <c r="D50" s="483"/>
      <c r="E50" s="483"/>
      <c r="F50" s="483"/>
      <c r="G50" s="483"/>
      <c r="H50" s="483"/>
      <c r="I50" s="483"/>
      <c r="J50" s="483"/>
      <c r="K50" s="483"/>
      <c r="L50" s="483"/>
      <c r="M50" s="483"/>
      <c r="N50" s="483"/>
      <c r="O50" s="181"/>
      <c r="P50" s="483"/>
      <c r="Q50" s="483"/>
      <c r="R50" s="483"/>
      <c r="S50" s="483"/>
      <c r="T50" s="483"/>
      <c r="U50" s="483"/>
      <c r="V50" s="483"/>
      <c r="W50" s="483"/>
      <c r="X50" s="483"/>
      <c r="Y50" s="483"/>
      <c r="Z50" s="483"/>
      <c r="AA50" s="483"/>
      <c r="AB50" s="483"/>
      <c r="AC50" s="483"/>
      <c r="AD50" s="230"/>
    </row>
    <row r="51" spans="1:31">
      <c r="B51" s="178"/>
      <c r="C51" s="178"/>
      <c r="D51" s="178"/>
      <c r="E51" s="178"/>
      <c r="F51" s="178"/>
      <c r="O51" s="181"/>
      <c r="Y51" s="178"/>
      <c r="Z51" s="178"/>
      <c r="AA51" s="178"/>
      <c r="AB51" s="178"/>
      <c r="AC51" s="178"/>
    </row>
    <row r="52" spans="1:31">
      <c r="B52" s="178"/>
      <c r="C52" s="178"/>
      <c r="D52" s="178"/>
      <c r="E52" s="178"/>
      <c r="F52" s="178"/>
      <c r="O52" s="181"/>
      <c r="Y52" s="178"/>
      <c r="Z52" s="178"/>
      <c r="AA52" s="178"/>
      <c r="AB52" s="178"/>
      <c r="AC52" s="178"/>
    </row>
    <row r="53" spans="1:31">
      <c r="B53" s="178"/>
      <c r="O53" s="181"/>
      <c r="Y53" s="178"/>
    </row>
    <row r="54" spans="1:31">
      <c r="B54" s="178"/>
      <c r="O54" s="181"/>
      <c r="Y54" s="178"/>
    </row>
    <row r="55" spans="1:31">
      <c r="A55" s="481" t="s">
        <v>254</v>
      </c>
      <c r="B55" s="482"/>
      <c r="C55" s="482"/>
      <c r="D55" s="482"/>
      <c r="E55" s="482"/>
      <c r="O55" s="181"/>
      <c r="X55" s="481" t="s">
        <v>253</v>
      </c>
      <c r="Y55" s="482"/>
      <c r="Z55" s="482"/>
      <c r="AA55" s="482"/>
      <c r="AB55" s="482"/>
    </row>
    <row r="56" spans="1:31">
      <c r="A56" s="8" t="s">
        <v>20</v>
      </c>
      <c r="B56" s="9">
        <v>2020</v>
      </c>
      <c r="C56" s="9">
        <v>2030</v>
      </c>
      <c r="D56" s="9">
        <v>2040</v>
      </c>
      <c r="E56" s="9">
        <v>2050</v>
      </c>
      <c r="O56" s="181"/>
      <c r="X56" s="8" t="s">
        <v>20</v>
      </c>
      <c r="Y56" s="9">
        <v>2020</v>
      </c>
      <c r="Z56" s="9">
        <v>2030</v>
      </c>
      <c r="AA56" s="9">
        <v>2040</v>
      </c>
      <c r="AB56" s="9">
        <v>2050</v>
      </c>
    </row>
    <row r="57" spans="1:31">
      <c r="A57" s="124" t="s">
        <v>15</v>
      </c>
      <c r="B57" s="86">
        <f>'Bureaux - AME'!H13+'CaHoREs - AME'!H13+'Commerce - AME'!H13+'Enseignement - AME'!H13+'Santé social - AME'!H13+'Sport Loisir Culture - AME'!H13+'Transport - AME'!H13</f>
        <v>17636.41517514189</v>
      </c>
      <c r="C57" s="86">
        <f>'Bureaux - AME'!I13+'CaHoREs - AME'!I13+'Commerce - AME'!I13+'Enseignement - AME'!I13+'Santé social - AME'!I13+'Sport Loisir Culture - AME'!I13+'Transport - AME'!I13</f>
        <v>12584.182610662096</v>
      </c>
      <c r="D57" s="86">
        <f>'Bureaux - AME'!J13+'CaHoREs - AME'!J13+'Commerce - AME'!J13+'Enseignement - AME'!J13+'Santé social - AME'!J13+'Sport Loisir Culture - AME'!J13+'Transport - AME'!J13</f>
        <v>10229.37334549831</v>
      </c>
      <c r="E57" s="86">
        <f>'Bureaux - AME'!K13+'CaHoREs - AME'!K13+'Commerce - AME'!K13+'Enseignement - AME'!K13+'Santé social - AME'!K13+'Sport Loisir Culture - AME'!K13+'Transport - AME'!K13</f>
        <v>7821.9678438685432</v>
      </c>
      <c r="F57" s="156"/>
      <c r="G57" s="156"/>
      <c r="O57" s="181"/>
      <c r="X57" s="124" t="s">
        <v>15</v>
      </c>
      <c r="Y57" s="86">
        <f>'Bureaux - AMS'!H13+'CaHoREs - AMS'!H13+'Commerce - AMS'!H13+'Enseignement - AMS'!H13+'Santé social - AMS'!H13+'Sport Loisir Culture - AMS'!H13+'Transport - AMS'!H13</f>
        <v>17636.41517514189</v>
      </c>
      <c r="Z57" s="86">
        <f>'Bureaux - AMS'!I13+'CaHoREs - AMS'!I13+'Commerce - AMS'!I13+'Enseignement - AMS'!I13+'Santé social - AMS'!I13+'Sport Loisir Culture - AMS'!I13+'Transport - AMS'!I13</f>
        <v>1412.735250354197</v>
      </c>
      <c r="AA57" s="86">
        <f>'Bureaux - AMS'!J13+'CaHoREs - AMS'!J13+'Commerce - AMS'!J13+'Enseignement - AMS'!J13+'Santé social - AMS'!J13+'Sport Loisir Culture - AMS'!J13+'Transport - AMS'!J13</f>
        <v>0</v>
      </c>
      <c r="AB57" s="86">
        <f>'Bureaux - AMS'!K13+'CaHoREs - AMS'!K13+'Commerce - AMS'!K13+'Enseignement - AMS'!K13+'Santé social - AMS'!K13+'Sport Loisir Culture - AMS'!K13+'Transport - AMS'!K13</f>
        <v>0</v>
      </c>
    </row>
    <row r="58" spans="1:31">
      <c r="A58" s="124" t="s">
        <v>16</v>
      </c>
      <c r="B58" s="86">
        <f>'Bureaux - AME'!H14+'CaHoREs - AME'!H14+'Commerce - AME'!H14+'Enseignement - AME'!H14+'Santé social - AME'!H14+'Sport Loisir Culture - AME'!H14+'Transport - AME'!H14</f>
        <v>55805.569818181473</v>
      </c>
      <c r="C58" s="86">
        <f>'Bureaux - AME'!I14+'CaHoREs - AME'!I14+'Commerce - AME'!I14+'Enseignement - AME'!I14+'Santé social - AME'!I14+'Sport Loisir Culture - AME'!I14+'Transport - AME'!I14</f>
        <v>44705.077226923924</v>
      </c>
      <c r="D58" s="86">
        <f>'Bureaux - AME'!J14+'CaHoREs - AME'!J14+'Commerce - AME'!J14+'Enseignement - AME'!J14+'Santé social - AME'!J14+'Sport Loisir Culture - AME'!J14+'Transport - AME'!J14</f>
        <v>40854.269011504766</v>
      </c>
      <c r="E58" s="86">
        <f>'Bureaux - AME'!K14+'CaHoREs - AME'!K14+'Commerce - AME'!K14+'Enseignement - AME'!K14+'Santé social - AME'!K14+'Sport Loisir Culture - AME'!K14+'Transport - AME'!K14</f>
        <v>36337.094926563266</v>
      </c>
      <c r="F58" s="156"/>
      <c r="G58" s="156"/>
      <c r="H58" s="156"/>
      <c r="I58" s="156"/>
      <c r="O58" s="181"/>
      <c r="X58" s="124" t="s">
        <v>16</v>
      </c>
      <c r="Y58" s="86">
        <f>'Bureaux - AMS'!H14+'CaHoREs - AMS'!H14+'Commerce - AMS'!H14+'Enseignement - AMS'!H14+'Santé social - AMS'!H14+'Sport Loisir Culture - AMS'!H14+'Transport - AMS'!H14</f>
        <v>55805.569818181481</v>
      </c>
      <c r="Z58" s="86">
        <f>'Bureaux - AMS'!I14+'CaHoREs - AMS'!I14+'Commerce - AMS'!I14+'Enseignement - AMS'!I14+'Santé social - AMS'!I14+'Sport Loisir Culture - AMS'!I14+'Transport - AMS'!I14</f>
        <v>41192.518066728371</v>
      </c>
      <c r="AA58" s="86">
        <f>'Bureaux - AMS'!J14+'CaHoREs - AMS'!J14+'Commerce - AMS'!J14+'Enseignement - AMS'!J14+'Santé social - AMS'!J14+'Sport Loisir Culture - AMS'!J14+'Transport - AMS'!J14</f>
        <v>17539.893221547718</v>
      </c>
      <c r="AB58" s="86">
        <f>'Bureaux - AMS'!K14+'CaHoREs - AMS'!K14+'Commerce - AMS'!K14+'Enseignement - AMS'!K14+'Santé social - AMS'!K14+'Sport Loisir Culture - AMS'!K14+'Transport - AMS'!K14</f>
        <v>1994.3655605654837</v>
      </c>
    </row>
    <row r="59" spans="1:31">
      <c r="A59" s="124" t="s">
        <v>21</v>
      </c>
      <c r="B59" s="86">
        <f>'Bureaux - AME'!H15+'CaHoREs - AME'!H15+'Commerce - AME'!H15+'Enseignement - AME'!H15+'Santé social - AME'!H15+'Sport Loisir Culture - AME'!H15+'Transport - AME'!H15</f>
        <v>7405.5823362088131</v>
      </c>
      <c r="C59" s="86">
        <f>'Bureaux - AME'!I15+'CaHoREs - AME'!I15+'Commerce - AME'!I15+'Enseignement - AME'!I15+'Santé social - AME'!I15+'Sport Loisir Culture - AME'!I15+'Transport - AME'!I15</f>
        <v>7048.9529855965102</v>
      </c>
      <c r="D59" s="86">
        <f>'Bureaux - AME'!J15+'CaHoREs - AME'!J15+'Commerce - AME'!J15+'Enseignement - AME'!J15+'Santé social - AME'!J15+'Sport Loisir Culture - AME'!J15+'Transport - AME'!J15</f>
        <v>6658.4541853988148</v>
      </c>
      <c r="E59" s="86">
        <f>'Bureaux - AME'!K15+'CaHoREs - AME'!K15+'Commerce - AME'!K15+'Enseignement - AME'!K15+'Santé social - AME'!K15+'Sport Loisir Culture - AME'!K15+'Transport - AME'!K15</f>
        <v>5916.0549484635621</v>
      </c>
      <c r="F59" s="156"/>
      <c r="G59" s="156"/>
      <c r="H59" s="156"/>
      <c r="I59" s="156"/>
      <c r="O59" s="181"/>
      <c r="X59" s="124" t="s">
        <v>21</v>
      </c>
      <c r="Y59" s="86">
        <f>'Bureaux - AMS'!H15+'CaHoREs - AMS'!H15+'Commerce - AMS'!H15+'Enseignement - AMS'!H15+'Santé social - AMS'!H15+'Sport Loisir Culture - AMS'!H15+'Transport - AMS'!H15</f>
        <v>7405.5823362088113</v>
      </c>
      <c r="Z59" s="86">
        <f>'Bureaux - AMS'!I15+'CaHoREs - AMS'!I15+'Commerce - AMS'!I15+'Enseignement - AMS'!I15+'Santé social - AMS'!I15+'Sport Loisir Culture - AMS'!I15+'Transport - AMS'!I15</f>
        <v>15030.614206094684</v>
      </c>
      <c r="AA59" s="86">
        <f>'Bureaux - AMS'!J15+'CaHoREs - AMS'!J15+'Commerce - AMS'!J15+'Enseignement - AMS'!J15+'Santé social - AMS'!J15+'Sport Loisir Culture - AMS'!J15+'Transport - AMS'!J15</f>
        <v>16931.092824194937</v>
      </c>
      <c r="AB59" s="86">
        <f>'Bureaux - AMS'!K15+'CaHoREs - AMS'!K15+'Commerce - AMS'!K15+'Enseignement - AMS'!K15+'Santé social - AMS'!K15+'Sport Loisir Culture - AMS'!K15+'Transport - AMS'!K15</f>
        <v>16308.18257903343</v>
      </c>
      <c r="AE59" s="178"/>
    </row>
    <row r="60" spans="1:31">
      <c r="A60" s="124" t="s">
        <v>22</v>
      </c>
      <c r="B60" s="86">
        <f>'Bureaux - AME'!H16+'CaHoREs - AME'!H16+'Commerce - AME'!H16+'Enseignement - AME'!H16+'Santé social - AME'!H16+'Sport Loisir Culture - AME'!H16+'Transport - AME'!H16</f>
        <v>1272.5786804340246</v>
      </c>
      <c r="C60" s="86">
        <f>'Bureaux - AME'!I16+'CaHoREs - AME'!I16+'Commerce - AME'!I16+'Enseignement - AME'!I16+'Santé social - AME'!I16+'Sport Loisir Culture - AME'!I16+'Transport - AME'!I16</f>
        <v>1096.1877318231943</v>
      </c>
      <c r="D60" s="86">
        <f>'Bureaux - AME'!J16+'CaHoREs - AME'!J16+'Commerce - AME'!J16+'Enseignement - AME'!J16+'Santé social - AME'!J16+'Sport Loisir Culture - AME'!J16+'Transport - AME'!J16</f>
        <v>1044.2803407172721</v>
      </c>
      <c r="E60" s="86">
        <f>'Bureaux - AME'!K16+'CaHoREs - AME'!K16+'Commerce - AME'!K16+'Enseignement - AME'!K16+'Santé social - AME'!K16+'Sport Loisir Culture - AME'!K16+'Transport - AME'!K16</f>
        <v>969.07550599965407</v>
      </c>
      <c r="F60" s="156"/>
      <c r="G60" s="156"/>
      <c r="H60" s="156"/>
      <c r="I60" s="156"/>
      <c r="O60" s="181"/>
      <c r="X60" s="124" t="s">
        <v>22</v>
      </c>
      <c r="Y60" s="86">
        <f>'Bureaux - AMS'!H16+'CaHoREs - AMS'!H16+'Commerce - AMS'!H16+'Enseignement - AMS'!H16+'Santé social - AMS'!H16+'Sport Loisir Culture - AMS'!H16+'Transport - AMS'!H16</f>
        <v>1272.578680434025</v>
      </c>
      <c r="Z60" s="86">
        <f>'Bureaux - AMS'!I16+'CaHoREs - AMS'!I16+'Commerce - AMS'!I16+'Enseignement - AMS'!I16+'Santé social - AMS'!I16+'Sport Loisir Culture - AMS'!I16+'Transport - AMS'!I16</f>
        <v>767.39291953860936</v>
      </c>
      <c r="AA60" s="86">
        <f>'Bureaux - AMS'!J16+'CaHoREs - AMS'!J16+'Commerce - AMS'!J16+'Enseignement - AMS'!J16+'Santé social - AMS'!J16+'Sport Loisir Culture - AMS'!J16+'Transport - AMS'!J16</f>
        <v>433.5104529688582</v>
      </c>
      <c r="AB60" s="86">
        <f>'Bureaux - AMS'!K16+'CaHoREs - AMS'!K16+'Commerce - AMS'!K16+'Enseignement - AMS'!K16+'Santé social - AMS'!K16+'Sport Loisir Culture - AMS'!K16+'Transport - AMS'!K16</f>
        <v>44.699235741139397</v>
      </c>
    </row>
    <row r="61" spans="1:31">
      <c r="A61" s="124" t="s">
        <v>42</v>
      </c>
      <c r="B61" s="86">
        <f>'Bureaux - AME'!H17+'CaHoREs - AME'!H17+'Commerce - AME'!H17+'Enseignement - AME'!H17+'Santé social - AME'!H17+'Sport Loisir Culture - AME'!H17+'Transport - AME'!H17</f>
        <v>1294.6736683610475</v>
      </c>
      <c r="C61" s="86">
        <f>'Bureaux - AME'!I17+'CaHoREs - AME'!I17+'Commerce - AME'!I17+'Enseignement - AME'!I17+'Santé social - AME'!I17+'Sport Loisir Culture - AME'!I17+'Transport - AME'!I17</f>
        <v>1301.9332915284222</v>
      </c>
      <c r="D61" s="86">
        <f>'Bureaux - AME'!J17+'CaHoREs - AME'!J17+'Commerce - AME'!J17+'Enseignement - AME'!J17+'Santé social - AME'!J17+'Sport Loisir Culture - AME'!J17+'Transport - AME'!J17</f>
        <v>1378.0056117330932</v>
      </c>
      <c r="E61" s="86">
        <f>'Bureaux - AME'!K17+'CaHoREs - AME'!K17+'Commerce - AME'!K17+'Enseignement - AME'!K17+'Santé social - AME'!K17+'Sport Loisir Culture - AME'!K17+'Transport - AME'!K17</f>
        <v>1409.2486004040202</v>
      </c>
      <c r="F61" s="156"/>
      <c r="G61" s="156"/>
      <c r="H61" s="156"/>
      <c r="I61" s="156"/>
      <c r="J61" s="156"/>
      <c r="O61" s="181"/>
      <c r="X61" s="124" t="s">
        <v>42</v>
      </c>
      <c r="Y61" s="86">
        <f>'Bureaux - AMS'!H17+'CaHoREs - AMS'!H17+'Commerce - AMS'!H17+'Enseignement - AMS'!H17+'Santé social - AMS'!H17+'Sport Loisir Culture - AMS'!H17+'Transport - AMS'!H17</f>
        <v>1294.6736683610477</v>
      </c>
      <c r="Z61" s="86">
        <f>'Bureaux - AMS'!I17+'CaHoREs - AMS'!I17+'Commerce - AMS'!I17+'Enseignement - AMS'!I17+'Santé social - AMS'!I17+'Sport Loisir Culture - AMS'!I17+'Transport - AMS'!I17</f>
        <v>1805.8393151477878</v>
      </c>
      <c r="AA61" s="86">
        <f>'Bureaux - AMS'!J17+'CaHoREs - AMS'!J17+'Commerce - AMS'!J17+'Enseignement - AMS'!J17+'Santé social - AMS'!J17+'Sport Loisir Culture - AMS'!J17+'Transport - AMS'!J17</f>
        <v>2373.5325598316886</v>
      </c>
      <c r="AB61" s="86">
        <f>'Bureaux - AMS'!K17+'CaHoREs - AMS'!K17+'Commerce - AMS'!K17+'Enseignement - AMS'!K17+'Santé social - AMS'!K17+'Sport Loisir Culture - AMS'!K17+'Transport - AMS'!K17</f>
        <v>3195.7120788853449</v>
      </c>
    </row>
    <row r="62" spans="1:31">
      <c r="A62" s="124" t="s">
        <v>46</v>
      </c>
      <c r="B62" s="86">
        <f>'Bureaux - AME'!H18+'CaHoREs - AME'!H18+'Commerce - AME'!H18+'Enseignement - AME'!H18+'Santé social - AME'!H18+'Sport Loisir Culture - AME'!H18+'Transport - AME'!H18</f>
        <v>14607.452993119286</v>
      </c>
      <c r="C62" s="86">
        <f>'Bureaux - AME'!I18+'CaHoREs - AME'!I18+'Commerce - AME'!I18+'Enseignement - AME'!I18+'Santé social - AME'!I18+'Sport Loisir Culture - AME'!I18+'Transport - AME'!I18</f>
        <v>10422.470509805571</v>
      </c>
      <c r="D62" s="86">
        <f>'Bureaux - AME'!J18+'CaHoREs - AME'!J18+'Commerce - AME'!J18+'Enseignement - AME'!J18+'Santé social - AME'!J18+'Sport Loisir Culture - AME'!J18+'Transport - AME'!J18</f>
        <v>8187.5358792873649</v>
      </c>
      <c r="E62" s="86">
        <f>'Bureaux - AME'!K18+'CaHoREs - AME'!K18+'Commerce - AME'!K18+'Enseignement - AME'!K18+'Santé social - AME'!K18+'Sport Loisir Culture - AME'!K18+'Transport - AME'!K18</f>
        <v>5993.7366700902885</v>
      </c>
      <c r="F62" s="156"/>
      <c r="G62" s="156"/>
      <c r="H62" s="156"/>
      <c r="I62" s="156"/>
      <c r="O62" s="181"/>
      <c r="X62" s="124" t="s">
        <v>46</v>
      </c>
      <c r="Y62" s="86">
        <f>'Bureaux - AMS'!H18+'CaHoREs - AMS'!H18+'Commerce - AMS'!H18+'Enseignement - AMS'!H18+'Santé social - AMS'!H18+'Sport Loisir Culture - AMS'!H18+'Transport - AMS'!H18</f>
        <v>14607.452993119286</v>
      </c>
      <c r="Z62" s="86">
        <f>'Bureaux - AMS'!I18+'CaHoREs - AMS'!I18+'Commerce - AMS'!I18+'Enseignement - AMS'!I18+'Santé social - AMS'!I18+'Sport Loisir Culture - AMS'!I18+'Transport - AMS'!I18</f>
        <v>9642.0183376842924</v>
      </c>
      <c r="AA62" s="86">
        <f>'Bureaux - AMS'!J18+'CaHoREs - AMS'!J18+'Commerce - AMS'!J18+'Enseignement - AMS'!J18+'Santé social - AMS'!J18+'Sport Loisir Culture - AMS'!J18+'Transport - AMS'!J18</f>
        <v>5751.6397214495782</v>
      </c>
      <c r="AB62" s="86">
        <f>'Bureaux - AMS'!K18+'CaHoREs - AMS'!K18+'Commerce - AMS'!K18+'Enseignement - AMS'!K18+'Santé social - AMS'!K18+'Sport Loisir Culture - AMS'!K18+'Transport - AMS'!K18</f>
        <v>5000.8677473995149</v>
      </c>
    </row>
    <row r="63" spans="1:31">
      <c r="A63" s="124" t="s">
        <v>47</v>
      </c>
      <c r="B63" s="86">
        <f>'Bureaux - AME'!H19+'CaHoREs - AME'!H19+'Commerce - AME'!H19+'Enseignement - AME'!H19+'Santé social - AME'!H19+'Sport Loisir Culture - AME'!H19+'Transport - AME'!H19</f>
        <v>2975.3947624956108</v>
      </c>
      <c r="C63" s="86">
        <f>'Bureaux - AME'!I19+'CaHoREs - AME'!I19+'Commerce - AME'!I19+'Enseignement - AME'!I19+'Santé social - AME'!I19+'Sport Loisir Culture - AME'!I19+'Transport - AME'!I19</f>
        <v>5620.3727033937375</v>
      </c>
      <c r="D63" s="86">
        <f>'Bureaux - AME'!J19+'CaHoREs - AME'!J19+'Commerce - AME'!J19+'Enseignement - AME'!J19+'Santé social - AME'!J19+'Sport Loisir Culture - AME'!J19+'Transport - AME'!J19</f>
        <v>7304.4367432002919</v>
      </c>
      <c r="E63" s="86">
        <f>'Bureaux - AME'!K19+'CaHoREs - AME'!K19+'Commerce - AME'!K19+'Enseignement - AME'!K19+'Santé social - AME'!K19+'Sport Loisir Culture - AME'!K19+'Transport - AME'!K19</f>
        <v>8429.2692540370481</v>
      </c>
      <c r="F63" s="156"/>
      <c r="G63" s="156"/>
      <c r="H63" s="156"/>
      <c r="I63" s="156"/>
      <c r="O63" s="181"/>
      <c r="X63" s="124" t="s">
        <v>47</v>
      </c>
      <c r="Y63" s="86">
        <f>'Bureaux - AMS'!H19+'CaHoREs - AMS'!H19+'Commerce - AMS'!H19+'Enseignement - AMS'!H19+'Santé social - AMS'!H19+'Sport Loisir Culture - AMS'!H19+'Transport - AMS'!H19</f>
        <v>2975.3947624956104</v>
      </c>
      <c r="Z63" s="86">
        <f>'Bureaux - AMS'!I19+'CaHoREs - AMS'!I19+'Commerce - AMS'!I19+'Enseignement - AMS'!I19+'Santé social - AMS'!I19+'Sport Loisir Culture - AMS'!I19+'Transport - AMS'!I19</f>
        <v>11484.054626607438</v>
      </c>
      <c r="AA63" s="86">
        <f>'Bureaux - AMS'!J19+'CaHoREs - AMS'!J19+'Commerce - AMS'!J19+'Enseignement - AMS'!J19+'Santé social - AMS'!J19+'Sport Loisir Culture - AMS'!J19+'Transport - AMS'!J19</f>
        <v>19503.308922046912</v>
      </c>
      <c r="AB63" s="86">
        <f>'Bureaux - AMS'!K19+'CaHoREs - AMS'!K19+'Commerce - AMS'!K19+'Enseignement - AMS'!K19+'Santé social - AMS'!K19+'Sport Loisir Culture - AMS'!K19+'Transport - AMS'!K19</f>
        <v>22278.339297457635</v>
      </c>
    </row>
    <row r="64" spans="1:31">
      <c r="A64" s="12" t="s">
        <v>17</v>
      </c>
      <c r="B64" s="13">
        <f>SUM(B57:B63)</f>
        <v>100997.66743394214</v>
      </c>
      <c r="C64" s="13">
        <f t="shared" ref="C64:E64" si="22">SUM(C57:C63)</f>
        <v>82779.17705973344</v>
      </c>
      <c r="D64" s="13">
        <f t="shared" si="22"/>
        <v>75656.355117339903</v>
      </c>
      <c r="E64" s="13">
        <f t="shared" si="22"/>
        <v>66876.447749426385</v>
      </c>
      <c r="O64" s="181"/>
      <c r="X64" s="12" t="s">
        <v>17</v>
      </c>
      <c r="Y64" s="13">
        <f>SUM(Y57:Y63)</f>
        <v>100997.66743394214</v>
      </c>
      <c r="Z64" s="13">
        <f t="shared" ref="Z64:AB64" si="23">SUM(Z57:Z63)</f>
        <v>81335.172722155374</v>
      </c>
      <c r="AA64" s="13">
        <f t="shared" si="23"/>
        <v>62532.977702039701</v>
      </c>
      <c r="AB64" s="13">
        <f t="shared" si="23"/>
        <v>48822.166499082552</v>
      </c>
    </row>
    <row r="65" spans="1:28" ht="31.5" customHeight="1">
      <c r="A65" s="179" t="s">
        <v>104</v>
      </c>
      <c r="B65" s="180">
        <f>B64/$B64-1</f>
        <v>0</v>
      </c>
      <c r="C65" s="180">
        <f>C64/$B64-1</f>
        <v>-0.18038525875980815</v>
      </c>
      <c r="D65" s="180">
        <f>D64/$B64-1</f>
        <v>-0.25090987703430689</v>
      </c>
      <c r="E65" s="185">
        <f>E64/$B64-1</f>
        <v>-0.33784166061887377</v>
      </c>
      <c r="O65" s="181"/>
      <c r="X65" s="309" t="s">
        <v>289</v>
      </c>
      <c r="Y65" s="180">
        <f>Y64/$Y64-1</f>
        <v>0</v>
      </c>
      <c r="Z65" s="180">
        <f>Z64/$Y64-1</f>
        <v>-0.19468266160351766</v>
      </c>
      <c r="AA65" s="180">
        <f t="shared" ref="AA65:AB65" si="24">AA64/$Y64-1</f>
        <v>-0.38084730775649245</v>
      </c>
      <c r="AB65" s="185">
        <f t="shared" si="24"/>
        <v>-0.51660104892011638</v>
      </c>
    </row>
    <row r="66" spans="1:28">
      <c r="O66" s="181"/>
      <c r="Y66" s="178"/>
    </row>
    <row r="67" spans="1:28">
      <c r="A67" s="484"/>
      <c r="B67" s="485"/>
      <c r="C67" s="485"/>
      <c r="D67" s="485"/>
      <c r="E67" s="485"/>
      <c r="F67" s="235"/>
      <c r="G67" s="235"/>
      <c r="H67" s="235"/>
      <c r="I67" s="235"/>
      <c r="J67" s="235"/>
      <c r="K67" s="235"/>
      <c r="L67" s="235"/>
      <c r="M67" s="235"/>
      <c r="N67" s="235"/>
      <c r="O67" s="236"/>
      <c r="P67" s="235"/>
      <c r="Q67" s="235"/>
      <c r="R67" s="235"/>
      <c r="S67" s="235"/>
      <c r="T67" s="235"/>
      <c r="U67" s="235"/>
      <c r="V67" s="235"/>
      <c r="W67" s="235"/>
      <c r="X67" s="484" t="s">
        <v>202</v>
      </c>
      <c r="Y67" s="485"/>
      <c r="Z67" s="485"/>
      <c r="AA67" s="485"/>
      <c r="AB67" s="485"/>
    </row>
    <row r="68" spans="1:28">
      <c r="A68" s="237"/>
      <c r="B68" s="238"/>
      <c r="C68" s="238"/>
      <c r="D68" s="238"/>
      <c r="E68" s="238"/>
      <c r="F68" s="235"/>
      <c r="G68" s="235"/>
      <c r="H68" s="235"/>
      <c r="I68" s="235"/>
      <c r="J68" s="235"/>
      <c r="K68" s="235"/>
      <c r="L68" s="235"/>
      <c r="M68" s="235"/>
      <c r="N68" s="235"/>
      <c r="O68" s="236"/>
      <c r="P68" s="235"/>
      <c r="Q68" s="235"/>
      <c r="R68" s="235"/>
      <c r="S68" s="235"/>
      <c r="T68" s="235"/>
      <c r="U68" s="235"/>
      <c r="V68" s="235"/>
      <c r="W68" s="235"/>
      <c r="X68" s="237" t="s">
        <v>20</v>
      </c>
      <c r="Y68" s="238">
        <v>2020</v>
      </c>
      <c r="Z68" s="238">
        <v>2030</v>
      </c>
      <c r="AA68" s="238">
        <v>2040</v>
      </c>
      <c r="AB68" s="238">
        <v>2050</v>
      </c>
    </row>
    <row r="69" spans="1:28">
      <c r="A69" s="239"/>
      <c r="B69" s="240"/>
      <c r="C69" s="240"/>
      <c r="D69" s="240"/>
      <c r="E69" s="240"/>
      <c r="F69" s="235"/>
      <c r="G69" s="235"/>
      <c r="H69" s="235"/>
      <c r="I69" s="235"/>
      <c r="J69" s="235"/>
      <c r="K69" s="235"/>
      <c r="L69" s="235"/>
      <c r="M69" s="235"/>
      <c r="N69" s="235"/>
      <c r="O69" s="236"/>
      <c r="P69" s="235"/>
      <c r="Q69" s="235"/>
      <c r="R69" s="235"/>
      <c r="S69" s="235"/>
      <c r="T69" s="235"/>
      <c r="U69" s="235"/>
      <c r="V69" s="235"/>
      <c r="W69" s="235"/>
      <c r="X69" s="239" t="s">
        <v>15</v>
      </c>
      <c r="Y69" s="240">
        <f>Y57*$B$76/$B$64</f>
        <v>0</v>
      </c>
      <c r="Z69" s="240">
        <f t="shared" ref="Z69:AB69" si="25">Z57*$B$76/$B$64</f>
        <v>0</v>
      </c>
      <c r="AA69" s="240">
        <f t="shared" si="25"/>
        <v>0</v>
      </c>
      <c r="AB69" s="240">
        <f t="shared" si="25"/>
        <v>0</v>
      </c>
    </row>
    <row r="70" spans="1:28">
      <c r="A70" s="239"/>
      <c r="B70" s="240"/>
      <c r="C70" s="240"/>
      <c r="D70" s="240"/>
      <c r="E70" s="240"/>
      <c r="F70" s="235"/>
      <c r="G70" s="235"/>
      <c r="H70" s="235"/>
      <c r="I70" s="235"/>
      <c r="J70" s="235"/>
      <c r="K70" s="235"/>
      <c r="L70" s="235"/>
      <c r="M70" s="235"/>
      <c r="N70" s="235"/>
      <c r="O70" s="236"/>
      <c r="P70" s="235"/>
      <c r="Q70" s="235"/>
      <c r="R70" s="235"/>
      <c r="S70" s="235"/>
      <c r="T70" s="235"/>
      <c r="U70" s="235"/>
      <c r="V70" s="235"/>
      <c r="W70" s="235"/>
      <c r="X70" s="239" t="s">
        <v>16</v>
      </c>
      <c r="Y70" s="240">
        <f t="shared" ref="Y70:AB70" si="26">Y58*$B$76/$B$64</f>
        <v>0</v>
      </c>
      <c r="Z70" s="240">
        <f t="shared" si="26"/>
        <v>0</v>
      </c>
      <c r="AA70" s="240">
        <f t="shared" si="26"/>
        <v>0</v>
      </c>
      <c r="AB70" s="240">
        <f t="shared" si="26"/>
        <v>0</v>
      </c>
    </row>
    <row r="71" spans="1:28">
      <c r="A71" s="239"/>
      <c r="B71" s="240"/>
      <c r="C71" s="240"/>
      <c r="D71" s="240"/>
      <c r="E71" s="240"/>
      <c r="F71" s="235"/>
      <c r="G71" s="235"/>
      <c r="H71" s="235"/>
      <c r="I71" s="235"/>
      <c r="J71" s="235"/>
      <c r="K71" s="235"/>
      <c r="L71" s="235"/>
      <c r="M71" s="235"/>
      <c r="N71" s="235"/>
      <c r="O71" s="236"/>
      <c r="P71" s="235"/>
      <c r="Q71" s="235"/>
      <c r="R71" s="235"/>
      <c r="S71" s="235"/>
      <c r="T71" s="235"/>
      <c r="U71" s="235"/>
      <c r="V71" s="235"/>
      <c r="W71" s="235"/>
      <c r="X71" s="239" t="s">
        <v>21</v>
      </c>
      <c r="Y71" s="240">
        <f t="shared" ref="Y71:AA71" si="27">Y59*$B$76/$B$64</f>
        <v>0</v>
      </c>
      <c r="Z71" s="240">
        <f t="shared" si="27"/>
        <v>0</v>
      </c>
      <c r="AA71" s="240">
        <f t="shared" si="27"/>
        <v>0</v>
      </c>
      <c r="AB71" s="240">
        <f>AB59*$B$76/$B$64</f>
        <v>0</v>
      </c>
    </row>
    <row r="72" spans="1:28">
      <c r="A72" s="239"/>
      <c r="B72" s="240"/>
      <c r="C72" s="240"/>
      <c r="D72" s="240"/>
      <c r="E72" s="240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235"/>
      <c r="Q72" s="235"/>
      <c r="R72" s="235"/>
      <c r="S72" s="235"/>
      <c r="T72" s="235"/>
      <c r="U72" s="235"/>
      <c r="V72" s="235"/>
      <c r="W72" s="235"/>
      <c r="X72" s="239" t="s">
        <v>22</v>
      </c>
      <c r="Y72" s="240">
        <f t="shared" ref="Y72:AB72" si="28">Y60*$B$76/$B$64</f>
        <v>0</v>
      </c>
      <c r="Z72" s="240">
        <f t="shared" si="28"/>
        <v>0</v>
      </c>
      <c r="AA72" s="240">
        <f t="shared" si="28"/>
        <v>0</v>
      </c>
      <c r="AB72" s="240">
        <f t="shared" si="28"/>
        <v>0</v>
      </c>
    </row>
    <row r="73" spans="1:28">
      <c r="A73" s="239"/>
      <c r="B73" s="240"/>
      <c r="C73" s="240"/>
      <c r="D73" s="240"/>
      <c r="E73" s="240"/>
      <c r="F73" s="235"/>
      <c r="G73" s="235"/>
      <c r="H73" s="235"/>
      <c r="I73" s="235"/>
      <c r="J73" s="235"/>
      <c r="K73" s="235"/>
      <c r="L73" s="235"/>
      <c r="M73" s="235"/>
      <c r="N73" s="235"/>
      <c r="O73" s="236"/>
      <c r="P73" s="235"/>
      <c r="Q73" s="235"/>
      <c r="R73" s="235"/>
      <c r="S73" s="235"/>
      <c r="T73" s="235"/>
      <c r="U73" s="235"/>
      <c r="V73" s="235"/>
      <c r="W73" s="235"/>
      <c r="X73" s="239" t="s">
        <v>42</v>
      </c>
      <c r="Y73" s="240">
        <f t="shared" ref="Y73:AB73" si="29">Y61*$B$76/$B$64</f>
        <v>0</v>
      </c>
      <c r="Z73" s="240">
        <f t="shared" si="29"/>
        <v>0</v>
      </c>
      <c r="AA73" s="240">
        <f t="shared" si="29"/>
        <v>0</v>
      </c>
      <c r="AB73" s="240">
        <f t="shared" si="29"/>
        <v>0</v>
      </c>
    </row>
    <row r="74" spans="1:28">
      <c r="A74" s="239"/>
      <c r="B74" s="240"/>
      <c r="C74" s="240"/>
      <c r="D74" s="240"/>
      <c r="E74" s="240"/>
      <c r="F74" s="235"/>
      <c r="G74" s="235"/>
      <c r="H74" s="235"/>
      <c r="I74" s="235"/>
      <c r="J74" s="235"/>
      <c r="K74" s="235"/>
      <c r="L74" s="235"/>
      <c r="M74" s="235"/>
      <c r="N74" s="235"/>
      <c r="O74" s="236"/>
      <c r="P74" s="235"/>
      <c r="Q74" s="235"/>
      <c r="R74" s="235"/>
      <c r="S74" s="235"/>
      <c r="T74" s="235"/>
      <c r="U74" s="235"/>
      <c r="V74" s="235"/>
      <c r="W74" s="235"/>
      <c r="X74" s="239" t="s">
        <v>46</v>
      </c>
      <c r="Y74" s="240">
        <f>Y62*$B$76/$B$64</f>
        <v>0</v>
      </c>
      <c r="Z74" s="240">
        <f t="shared" ref="Z74:AB74" si="30">Z62*$B$76/$B$64</f>
        <v>0</v>
      </c>
      <c r="AA74" s="240">
        <f t="shared" si="30"/>
        <v>0</v>
      </c>
      <c r="AB74" s="240">
        <f t="shared" si="30"/>
        <v>0</v>
      </c>
    </row>
    <row r="75" spans="1:28">
      <c r="A75" s="239"/>
      <c r="B75" s="240"/>
      <c r="C75" s="240"/>
      <c r="D75" s="240"/>
      <c r="E75" s="240"/>
      <c r="F75" s="235"/>
      <c r="G75" s="235"/>
      <c r="H75" s="235"/>
      <c r="I75" s="235"/>
      <c r="J75" s="235"/>
      <c r="K75" s="235"/>
      <c r="L75" s="235"/>
      <c r="M75" s="235"/>
      <c r="N75" s="235"/>
      <c r="O75" s="236"/>
      <c r="P75" s="235"/>
      <c r="Q75" s="235"/>
      <c r="R75" s="235"/>
      <c r="S75" s="235"/>
      <c r="T75" s="235"/>
      <c r="U75" s="235"/>
      <c r="V75" s="235"/>
      <c r="W75" s="235"/>
      <c r="X75" s="239" t="s">
        <v>47</v>
      </c>
      <c r="Y75" s="240">
        <f t="shared" ref="Y75:AB75" si="31">Y63*$B$76/$B$64</f>
        <v>0</v>
      </c>
      <c r="Z75" s="240">
        <f t="shared" si="31"/>
        <v>0</v>
      </c>
      <c r="AA75" s="240">
        <f t="shared" si="31"/>
        <v>0</v>
      </c>
      <c r="AB75" s="240">
        <f t="shared" si="31"/>
        <v>0</v>
      </c>
    </row>
    <row r="76" spans="1:28">
      <c r="A76" s="241"/>
      <c r="B76" s="242"/>
      <c r="C76" s="240"/>
      <c r="D76" s="240"/>
      <c r="E76" s="240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235"/>
      <c r="Q76" s="235"/>
      <c r="R76" s="235"/>
      <c r="S76" s="235"/>
      <c r="T76" s="235"/>
      <c r="U76" s="235"/>
      <c r="V76" s="235"/>
      <c r="W76" s="235"/>
      <c r="X76" s="241" t="s">
        <v>17</v>
      </c>
      <c r="Y76" s="242">
        <v>112000</v>
      </c>
      <c r="Z76" s="240">
        <f t="shared" ref="Z76:AB76" si="32">Z64*$B$76/$B$64</f>
        <v>0</v>
      </c>
      <c r="AA76" s="240">
        <f t="shared" si="32"/>
        <v>0</v>
      </c>
      <c r="AB76" s="240">
        <f t="shared" si="32"/>
        <v>0</v>
      </c>
    </row>
    <row r="77" spans="1:28" ht="18.75">
      <c r="A77" s="243"/>
      <c r="B77" s="244"/>
      <c r="C77" s="244"/>
      <c r="D77" s="244"/>
      <c r="E77" s="245"/>
      <c r="F77" s="235"/>
      <c r="G77" s="235"/>
      <c r="H77" s="235"/>
      <c r="I77" s="235"/>
      <c r="J77" s="235"/>
      <c r="K77" s="235"/>
      <c r="L77" s="235"/>
      <c r="M77" s="235"/>
      <c r="N77" s="235"/>
      <c r="O77" s="236"/>
      <c r="P77" s="235"/>
      <c r="Q77" s="235"/>
      <c r="R77" s="235"/>
      <c r="S77" s="235"/>
      <c r="T77" s="235"/>
      <c r="U77" s="235"/>
      <c r="V77" s="235"/>
      <c r="W77" s="235"/>
      <c r="X77" s="243" t="s">
        <v>104</v>
      </c>
      <c r="Y77" s="244">
        <f>Y76/$Y76-1</f>
        <v>0</v>
      </c>
      <c r="Z77" s="244">
        <f t="shared" ref="Z77:AB77" si="33">Z76/$Y76-1</f>
        <v>-1</v>
      </c>
      <c r="AA77" s="244">
        <f t="shared" si="33"/>
        <v>-1</v>
      </c>
      <c r="AB77" s="245">
        <f t="shared" si="33"/>
        <v>-1</v>
      </c>
    </row>
    <row r="78" spans="1:28">
      <c r="O78" s="181"/>
    </row>
    <row r="79" spans="1:28">
      <c r="A79" s="481" t="s">
        <v>106</v>
      </c>
      <c r="B79" s="482"/>
      <c r="C79" s="482"/>
      <c r="D79" s="482"/>
      <c r="E79" s="482"/>
      <c r="O79" s="181"/>
      <c r="X79" s="481" t="s">
        <v>110</v>
      </c>
      <c r="Y79" s="482"/>
      <c r="Z79" s="482"/>
      <c r="AA79" s="482"/>
      <c r="AB79" s="482"/>
    </row>
    <row r="80" spans="1:28">
      <c r="A80" s="8" t="s">
        <v>20</v>
      </c>
      <c r="B80" s="9">
        <v>2020</v>
      </c>
      <c r="C80" s="9">
        <v>2030</v>
      </c>
      <c r="D80" s="9">
        <v>2040</v>
      </c>
      <c r="E80" s="9">
        <v>2050</v>
      </c>
      <c r="O80" s="181"/>
      <c r="X80" s="8" t="s">
        <v>20</v>
      </c>
      <c r="Y80" s="9">
        <v>2020</v>
      </c>
      <c r="Z80" s="9">
        <v>2030</v>
      </c>
      <c r="AA80" s="9">
        <v>2040</v>
      </c>
      <c r="AB80" s="9">
        <v>2050</v>
      </c>
    </row>
    <row r="81" spans="1:28">
      <c r="A81" s="124" t="s">
        <v>15</v>
      </c>
      <c r="B81" s="86">
        <f>'Bureaux - AME'!H111+'CaHoREs - AME'!H111+'Commerce - AME'!H111+'Enseignement - AME'!H111+'Santé social - AME'!H111+'Sport Loisir Culture - AME'!H111+'Transport - AME'!H111</f>
        <v>6972.2797501238183</v>
      </c>
      <c r="C81" s="86">
        <f>'Bureaux - AME'!I111+'CaHoREs - AME'!I111+'Commerce - AME'!I111+'Enseignement - AME'!I111+'Santé social - AME'!I111+'Sport Loisir Culture - AME'!I111+'Transport - AME'!I111</f>
        <v>4111.1754441729572</v>
      </c>
      <c r="D81" s="86">
        <f>'Bureaux - AME'!J111+'CaHoREs - AME'!J111+'Commerce - AME'!J111+'Enseignement - AME'!J111+'Santé social - AME'!J111+'Sport Loisir Culture - AME'!J111+'Transport - AME'!J111</f>
        <v>3116.8321546808706</v>
      </c>
      <c r="E81" s="86">
        <f>'Bureaux - AME'!K111+'CaHoREs - AME'!K111+'Commerce - AME'!K111+'Enseignement - AME'!K111+'Santé social - AME'!K111+'Sport Loisir Culture - AME'!K111+'Transport - AME'!K111</f>
        <v>2159.2824101097335</v>
      </c>
      <c r="O81" s="181"/>
      <c r="X81" s="124" t="s">
        <v>15</v>
      </c>
      <c r="Y81" s="86">
        <f>'Bureaux - AMS'!H111+'CaHoREs - AMS'!H111+'Commerce - AMS'!H111+'Enseignement - AMS'!H111+'Santé social - AMS'!H111+'Sport Loisir Culture - AMS'!H111+'Transport - AMS'!H111</f>
        <v>15677.951348786632</v>
      </c>
      <c r="Z81" s="86">
        <f>'Bureaux - AMS'!I111+'CaHoREs - AMS'!I111+'Commerce - AMS'!I111+'Enseignement - AMS'!I111+'Santé social - AMS'!I111+'Sport Loisir Culture - AMS'!I111+'Transport - AMS'!I111</f>
        <v>1264.105666769377</v>
      </c>
      <c r="AA81" s="86">
        <f>'Bureaux - AMS'!J111+'CaHoREs - AMS'!J111+'Commerce - AMS'!J111+'Enseignement - AMS'!J111+'Santé social - AMS'!J111+'Sport Loisir Culture - AMS'!J111+'Transport - AMS'!J111</f>
        <v>0</v>
      </c>
      <c r="AB81" s="86">
        <f>'Bureaux - AMS'!K111+'CaHoREs - AMS'!K111+'Commerce - AMS'!K111+'Enseignement - AMS'!K111+'Santé social - AMS'!K111+'Sport Loisir Culture - AMS'!K111+'Transport - AMS'!K111</f>
        <v>0</v>
      </c>
    </row>
    <row r="82" spans="1:28">
      <c r="A82" s="124" t="s">
        <v>16</v>
      </c>
      <c r="B82" s="86">
        <f>'Bureaux - AME'!H112+'CaHoREs - AME'!H112+'Commerce - AME'!H112+'Enseignement - AME'!H112+'Santé social - AME'!H112+'Sport Loisir Culture - AME'!H112+'Transport - AME'!H112</f>
        <v>21704.940201780224</v>
      </c>
      <c r="C82" s="86">
        <f>'Bureaux - AME'!I112+'CaHoREs - AME'!I112+'Commerce - AME'!I112+'Enseignement - AME'!I112+'Santé social - AME'!I112+'Sport Loisir Culture - AME'!I112+'Transport - AME'!I112</f>
        <v>14287.534621015844</v>
      </c>
      <c r="D82" s="86">
        <f>'Bureaux - AME'!J112+'CaHoREs - AME'!J112+'Commerce - AME'!J112+'Enseignement - AME'!J112+'Santé social - AME'!J112+'Sport Loisir Culture - AME'!J112+'Transport - AME'!J112</f>
        <v>12077.573828638489</v>
      </c>
      <c r="E82" s="86">
        <f>'Bureaux - AME'!K112+'CaHoREs - AME'!K112+'Commerce - AME'!K112+'Enseignement - AME'!K112+'Santé social - AME'!K112+'Sport Loisir Culture - AME'!K112+'Transport - AME'!K112</f>
        <v>9839.8144785180684</v>
      </c>
      <c r="O82" s="181"/>
      <c r="X82" s="124" t="s">
        <v>16</v>
      </c>
      <c r="Y82" s="86">
        <f>'Bureaux - AMS'!H112+'CaHoREs - AMS'!H112+'Commerce - AMS'!H112+'Enseignement - AMS'!H112+'Santé social - AMS'!H112+'Sport Loisir Culture - AMS'!H112+'Transport - AMS'!H112</f>
        <v>49305.068395925598</v>
      </c>
      <c r="Z82" s="86">
        <f>'Bureaux - AMS'!I112+'CaHoREs - AMS'!I112+'Commerce - AMS'!I112+'Enseignement - AMS'!I112+'Santé social - AMS'!I112+'Sport Loisir Culture - AMS'!I112+'Transport - AMS'!I112</f>
        <v>36178.937339397955</v>
      </c>
      <c r="AA82" s="86">
        <f>'Bureaux - AMS'!J112+'CaHoREs - AMS'!J112+'Commerce - AMS'!J112+'Enseignement - AMS'!J112+'Santé social - AMS'!J112+'Sport Loisir Culture - AMS'!J112+'Transport - AMS'!J112</f>
        <v>15335.266335892529</v>
      </c>
      <c r="AB82" s="86">
        <f>'Bureaux - AMS'!K112+'CaHoREs - AMS'!K112+'Commerce - AMS'!K112+'Enseignement - AMS'!K112+'Santé social - AMS'!K112+'Sport Loisir Culture - AMS'!K112+'Transport - AMS'!K112</f>
        <v>1736.2960703027061</v>
      </c>
    </row>
    <row r="83" spans="1:28">
      <c r="A83" s="124" t="s">
        <v>21</v>
      </c>
      <c r="B83" s="86">
        <f>'Bureaux - AME'!H113+'CaHoREs - AME'!H113+'Commerce - AME'!H113+'Enseignement - AME'!H113+'Santé social - AME'!H113+'Sport Loisir Culture - AME'!H113+'Transport - AME'!H113</f>
        <v>2920.2151325253244</v>
      </c>
      <c r="C83" s="86">
        <f>'Bureaux - AME'!I113+'CaHoREs - AME'!I113+'Commerce - AME'!I113+'Enseignement - AME'!I113+'Santé social - AME'!I113+'Sport Loisir Culture - AME'!I113+'Transport - AME'!I113</f>
        <v>2518.4435815088054</v>
      </c>
      <c r="D83" s="86">
        <f>'Bureaux - AME'!J113+'CaHoREs - AME'!J113+'Commerce - AME'!J113+'Enseignement - AME'!J113+'Santé social - AME'!J113+'Sport Loisir Culture - AME'!J113+'Transport - AME'!J113</f>
        <v>2207.783880149022</v>
      </c>
      <c r="E83" s="86">
        <f>'Bureaux - AME'!K113+'CaHoREs - AME'!K113+'Commerce - AME'!K113+'Enseignement - AME'!K113+'Santé social - AME'!K113+'Sport Loisir Culture - AME'!K113+'Transport - AME'!K113</f>
        <v>1779.3642797679097</v>
      </c>
      <c r="O83" s="181"/>
      <c r="X83" s="124" t="s">
        <v>21</v>
      </c>
      <c r="Y83" s="86">
        <f>'Bureaux - AMS'!H113+'CaHoREs - AMS'!H113+'Commerce - AMS'!H113+'Enseignement - AMS'!H113+'Santé social - AMS'!H113+'Sport Loisir Culture - AMS'!H113+'Transport - AMS'!H113</f>
        <v>6576.8119096490082</v>
      </c>
      <c r="Z83" s="86">
        <f>'Bureaux - AMS'!I113+'CaHoREs - AMS'!I113+'Commerce - AMS'!I113+'Enseignement - AMS'!I113+'Santé social - AMS'!I113+'Sport Loisir Culture - AMS'!I113+'Transport - AMS'!I113</f>
        <v>12224.423276681671</v>
      </c>
      <c r="AA83" s="86">
        <f>'Bureaux - AMS'!J113+'CaHoREs - AMS'!J113+'Commerce - AMS'!J113+'Enseignement - AMS'!J113+'Santé social - AMS'!J113+'Sport Loisir Culture - AMS'!J113+'Transport - AMS'!J113</f>
        <v>13882.247394654343</v>
      </c>
      <c r="AB83" s="86">
        <f>'Bureaux - AMS'!K113+'CaHoREs - AMS'!K113+'Commerce - AMS'!K113+'Enseignement - AMS'!K113+'Santé social - AMS'!K113+'Sport Loisir Culture - AMS'!K113+'Transport - AMS'!K113</f>
        <v>13420.577043788588</v>
      </c>
    </row>
    <row r="84" spans="1:28">
      <c r="A84" s="124" t="s">
        <v>22</v>
      </c>
      <c r="B84" s="86">
        <f>'Bureaux - AME'!H114+'CaHoREs - AME'!H114+'Commerce - AME'!H114+'Enseignement - AME'!H114+'Santé social - AME'!H114+'Sport Loisir Culture - AME'!H114+'Transport - AME'!H114</f>
        <v>495.96140968305934</v>
      </c>
      <c r="C84" s="86">
        <f>'Bureaux - AME'!I114+'CaHoREs - AME'!I114+'Commerce - AME'!I114+'Enseignement - AME'!I114+'Santé social - AME'!I114+'Sport Loisir Culture - AME'!I114+'Transport - AME'!I114</f>
        <v>341.84976693568865</v>
      </c>
      <c r="D84" s="86">
        <f>'Bureaux - AME'!J114+'CaHoREs - AME'!J114+'Commerce - AME'!J114+'Enseignement - AME'!J114+'Santé social - AME'!J114+'Sport Loisir Culture - AME'!J114+'Transport - AME'!J114</f>
        <v>307.33843778195393</v>
      </c>
      <c r="E84" s="86">
        <f>'Bureaux - AME'!K114+'CaHoREs - AME'!K114+'Commerce - AME'!K114+'Enseignement - AME'!K114+'Santé social - AME'!K114+'Sport Loisir Culture - AME'!K114+'Transport - AME'!K114</f>
        <v>269.30055743257861</v>
      </c>
      <c r="O84" s="181"/>
      <c r="X84" s="124" t="s">
        <v>22</v>
      </c>
      <c r="Y84" s="86">
        <f>'Bureaux - AMS'!H114+'CaHoREs - AMS'!H114+'Commerce - AMS'!H114+'Enseignement - AMS'!H114+'Santé social - AMS'!H114+'Sport Loisir Culture - AMS'!H114+'Transport - AMS'!H114</f>
        <v>1122.0413510600783</v>
      </c>
      <c r="Z84" s="86">
        <f>'Bureaux - AMS'!I114+'CaHoREs - AMS'!I114+'Commerce - AMS'!I114+'Enseignement - AMS'!I114+'Santé social - AMS'!I114+'Sport Loisir Culture - AMS'!I114+'Transport - AMS'!I114</f>
        <v>596.48222146252886</v>
      </c>
      <c r="AA84" s="86">
        <f>'Bureaux - AMS'!J114+'CaHoREs - AMS'!J114+'Commerce - AMS'!J114+'Enseignement - AMS'!J114+'Santé social - AMS'!J114+'Sport Loisir Culture - AMS'!J114+'Transport - AMS'!J114</f>
        <v>321.73629410015496</v>
      </c>
      <c r="AB84" s="86">
        <f>'Bureaux - AMS'!K114+'CaHoREs - AMS'!K114+'Commerce - AMS'!K114+'Enseignement - AMS'!K114+'Santé social - AMS'!K114+'Sport Loisir Culture - AMS'!K114+'Transport - AMS'!K114</f>
        <v>0</v>
      </c>
    </row>
    <row r="85" spans="1:28">
      <c r="A85" s="124" t="s">
        <v>42</v>
      </c>
      <c r="B85" s="86">
        <f>'Bureaux - AME'!H115+'CaHoREs - AME'!H115+'Commerce - AME'!H115+'Enseignement - AME'!H115+'Santé social - AME'!H115+'Sport Loisir Culture - AME'!H115+'Transport - AME'!H115</f>
        <v>490.36175602403921</v>
      </c>
      <c r="C85" s="86">
        <f>'Bureaux - AME'!I115+'CaHoREs - AME'!I115+'Commerce - AME'!I115+'Enseignement - AME'!I115+'Santé social - AME'!I115+'Sport Loisir Culture - AME'!I115+'Transport - AME'!I115</f>
        <v>355.28732675483184</v>
      </c>
      <c r="D85" s="86">
        <f>'Bureaux - AME'!J115+'CaHoREs - AME'!J115+'Commerce - AME'!J115+'Enseignement - AME'!J115+'Santé social - AME'!J115+'Sport Loisir Culture - AME'!J115+'Transport - AME'!J115</f>
        <v>328.35295993095224</v>
      </c>
      <c r="E85" s="86">
        <f>'Bureaux - AME'!K115+'CaHoREs - AME'!K115+'Commerce - AME'!K115+'Enseignement - AME'!K115+'Santé social - AME'!K115+'Sport Loisir Culture - AME'!K115+'Transport - AME'!K115</f>
        <v>294.00984290647494</v>
      </c>
      <c r="O85" s="181"/>
      <c r="X85" s="124" t="s">
        <v>42</v>
      </c>
      <c r="Y85" s="86">
        <f>'Bureaux - AMS'!H115+'CaHoREs - AMS'!H115+'Commerce - AMS'!H115+'Enseignement - AMS'!H115+'Santé social - AMS'!H115+'Sport Loisir Culture - AMS'!H115+'Transport - AMS'!H115</f>
        <v>1122.8654222832949</v>
      </c>
      <c r="Z85" s="86">
        <f>'Bureaux - AMS'!I115+'CaHoREs - AMS'!I115+'Commerce - AMS'!I115+'Enseignement - AMS'!I115+'Santé social - AMS'!I115+'Sport Loisir Culture - AMS'!I115+'Transport - AMS'!I115</f>
        <v>1455.4778882397552</v>
      </c>
      <c r="AA85" s="86">
        <f>'Bureaux - AMS'!J115+'CaHoREs - AMS'!J115+'Commerce - AMS'!J115+'Enseignement - AMS'!J115+'Santé social - AMS'!J115+'Sport Loisir Culture - AMS'!J115+'Transport - AMS'!J115</f>
        <v>1933.581178129054</v>
      </c>
      <c r="AB85" s="86">
        <f>'Bureaux - AMS'!K115+'CaHoREs - AMS'!K115+'Commerce - AMS'!K115+'Enseignement - AMS'!K115+'Santé social - AMS'!K115+'Sport Loisir Culture - AMS'!K115+'Transport - AMS'!K115</f>
        <v>2587.3303114516871</v>
      </c>
    </row>
    <row r="86" spans="1:28">
      <c r="A86" s="124" t="s">
        <v>46</v>
      </c>
      <c r="B86" s="86">
        <f>'Bureaux - AME'!H116+'CaHoREs - AME'!H116+'Commerce - AME'!H116+'Enseignement - AME'!H116+'Santé social - AME'!H116+'Sport Loisir Culture - AME'!H116+'Transport - AME'!H116</f>
        <v>5412.3541772314884</v>
      </c>
      <c r="C86" s="86">
        <f>'Bureaux - AME'!I116+'CaHoREs - AME'!I116+'Commerce - AME'!I116+'Enseignement - AME'!I116+'Santé social - AME'!I116+'Sport Loisir Culture - AME'!I116+'Transport - AME'!I116</f>
        <v>3196.4902213444984</v>
      </c>
      <c r="D86" s="86">
        <f>'Bureaux - AME'!J116+'CaHoREs - AME'!J116+'Commerce - AME'!J116+'Enseignement - AME'!J116+'Santé social - AME'!J116+'Sport Loisir Culture - AME'!J116+'Transport - AME'!J116</f>
        <v>2492.2800875622565</v>
      </c>
      <c r="E86" s="86">
        <f>'Bureaux - AME'!K116+'CaHoREs - AME'!K116+'Commerce - AME'!K116+'Enseignement - AME'!K116+'Santé social - AME'!K116+'Sport Loisir Culture - AME'!K116+'Transport - AME'!K116</f>
        <v>1740.3836633885383</v>
      </c>
      <c r="O86" s="181"/>
      <c r="X86" s="124" t="s">
        <v>46</v>
      </c>
      <c r="Y86" s="86">
        <f>'Bureaux - AMS'!H116+'CaHoREs - AMS'!H116+'Commerce - AMS'!H116+'Enseignement - AMS'!H116+'Santé social - AMS'!H116+'Sport Loisir Culture - AMS'!H116+'Transport - AMS'!H116</f>
        <v>12624.855913302805</v>
      </c>
      <c r="Z86" s="86">
        <f>'Bureaux - AMS'!I116+'CaHoREs - AMS'!I116+'Commerce - AMS'!I116+'Enseignement - AMS'!I116+'Santé social - AMS'!I116+'Sport Loisir Culture - AMS'!I116+'Transport - AMS'!I116</f>
        <v>8151.8233260947982</v>
      </c>
      <c r="AA86" s="86">
        <f>'Bureaux - AMS'!J116+'CaHoREs - AMS'!J116+'Commerce - AMS'!J116+'Enseignement - AMS'!J116+'Santé social - AMS'!J116+'Sport Loisir Culture - AMS'!J116+'Transport - AMS'!J116</f>
        <v>4952.0376360351775</v>
      </c>
      <c r="AB86" s="86">
        <f>'Bureaux - AMS'!K116+'CaHoREs - AMS'!K116+'Commerce - AMS'!K116+'Enseignement - AMS'!K116+'Santé social - AMS'!K116+'Sport Loisir Culture - AMS'!K116+'Transport - AMS'!K116</f>
        <v>4384.8516099739791</v>
      </c>
    </row>
    <row r="87" spans="1:28">
      <c r="A87" s="124" t="s">
        <v>47</v>
      </c>
      <c r="B87" s="86">
        <f>'Bureaux - AME'!H117+'CaHoREs - AME'!H117+'Commerce - AME'!H117+'Enseignement - AME'!H117+'Santé social - AME'!H117+'Sport Loisir Culture - AME'!H117+'Transport - AME'!H117</f>
        <v>1068.6056721929394</v>
      </c>
      <c r="C87" s="86">
        <f>'Bureaux - AME'!I117+'CaHoREs - AME'!I117+'Commerce - AME'!I117+'Enseignement - AME'!I117+'Santé social - AME'!I117+'Sport Loisir Culture - AME'!I117+'Transport - AME'!I117</f>
        <v>1615.9998514832994</v>
      </c>
      <c r="D87" s="86">
        <f>'Bureaux - AME'!J117+'CaHoREs - AME'!J117+'Commerce - AME'!J117+'Enseignement - AME'!J117+'Santé social - AME'!J117+'Sport Loisir Culture - AME'!J117+'Transport - AME'!J117</f>
        <v>2249.9941176167463</v>
      </c>
      <c r="E87" s="86">
        <f>'Bureaux - AME'!K117+'CaHoREs - AME'!K117+'Commerce - AME'!K117+'Enseignement - AME'!K117+'Santé social - AME'!K117+'Sport Loisir Culture - AME'!K117+'Transport - AME'!K117</f>
        <v>2784.0591419598318</v>
      </c>
      <c r="O87" s="181"/>
      <c r="X87" s="124" t="s">
        <v>47</v>
      </c>
      <c r="Y87" s="86">
        <f>'Bureaux - AMS'!H117+'CaHoREs - AMS'!H117+'Commerce - AMS'!H117+'Enseignement - AMS'!H117+'Santé social - AMS'!H117+'Sport Loisir Culture - AMS'!H117+'Transport - AMS'!H117</f>
        <v>2527.148602483825</v>
      </c>
      <c r="Z87" s="86">
        <f>'Bureaux - AMS'!I117+'CaHoREs - AMS'!I117+'Commerce - AMS'!I117+'Enseignement - AMS'!I117+'Santé social - AMS'!I117+'Sport Loisir Culture - AMS'!I117+'Transport - AMS'!I117</f>
        <v>9089.5882713156825</v>
      </c>
      <c r="AA87" s="86">
        <f>'Bureaux - AMS'!J117+'CaHoREs - AMS'!J117+'Commerce - AMS'!J117+'Enseignement - AMS'!J117+'Santé social - AMS'!J117+'Sport Loisir Culture - AMS'!J117+'Transport - AMS'!J117</f>
        <v>16364.513090055359</v>
      </c>
      <c r="AB87" s="86">
        <f>'Bureaux - AMS'!K117+'CaHoREs - AMS'!K117+'Commerce - AMS'!K117+'Enseignement - AMS'!K117+'Santé social - AMS'!K117+'Sport Loisir Culture - AMS'!K117+'Transport - AMS'!K117</f>
        <v>19145.295607414995</v>
      </c>
    </row>
    <row r="88" spans="1:28">
      <c r="A88" s="12" t="s">
        <v>17</v>
      </c>
      <c r="B88" s="13">
        <f>SUM(B81:B87)</f>
        <v>39064.718099560894</v>
      </c>
      <c r="C88" s="13">
        <f t="shared" ref="C88:E88" si="34">SUM(C81:C87)</f>
        <v>26426.780813215926</v>
      </c>
      <c r="D88" s="13">
        <f t="shared" si="34"/>
        <v>22780.155466360287</v>
      </c>
      <c r="E88" s="13">
        <f t="shared" si="34"/>
        <v>18866.214374083134</v>
      </c>
      <c r="O88" s="181"/>
      <c r="X88" s="12" t="s">
        <v>17</v>
      </c>
      <c r="Y88" s="13">
        <f>SUM(Y81:Y87)</f>
        <v>88956.742943491248</v>
      </c>
      <c r="Z88" s="13">
        <f t="shared" ref="Z88:AB88" si="35">SUM(Z81:Z87)</f>
        <v>68960.837989961772</v>
      </c>
      <c r="AA88" s="13">
        <f t="shared" si="35"/>
        <v>52789.381928866627</v>
      </c>
      <c r="AB88" s="13">
        <f t="shared" si="35"/>
        <v>41274.350642931953</v>
      </c>
    </row>
    <row r="89" spans="1:28" ht="22.5">
      <c r="A89" s="179" t="s">
        <v>104</v>
      </c>
      <c r="B89" s="180">
        <f>B88/$B88-1</f>
        <v>0</v>
      </c>
      <c r="C89" s="180">
        <f>C88/$B88-1</f>
        <v>-0.32351282438889595</v>
      </c>
      <c r="D89" s="180">
        <f>D88/$B88-1</f>
        <v>-0.41686113263885682</v>
      </c>
      <c r="E89" s="180">
        <f>E88/$B88-1</f>
        <v>-0.51705233540914253</v>
      </c>
      <c r="O89" s="181"/>
      <c r="X89" s="309" t="s">
        <v>289</v>
      </c>
      <c r="Y89" s="180">
        <f>Y88/$Y88-1</f>
        <v>0</v>
      </c>
      <c r="Z89" s="180">
        <f t="shared" ref="Z89" si="36">Z88/$Y88-1</f>
        <v>-0.22478234130302688</v>
      </c>
      <c r="AA89" s="180">
        <f t="shared" ref="AA89" si="37">AA88/$Y88-1</f>
        <v>-0.40657245103498818</v>
      </c>
      <c r="AB89" s="180">
        <f t="shared" ref="AB89" si="38">AB88/$Y88-1</f>
        <v>-0.53601773989015067</v>
      </c>
    </row>
    <row r="90" spans="1:28">
      <c r="O90" s="181"/>
    </row>
    <row r="91" spans="1:28">
      <c r="A91" s="481" t="s">
        <v>107</v>
      </c>
      <c r="B91" s="482"/>
      <c r="C91" s="482"/>
      <c r="D91" s="482"/>
      <c r="E91" s="482"/>
      <c r="O91" s="181"/>
      <c r="X91" s="481" t="s">
        <v>111</v>
      </c>
      <c r="Y91" s="482"/>
      <c r="Z91" s="482"/>
      <c r="AA91" s="482"/>
      <c r="AB91" s="482"/>
    </row>
    <row r="92" spans="1:28">
      <c r="A92" s="8" t="s">
        <v>20</v>
      </c>
      <c r="B92" s="9">
        <v>2020</v>
      </c>
      <c r="C92" s="9">
        <v>2030</v>
      </c>
      <c r="D92" s="9">
        <v>2040</v>
      </c>
      <c r="E92" s="9">
        <v>2050</v>
      </c>
      <c r="O92" s="181"/>
      <c r="X92" s="8" t="s">
        <v>20</v>
      </c>
      <c r="Y92" s="9">
        <v>2020</v>
      </c>
      <c r="Z92" s="9">
        <v>2030</v>
      </c>
      <c r="AA92" s="9">
        <v>2040</v>
      </c>
      <c r="AB92" s="9">
        <v>2050</v>
      </c>
    </row>
    <row r="93" spans="1:28">
      <c r="A93" s="124" t="s">
        <v>15</v>
      </c>
      <c r="B93" s="86">
        <f>'Bureaux - AME'!H122+'CaHoREs - AME'!H122+'Commerce - AME'!H122+'Enseignement - AME'!H122+'Santé social - AME'!H122+'Sport Loisir Culture - AME'!H122+'Transport - AME'!H122</f>
        <v>10664.135425018072</v>
      </c>
      <c r="C93" s="86">
        <f>'Bureaux - AME'!I122+'CaHoREs - AME'!I122+'Commerce - AME'!I122+'Enseignement - AME'!I122+'Santé social - AME'!I122+'Sport Loisir Culture - AME'!I122+'Transport - AME'!I122</f>
        <v>8469.3394445919093</v>
      </c>
      <c r="D93" s="86">
        <f>'Bureaux - AME'!J122+'CaHoREs - AME'!J122+'Commerce - AME'!J122+'Enseignement - AME'!J122+'Santé social - AME'!J122+'Sport Loisir Culture - AME'!J122+'Transport - AME'!J122</f>
        <v>7111.1063475589381</v>
      </c>
      <c r="E93" s="86">
        <f>'Bureaux - AME'!K122+'CaHoREs - AME'!K122+'Commerce - AME'!K122+'Enseignement - AME'!K122+'Santé social - AME'!K122+'Sport Loisir Culture - AME'!K122+'Transport - AME'!K122</f>
        <v>5661.3849403460372</v>
      </c>
      <c r="O93" s="181"/>
      <c r="X93" s="124" t="s">
        <v>15</v>
      </c>
      <c r="Y93" s="86">
        <f>'Bureaux - AMS'!H122+'CaHoREs - AMS'!H122+'Commerce - AMS'!H122+'Enseignement - AMS'!H122+'Santé social - AMS'!H122+'Sport Loisir Culture - AMS'!H122+'Transport - AMS'!H122</f>
        <v>1958.4638263552558</v>
      </c>
      <c r="Z93" s="86">
        <f>'Bureaux - AMS'!I122+'CaHoREs - AMS'!I122+'Commerce - AMS'!I122+'Enseignement - AMS'!I122+'Santé social - AMS'!I122+'Sport Loisir Culture - AMS'!I122+'Transport - AMS'!I122</f>
        <v>148.62958358481993</v>
      </c>
      <c r="AA93" s="86">
        <f>'Bureaux - AMS'!J122+'CaHoREs - AMS'!J122+'Commerce - AMS'!J122+'Enseignement - AMS'!J122+'Santé social - AMS'!J122+'Sport Loisir Culture - AMS'!J122+'Transport - AMS'!J122</f>
        <v>0</v>
      </c>
      <c r="AB93" s="86">
        <f>'Bureaux - AMS'!K122+'CaHoREs - AMS'!K122+'Commerce - AMS'!K122+'Enseignement - AMS'!K122+'Santé social - AMS'!K122+'Sport Loisir Culture - AMS'!K122+'Transport - AMS'!K122</f>
        <v>0</v>
      </c>
    </row>
    <row r="94" spans="1:28">
      <c r="A94" s="124" t="s">
        <v>16</v>
      </c>
      <c r="B94" s="86">
        <f>'Bureaux - AME'!H123+'CaHoREs - AME'!H123+'Commerce - AME'!H123+'Enseignement - AME'!H123+'Santé social - AME'!H123+'Sport Loisir Culture - AME'!H123+'Transport - AME'!H123</f>
        <v>34100.629616401253</v>
      </c>
      <c r="C94" s="86">
        <f>'Bureaux - AME'!I123+'CaHoREs - AME'!I123+'Commerce - AME'!I123+'Enseignement - AME'!I123+'Santé social - AME'!I123+'Sport Loisir Culture - AME'!I123+'Transport - AME'!I123</f>
        <v>30417.542605908071</v>
      </c>
      <c r="D94" s="86">
        <f>'Bureaux - AME'!J123+'CaHoREs - AME'!J123+'Commerce - AME'!J123+'Enseignement - AME'!J123+'Santé social - AME'!J123+'Sport Loisir Culture - AME'!J123+'Transport - AME'!J123</f>
        <v>28776.695182866275</v>
      </c>
      <c r="E94" s="86">
        <f>'Bureaux - AME'!K123+'CaHoREs - AME'!K123+'Commerce - AME'!K123+'Enseignement - AME'!K123+'Santé social - AME'!K123+'Sport Loisir Culture - AME'!K123+'Transport - AME'!K123</f>
        <v>26497.280448045203</v>
      </c>
      <c r="O94" s="181"/>
      <c r="X94" s="124" t="s">
        <v>16</v>
      </c>
      <c r="Y94" s="86">
        <f>'Bureaux - AMS'!H123+'CaHoREs - AMS'!H123+'Commerce - AMS'!H123+'Enseignement - AMS'!H123+'Santé social - AMS'!H123+'Sport Loisir Culture - AMS'!H123+'Transport - AMS'!H123</f>
        <v>6500.5014222558739</v>
      </c>
      <c r="Z94" s="86">
        <f>'Bureaux - AMS'!I123+'CaHoREs - AMS'!I123+'Commerce - AMS'!I123+'Enseignement - AMS'!I123+'Santé social - AMS'!I123+'Sport Loisir Culture - AMS'!I123+'Transport - AMS'!I123</f>
        <v>4982.0249989386975</v>
      </c>
      <c r="AA94" s="86">
        <f>'Bureaux - AMS'!J123+'CaHoREs - AMS'!J123+'Commerce - AMS'!J123+'Enseignement - AMS'!J123+'Santé social - AMS'!J123+'Sport Loisir Culture - AMS'!J123+'Transport - AMS'!J123</f>
        <v>2185.2270034080384</v>
      </c>
      <c r="AB94" s="86">
        <f>'Bureaux - AMS'!K123+'CaHoREs - AMS'!K123+'Commerce - AMS'!K123+'Enseignement - AMS'!K123+'Santé social - AMS'!K123+'Sport Loisir Culture - AMS'!K123+'Transport - AMS'!K123</f>
        <v>246.26690350592375</v>
      </c>
    </row>
    <row r="95" spans="1:28">
      <c r="A95" s="124" t="s">
        <v>21</v>
      </c>
      <c r="B95" s="86">
        <f>'Bureaux - AME'!H124+'CaHoREs - AME'!H124+'Commerce - AME'!H124+'Enseignement - AME'!H124+'Santé social - AME'!H124+'Sport Loisir Culture - AME'!H124+'Transport - AME'!H124</f>
        <v>4485.3672036834887</v>
      </c>
      <c r="C95" s="86">
        <f>'Bureaux - AME'!I124+'CaHoREs - AME'!I124+'Commerce - AME'!I124+'Enseignement - AME'!I124+'Santé social - AME'!I124+'Sport Loisir Culture - AME'!I124+'Transport - AME'!I124</f>
        <v>4107.7016038147231</v>
      </c>
      <c r="D95" s="86">
        <f>'Bureaux - AME'!J124+'CaHoREs - AME'!J124+'Commerce - AME'!J124+'Enseignement - AME'!J124+'Santé social - AME'!J124+'Sport Loisir Culture - AME'!J124+'Transport - AME'!J124</f>
        <v>4101.0629682288627</v>
      </c>
      <c r="E95" s="86">
        <f>'Bureaux - AME'!K124+'CaHoREs - AME'!K124+'Commerce - AME'!K124+'Enseignement - AME'!K124+'Santé social - AME'!K124+'Sport Loisir Culture - AME'!K124+'Transport - AME'!K124</f>
        <v>3861.5949442739256</v>
      </c>
      <c r="O95" s="181"/>
      <c r="X95" s="124" t="s">
        <v>21</v>
      </c>
      <c r="Y95" s="86">
        <f>'Bureaux - AMS'!H124+'CaHoREs - AMS'!H124+'Commerce - AMS'!H124+'Enseignement - AMS'!H124+'Santé social - AMS'!H124+'Sport Loisir Culture - AMS'!H124+'Transport - AMS'!H124</f>
        <v>828.77042655980381</v>
      </c>
      <c r="Z95" s="86">
        <f>'Bureaux - AMS'!I124+'CaHoREs - AMS'!I124+'Commerce - AMS'!I124+'Enseignement - AMS'!I124+'Santé social - AMS'!I124+'Sport Loisir Culture - AMS'!I124+'Transport - AMS'!I124</f>
        <v>1729.5923783732455</v>
      </c>
      <c r="AA95" s="86">
        <f>'Bureaux - AMS'!J124+'CaHoREs - AMS'!J124+'Commerce - AMS'!J124+'Enseignement - AMS'!J124+'Santé social - AMS'!J124+'Sport Loisir Culture - AMS'!J124+'Transport - AMS'!J124</f>
        <v>2166.5327814169841</v>
      </c>
      <c r="AB95" s="86">
        <f>'Bureaux - AMS'!K124+'CaHoREs - AMS'!K124+'Commerce - AMS'!K124+'Enseignement - AMS'!K124+'Santé social - AMS'!K124+'Sport Loisir Culture - AMS'!K124+'Transport - AMS'!K124</f>
        <v>2268.5550789167792</v>
      </c>
    </row>
    <row r="96" spans="1:28">
      <c r="A96" s="124" t="s">
        <v>22</v>
      </c>
      <c r="B96" s="86">
        <f>'Bureaux - AME'!H125+'CaHoREs - AME'!H125+'Commerce - AME'!H125+'Enseignement - AME'!H125+'Santé social - AME'!H125+'Sport Loisir Culture - AME'!H125+'Transport - AME'!H125</f>
        <v>776.61727075096542</v>
      </c>
      <c r="C96" s="86">
        <f>'Bureaux - AME'!I125+'CaHoREs - AME'!I125+'Commerce - AME'!I125+'Enseignement - AME'!I125+'Santé social - AME'!I125+'Sport Loisir Culture - AME'!I125+'Transport - AME'!I125</f>
        <v>708.74035963160782</v>
      </c>
      <c r="D96" s="86">
        <f>'Bureaux - AME'!J125+'CaHoREs - AME'!J125+'Commerce - AME'!J125+'Enseignement - AME'!J125+'Santé social - AME'!J125+'Sport Loisir Culture - AME'!J125+'Transport - AME'!J125</f>
        <v>698.31184745678729</v>
      </c>
      <c r="E96" s="86">
        <f>'Bureaux - AME'!K125+'CaHoREs - AME'!K125+'Commerce - AME'!K125+'Enseignement - AME'!K125+'Santé social - AME'!K125+'Sport Loisir Culture - AME'!K125+'Transport - AME'!K125</f>
        <v>670.69558321777947</v>
      </c>
      <c r="O96" s="181"/>
      <c r="X96" s="124" t="s">
        <v>22</v>
      </c>
      <c r="Y96" s="86">
        <f>'Bureaux - AMS'!H125+'CaHoREs - AMS'!H125+'Commerce - AMS'!H125+'Enseignement - AMS'!H125+'Santé social - AMS'!H125+'Sport Loisir Culture - AMS'!H125+'Transport - AMS'!H125</f>
        <v>150.53732937394653</v>
      </c>
      <c r="Z96" s="86">
        <f>'Bureaux - AMS'!I125+'CaHoREs - AMS'!I125+'Commerce - AMS'!I125+'Enseignement - AMS'!I125+'Santé social - AMS'!I125+'Sport Loisir Culture - AMS'!I125+'Transport - AMS'!I125</f>
        <v>91.961003463984241</v>
      </c>
      <c r="AA96" s="86">
        <f>'Bureaux - AMS'!J125+'CaHoREs - AMS'!J125+'Commerce - AMS'!J125+'Enseignement - AMS'!J125+'Santé social - AMS'!J125+'Sport Loisir Culture - AMS'!J125+'Transport - AMS'!J125</f>
        <v>47.619275982460785</v>
      </c>
      <c r="AB96" s="86">
        <f>'Bureaux - AMS'!K125+'CaHoREs - AMS'!K125+'Commerce - AMS'!K125+'Enseignement - AMS'!K125+'Santé social - AMS'!K125+'Sport Loisir Culture - AMS'!K125+'Transport - AMS'!K125</f>
        <v>0</v>
      </c>
    </row>
    <row r="97" spans="1:30">
      <c r="A97" s="124" t="s">
        <v>42</v>
      </c>
      <c r="B97" s="86">
        <f>'Bureaux - AME'!H126+'CaHoREs - AME'!H126+'Commerce - AME'!H126+'Enseignement - AME'!H126+'Santé social - AME'!H126+'Sport Loisir Culture - AME'!H126+'Transport - AME'!H126</f>
        <v>804.31191233700827</v>
      </c>
      <c r="C97" s="86">
        <f>'Bureaux - AME'!I126+'CaHoREs - AME'!I126+'Commerce - AME'!I126+'Enseignement - AME'!I126+'Santé social - AME'!I126+'Sport Loisir Culture - AME'!I126+'Transport - AME'!I126</f>
        <v>869.15982965288754</v>
      </c>
      <c r="D97" s="86">
        <f>'Bureaux - AME'!J126+'CaHoREs - AME'!J126+'Commerce - AME'!J126+'Enseignement - AME'!J126+'Santé social - AME'!J126+'Sport Loisir Culture - AME'!J126+'Transport - AME'!J126</f>
        <v>986.02448796196029</v>
      </c>
      <c r="E97" s="86">
        <f>'Bureaux - AME'!K126+'CaHoREs - AME'!K126+'Commerce - AME'!K126+'Enseignement - AME'!K126+'Santé social - AME'!K126+'Sport Loisir Culture - AME'!K126+'Transport - AME'!K126</f>
        <v>1065.407126212112</v>
      </c>
      <c r="O97" s="181"/>
      <c r="X97" s="124" t="s">
        <v>42</v>
      </c>
      <c r="Y97" s="86">
        <f>'Bureaux - AMS'!H126+'CaHoREs - AMS'!H126+'Commerce - AMS'!H126+'Enseignement - AMS'!H126+'Santé social - AMS'!H126+'Sport Loisir Culture - AMS'!H126+'Transport - AMS'!H126</f>
        <v>171.80824607775244</v>
      </c>
      <c r="Z97" s="86">
        <f>'Bureaux - AMS'!I126+'CaHoREs - AMS'!I126+'Commerce - AMS'!I126+'Enseignement - AMS'!I126+'Santé social - AMS'!I126+'Sport Loisir Culture - AMS'!I126+'Transport - AMS'!I126</f>
        <v>222.7834502447312</v>
      </c>
      <c r="AA97" s="86">
        <f>'Bureaux - AMS'!J126+'CaHoREs - AMS'!J126+'Commerce - AMS'!J126+'Enseignement - AMS'!J126+'Santé social - AMS'!J126+'Sport Loisir Culture - AMS'!J126+'Transport - AMS'!J126</f>
        <v>291.11526134109982</v>
      </c>
      <c r="AB97" s="86">
        <f>'Bureaux - AMS'!K126+'CaHoREs - AMS'!K126+'Commerce - AMS'!K126+'Enseignement - AMS'!K126+'Santé social - AMS'!K126+'Sport Loisir Culture - AMS'!K126+'Transport - AMS'!K126</f>
        <v>430.90688771250166</v>
      </c>
    </row>
    <row r="98" spans="1:30">
      <c r="A98" s="124" t="s">
        <v>46</v>
      </c>
      <c r="B98" s="86">
        <f>'Bureaux - AME'!H127+'CaHoREs - AME'!H127+'Commerce - AME'!H127+'Enseignement - AME'!H127+'Santé social - AME'!H127+'Sport Loisir Culture - AME'!H127+'Transport - AME'!H127</f>
        <v>9195.0988158877972</v>
      </c>
      <c r="C98" s="86">
        <f>'Bureaux - AME'!I127+'CaHoREs - AME'!I127+'Commerce - AME'!I127+'Enseignement - AME'!I127+'Santé social - AME'!I127+'Sport Loisir Culture - AME'!I127+'Transport - AME'!I127</f>
        <v>6909.9241139897831</v>
      </c>
      <c r="D98" s="86">
        <f>'Bureaux - AME'!J127+'CaHoREs - AME'!J127+'Commerce - AME'!J127+'Enseignement - AME'!J127+'Santé social - AME'!J127+'Sport Loisir Culture - AME'!J127+'Transport - AME'!J127</f>
        <v>5455.2332800261493</v>
      </c>
      <c r="E98" s="86">
        <f>'Bureaux - AME'!K127+'CaHoREs - AME'!K127+'Commerce - AME'!K127+'Enseignement - AME'!K127+'Santé social - AME'!K127+'Sport Loisir Culture - AME'!K127+'Transport - AME'!K127</f>
        <v>4046.2273051491525</v>
      </c>
      <c r="O98" s="181"/>
      <c r="X98" s="124" t="s">
        <v>46</v>
      </c>
      <c r="Y98" s="86">
        <f>'Bureaux - AMS'!H127+'CaHoREs - AMS'!H127+'Commerce - AMS'!H127+'Enseignement - AMS'!H127+'Santé social - AMS'!H127+'Sport Loisir Culture - AMS'!H127+'Transport - AMS'!H127</f>
        <v>1982.5970798164833</v>
      </c>
      <c r="Z98" s="86">
        <f>'Bureaux - AMS'!I127+'CaHoREs - AMS'!I127+'Commerce - AMS'!I127+'Enseignement - AMS'!I127+'Santé social - AMS'!I127+'Sport Loisir Culture - AMS'!I127+'Transport - AMS'!I127</f>
        <v>1060.0354331916919</v>
      </c>
      <c r="AA98" s="86">
        <f>'Bureaux - AMS'!J127+'CaHoREs - AMS'!J127+'Commerce - AMS'!J127+'Enseignement - AMS'!J127+'Santé social - AMS'!J127+'Sport Loisir Culture - AMS'!J127+'Transport - AMS'!J127</f>
        <v>693.61101996576963</v>
      </c>
      <c r="AB98" s="86">
        <f>'Bureaux - AMS'!K127+'CaHoREs - AMS'!K127+'Commerce - AMS'!K127+'Enseignement - AMS'!K127+'Santé social - AMS'!K127+'Sport Loisir Culture - AMS'!K127+'Transport - AMS'!K127</f>
        <v>586.61881586736911</v>
      </c>
    </row>
    <row r="99" spans="1:30">
      <c r="A99" s="124" t="s">
        <v>47</v>
      </c>
      <c r="B99" s="86">
        <f>'Bureaux - AME'!H128+'CaHoREs - AME'!H128+'Commerce - AME'!H128+'Enseignement - AME'!H128+'Santé social - AME'!H128+'Sport Loisir Culture - AME'!H128+'Transport - AME'!H128</f>
        <v>1906.7890903026712</v>
      </c>
      <c r="C99" s="86">
        <f>'Bureaux - AME'!I128+'CaHoREs - AME'!I128+'Commerce - AME'!I128+'Enseignement - AME'!I128+'Santé social - AME'!I128+'Sport Loisir Culture - AME'!I128+'Transport - AME'!I128</f>
        <v>2967.0521594826173</v>
      </c>
      <c r="D99" s="86">
        <f>'Bureaux - AME'!J128+'CaHoREs - AME'!J128+'Commerce - AME'!J128+'Enseignement - AME'!J128+'Santé social - AME'!J128+'Sport Loisir Culture - AME'!J128+'Transport - AME'!J128</f>
        <v>4262.1098486524752</v>
      </c>
      <c r="E99" s="86">
        <f>'Bureaux - AME'!K128+'CaHoREs - AME'!K128+'Commerce - AME'!K128+'Enseignement - AME'!K128+'Santé social - AME'!K128+'Sport Loisir Culture - AME'!K128+'Transport - AME'!K128</f>
        <v>4989.1781380424372</v>
      </c>
      <c r="O99" s="181"/>
      <c r="X99" s="124" t="s">
        <v>47</v>
      </c>
      <c r="Y99" s="86">
        <f>'Bureaux - AMS'!H128+'CaHoREs - AMS'!H128+'Commerce - AMS'!H128+'Enseignement - AMS'!H128+'Santé social - AMS'!H128+'Sport Loisir Culture - AMS'!H128+'Transport - AMS'!H128</f>
        <v>448.24616001178532</v>
      </c>
      <c r="Z99" s="86">
        <f>'Bureaux - AMS'!I128+'CaHoREs - AMS'!I128+'Commerce - AMS'!I128+'Enseignement - AMS'!I128+'Santé social - AMS'!I128+'Sport Loisir Culture - AMS'!I128+'Transport - AMS'!I128</f>
        <v>1291.395074758743</v>
      </c>
      <c r="AA99" s="86">
        <f>'Bureaux - AMS'!J128+'CaHoREs - AMS'!J128+'Commerce - AMS'!J128+'Enseignement - AMS'!J128+'Santé social - AMS'!J128+'Sport Loisir Culture - AMS'!J128+'Transport - AMS'!J128</f>
        <v>2113.6986119763219</v>
      </c>
      <c r="AB99" s="86">
        <f>'Bureaux - AMS'!K128+'CaHoREs - AMS'!K128+'Commerce - AMS'!K128+'Enseignement - AMS'!K128+'Santé social - AMS'!K128+'Sport Loisir Culture - AMS'!K128+'Transport - AMS'!K128</f>
        <v>2304.0709945824424</v>
      </c>
    </row>
    <row r="100" spans="1:30">
      <c r="A100" s="12" t="s">
        <v>17</v>
      </c>
      <c r="B100" s="13">
        <f>SUM(B93:B99)</f>
        <v>61932.949334381257</v>
      </c>
      <c r="C100" s="13">
        <f t="shared" ref="C100:E100" si="39">SUM(C93:C99)</f>
        <v>54449.460117071605</v>
      </c>
      <c r="D100" s="13">
        <f t="shared" si="39"/>
        <v>51390.543962751442</v>
      </c>
      <c r="E100" s="13">
        <f t="shared" si="39"/>
        <v>46791.768485286644</v>
      </c>
      <c r="O100" s="181"/>
      <c r="X100" s="12" t="s">
        <v>17</v>
      </c>
      <c r="Y100" s="13">
        <f>SUM(Y93:Y99)</f>
        <v>12040.924490450903</v>
      </c>
      <c r="Z100" s="13">
        <f t="shared" ref="Z100:AB100" si="40">SUM(Z93:Z99)</f>
        <v>9526.4219225559118</v>
      </c>
      <c r="AA100" s="13">
        <f t="shared" si="40"/>
        <v>7497.8039540906739</v>
      </c>
      <c r="AB100" s="13">
        <f t="shared" si="40"/>
        <v>5836.4186805850159</v>
      </c>
    </row>
    <row r="101" spans="1:30" ht="22.5">
      <c r="A101" s="179" t="s">
        <v>104</v>
      </c>
      <c r="B101" s="180">
        <f>B100/$B100-1</f>
        <v>0</v>
      </c>
      <c r="C101" s="180">
        <f>C100/$B100-1</f>
        <v>-0.12083211437107022</v>
      </c>
      <c r="D101" s="180">
        <f>D100/$B100-1</f>
        <v>-0.17022288595865942</v>
      </c>
      <c r="E101" s="180">
        <f>E100/$B100-1</f>
        <v>-0.24447698699679377</v>
      </c>
      <c r="O101" s="181"/>
      <c r="X101" s="309" t="s">
        <v>289</v>
      </c>
      <c r="Y101" s="180">
        <f>Y100/$Y100-1</f>
        <v>0</v>
      </c>
      <c r="Z101" s="180">
        <f t="shared" ref="Z101" si="41">Z100/$Y100-1</f>
        <v>-0.20882969325894585</v>
      </c>
      <c r="AA101" s="180">
        <f t="shared" ref="AA101" si="42">AA100/$Y100-1</f>
        <v>-0.37730662126177827</v>
      </c>
      <c r="AB101" s="180">
        <f t="shared" ref="AB101" si="43">AB100/$Y100-1</f>
        <v>-0.51528483670721403</v>
      </c>
    </row>
    <row r="102" spans="1:30">
      <c r="O102" s="181"/>
    </row>
    <row r="103" spans="1:30">
      <c r="O103" s="181"/>
      <c r="Y103" s="178"/>
      <c r="Z103" s="178"/>
      <c r="AA103" s="178"/>
      <c r="AB103" s="178"/>
    </row>
    <row r="104" spans="1:30">
      <c r="O104" s="181"/>
    </row>
    <row r="105" spans="1:30">
      <c r="O105" s="181"/>
    </row>
    <row r="106" spans="1:30" ht="14.45" customHeight="1">
      <c r="A106" s="483" t="s">
        <v>199</v>
      </c>
      <c r="B106" s="483"/>
      <c r="C106" s="483"/>
      <c r="D106" s="483"/>
      <c r="E106" s="483"/>
      <c r="F106" s="483"/>
      <c r="G106" s="483"/>
      <c r="H106" s="483"/>
      <c r="I106" s="483"/>
      <c r="J106" s="483"/>
      <c r="K106" s="483"/>
      <c r="L106" s="483"/>
      <c r="M106" s="483"/>
      <c r="N106" s="483"/>
      <c r="O106" s="181"/>
      <c r="P106" s="483" t="s">
        <v>199</v>
      </c>
      <c r="Q106" s="483"/>
      <c r="R106" s="483"/>
      <c r="S106" s="483"/>
      <c r="T106" s="483"/>
      <c r="U106" s="483"/>
      <c r="V106" s="483"/>
      <c r="W106" s="483"/>
      <c r="X106" s="483"/>
      <c r="Y106" s="483"/>
      <c r="Z106" s="483"/>
      <c r="AA106" s="483"/>
      <c r="AB106" s="483"/>
      <c r="AC106" s="483"/>
      <c r="AD106" s="230"/>
    </row>
    <row r="107" spans="1:30" ht="14.45" customHeight="1">
      <c r="A107" s="483"/>
      <c r="B107" s="483"/>
      <c r="C107" s="483"/>
      <c r="D107" s="483"/>
      <c r="E107" s="483"/>
      <c r="F107" s="483"/>
      <c r="G107" s="483"/>
      <c r="H107" s="483"/>
      <c r="I107" s="483"/>
      <c r="J107" s="483"/>
      <c r="K107" s="483"/>
      <c r="L107" s="483"/>
      <c r="M107" s="483"/>
      <c r="N107" s="483"/>
      <c r="O107" s="181"/>
      <c r="P107" s="483"/>
      <c r="Q107" s="483"/>
      <c r="R107" s="483"/>
      <c r="S107" s="483"/>
      <c r="T107" s="483"/>
      <c r="U107" s="483"/>
      <c r="V107" s="483"/>
      <c r="W107" s="483"/>
      <c r="X107" s="483"/>
      <c r="Y107" s="483"/>
      <c r="Z107" s="483"/>
      <c r="AA107" s="483"/>
      <c r="AB107" s="483"/>
      <c r="AC107" s="483"/>
      <c r="AD107" s="230"/>
    </row>
    <row r="108" spans="1:30">
      <c r="O108" s="181"/>
    </row>
    <row r="109" spans="1:30">
      <c r="O109" s="181"/>
    </row>
    <row r="110" spans="1:30">
      <c r="O110" s="181"/>
    </row>
    <row r="111" spans="1:30">
      <c r="O111" s="181"/>
    </row>
    <row r="112" spans="1:30">
      <c r="A112" s="478" t="s">
        <v>60</v>
      </c>
      <c r="B112" s="479"/>
      <c r="C112" s="479"/>
      <c r="D112" s="479"/>
      <c r="E112" s="479"/>
      <c r="O112" s="181"/>
      <c r="X112" s="478" t="s">
        <v>215</v>
      </c>
      <c r="Y112" s="479"/>
      <c r="Z112" s="479"/>
      <c r="AA112" s="479"/>
      <c r="AB112" s="479"/>
    </row>
    <row r="113" spans="1:38">
      <c r="A113" s="8" t="s">
        <v>20</v>
      </c>
      <c r="B113" s="9">
        <v>2020</v>
      </c>
      <c r="C113" s="9">
        <v>2030</v>
      </c>
      <c r="D113" s="9">
        <v>2040</v>
      </c>
      <c r="E113" s="9">
        <v>2050</v>
      </c>
      <c r="O113" s="181"/>
      <c r="X113" s="8" t="s">
        <v>20</v>
      </c>
      <c r="Y113" s="9">
        <v>2020</v>
      </c>
      <c r="Z113" s="9">
        <v>2021</v>
      </c>
      <c r="AA113" s="9">
        <v>2022</v>
      </c>
      <c r="AB113" s="9">
        <v>2023</v>
      </c>
    </row>
    <row r="114" spans="1:38">
      <c r="A114" s="124" t="s">
        <v>176</v>
      </c>
      <c r="B114" s="225">
        <f>'Hors chauffage - AME'!E6*1000</f>
        <v>135185.90450817489</v>
      </c>
      <c r="C114" s="225">
        <f>'Hors chauffage - AME'!F6*1000</f>
        <v>143571.48465130985</v>
      </c>
      <c r="D114" s="225">
        <f>'Hors chauffage - AME'!G6*1000</f>
        <v>166296.47997488041</v>
      </c>
      <c r="E114" s="225">
        <f>'Hors chauffage - AME'!H6*1000</f>
        <v>196606.62358904525</v>
      </c>
      <c r="O114" s="181"/>
      <c r="X114" s="124" t="s">
        <v>176</v>
      </c>
      <c r="Y114" s="225">
        <f>'Hors chauffage - AMS'!E6*1000</f>
        <v>128079.98349568721</v>
      </c>
      <c r="Z114" s="225">
        <f>'Hors chauffage - AMS'!F6*1000</f>
        <v>116041.44804383353</v>
      </c>
      <c r="AA114" s="225">
        <f>'Hors chauffage - AMS'!G6*1000</f>
        <v>115426.50807747479</v>
      </c>
      <c r="AB114" s="225">
        <f>'Hors chauffage - AMS'!H6*1000</f>
        <v>116065.40866830367</v>
      </c>
    </row>
    <row r="115" spans="1:38">
      <c r="A115" s="124" t="s">
        <v>76</v>
      </c>
      <c r="B115" s="225">
        <f>'Hors chauffage - AME'!E7*1000</f>
        <v>16918.432156631196</v>
      </c>
      <c r="C115" s="225">
        <f>'Hors chauffage - AME'!F7*1000</f>
        <v>14402.066372549833</v>
      </c>
      <c r="D115" s="225">
        <f>'Hors chauffage - AME'!G7*1000</f>
        <v>13527.232268561685</v>
      </c>
      <c r="E115" s="225">
        <f>'Hors chauffage - AME'!H7*1000</f>
        <v>12627.611524259042</v>
      </c>
      <c r="O115" s="181"/>
      <c r="X115" s="124" t="s">
        <v>76</v>
      </c>
      <c r="Y115" s="225">
        <f>'Hors chauffage - AMS'!E7*1000</f>
        <v>17051.351069612236</v>
      </c>
      <c r="Z115" s="225">
        <f>'Hors chauffage - AMS'!F7*1000</f>
        <v>9743.2810929397365</v>
      </c>
      <c r="AA115" s="225">
        <f>'Hors chauffage - AMS'!G7*1000</f>
        <v>4108.0765251679504</v>
      </c>
      <c r="AB115" s="225">
        <f>'Hors chauffage - AMS'!H7*1000</f>
        <v>835.87520013279232</v>
      </c>
    </row>
    <row r="116" spans="1:38">
      <c r="A116" s="124" t="s">
        <v>177</v>
      </c>
      <c r="B116" s="225">
        <f>'Hors chauffage - AME'!E8*1000</f>
        <v>4958.7960253733008</v>
      </c>
      <c r="C116" s="225">
        <f>'Hors chauffage - AME'!F8*1000</f>
        <v>3883.0438834044844</v>
      </c>
      <c r="D116" s="225">
        <f>'Hors chauffage - AME'!G8*1000</f>
        <v>3298.4830966687159</v>
      </c>
      <c r="E116" s="225">
        <f>'Hors chauffage - AME'!H8*1000</f>
        <v>2934.6220514475667</v>
      </c>
      <c r="O116" s="181"/>
      <c r="X116" s="124" t="s">
        <v>177</v>
      </c>
      <c r="Y116" s="225">
        <f>'Hors chauffage - AMS'!E8*1000</f>
        <v>4958.7960253733008</v>
      </c>
      <c r="Z116" s="225">
        <f>'Hors chauffage - AMS'!F8*1000</f>
        <v>244.52002293735907</v>
      </c>
      <c r="AA116" s="225">
        <f>'Hors chauffage - AMS'!G8*1000</f>
        <v>0</v>
      </c>
      <c r="AB116" s="225">
        <f>'Hors chauffage - AMS'!H8*1000</f>
        <v>0</v>
      </c>
    </row>
    <row r="117" spans="1:38">
      <c r="A117" s="124" t="s">
        <v>133</v>
      </c>
      <c r="B117" s="225">
        <f>'Hors chauffage - AME'!E9*1000</f>
        <v>214.6153499104517</v>
      </c>
      <c r="C117" s="225">
        <f>'Hors chauffage - AME'!F9*1000</f>
        <v>237.24516632789317</v>
      </c>
      <c r="D117" s="225">
        <f>'Hors chauffage - AME'!G9*1000</f>
        <v>247.32151527102963</v>
      </c>
      <c r="E117" s="225">
        <f>'Hors chauffage - AME'!H9*1000</f>
        <v>253.94561321281111</v>
      </c>
      <c r="O117" s="181"/>
      <c r="X117" s="124" t="s">
        <v>133</v>
      </c>
      <c r="Y117" s="225">
        <f>'Hors chauffage - AMS'!E9*1000</f>
        <v>214.6153499104517</v>
      </c>
      <c r="Z117" s="225">
        <f>'Hors chauffage - AMS'!F9*1000</f>
        <v>663.01904787483431</v>
      </c>
      <c r="AA117" s="225">
        <f>'Hors chauffage - AMS'!G9*1000</f>
        <v>533.48745170182087</v>
      </c>
      <c r="AB117" s="225">
        <f>'Hors chauffage - AMS'!H9*1000</f>
        <v>436.08334641640846</v>
      </c>
    </row>
    <row r="118" spans="1:38">
      <c r="A118" s="124" t="s">
        <v>178</v>
      </c>
      <c r="B118" s="225">
        <f>'Hors chauffage - AME'!E10*1000</f>
        <v>1550.4931364675845</v>
      </c>
      <c r="C118" s="225">
        <f>'Hors chauffage - AME'!F10*1000</f>
        <v>1705.013329449637</v>
      </c>
      <c r="D118" s="225">
        <f>'Hors chauffage - AME'!G10*1000</f>
        <v>1647.084315696889</v>
      </c>
      <c r="E118" s="225">
        <f>'Hors chauffage - AME'!H10*1000</f>
        <v>1557.3658025191423</v>
      </c>
      <c r="O118" s="181"/>
      <c r="X118" s="124" t="s">
        <v>178</v>
      </c>
      <c r="Y118" s="225">
        <f>'Hors chauffage - AMS'!E10*1000</f>
        <v>1550.4931364675845</v>
      </c>
      <c r="Z118" s="225">
        <f>'Hors chauffage - AMS'!F10*1000</f>
        <v>3511.2270385742158</v>
      </c>
      <c r="AA118" s="225">
        <f>'Hors chauffage - AMS'!G10*1000</f>
        <v>3436.1166994956225</v>
      </c>
      <c r="AB118" s="225">
        <f>'Hors chauffage - AMS'!H10*1000</f>
        <v>3059.0484809762529</v>
      </c>
    </row>
    <row r="119" spans="1:38">
      <c r="A119" s="231" t="s">
        <v>201</v>
      </c>
      <c r="B119" s="225">
        <v>0</v>
      </c>
      <c r="C119" s="225">
        <v>0</v>
      </c>
      <c r="D119" s="225">
        <v>0</v>
      </c>
      <c r="E119" s="225">
        <v>0</v>
      </c>
      <c r="O119" s="181"/>
      <c r="X119" s="231" t="s">
        <v>201</v>
      </c>
      <c r="Y119" s="225">
        <f>'Hors chauffage - AMS'!E11</f>
        <v>0</v>
      </c>
      <c r="Z119" s="225">
        <f>'Hors chauffage - AMS'!F11</f>
        <v>0.10237102088032926</v>
      </c>
      <c r="AA119" s="225">
        <f>'Hors chauffage - AMS'!G11</f>
        <v>0.17748115370700243</v>
      </c>
      <c r="AB119" s="225">
        <f>'Hors chauffage - AMS'!H11</f>
        <v>0.22978421623662629</v>
      </c>
    </row>
    <row r="120" spans="1:38">
      <c r="A120" s="231" t="s">
        <v>17</v>
      </c>
      <c r="B120" s="225">
        <f>'Hors chauffage - AME'!E5*1000</f>
        <v>158828.24117655741</v>
      </c>
      <c r="C120" s="225">
        <f>'Hors chauffage - AME'!F5*1000</f>
        <v>163798.85340304166</v>
      </c>
      <c r="D120" s="225">
        <f>'Hors chauffage - AME'!G5*1000</f>
        <v>185016.60117107874</v>
      </c>
      <c r="E120" s="225">
        <f>'Hors chauffage - AME'!H5*1000</f>
        <v>213980.16858048382</v>
      </c>
      <c r="O120" s="181"/>
      <c r="X120" s="231" t="s">
        <v>17</v>
      </c>
      <c r="Y120" s="225">
        <f>'Hors chauffage - AMS'!E5*1000</f>
        <v>151855.23907705076</v>
      </c>
      <c r="Z120" s="225">
        <f>'Hors chauffage - AMS'!F5*1000</f>
        <v>130305.86626704002</v>
      </c>
      <c r="AA120" s="225">
        <f>'Hors chauffage - AMS'!G5*1000</f>
        <v>123681.66990754718</v>
      </c>
      <c r="AB120" s="225">
        <f>'Hors chauffage - AMS'!H5*1000</f>
        <v>120626.19991206576</v>
      </c>
    </row>
    <row r="121" spans="1:38">
      <c r="B121" s="232"/>
      <c r="C121" s="232"/>
      <c r="D121" s="232"/>
      <c r="E121" s="232"/>
      <c r="O121" s="181"/>
      <c r="Y121" s="232"/>
      <c r="Z121" s="232"/>
      <c r="AA121" s="232"/>
      <c r="AB121" s="232"/>
    </row>
    <row r="122" spans="1:38">
      <c r="A122" s="478" t="s">
        <v>98</v>
      </c>
      <c r="B122" s="479"/>
      <c r="C122" s="479"/>
      <c r="D122" s="479"/>
      <c r="E122" s="479"/>
      <c r="O122" s="181"/>
      <c r="X122" s="478" t="s">
        <v>98</v>
      </c>
      <c r="Y122" s="479"/>
      <c r="Z122" s="479"/>
      <c r="AA122" s="479"/>
      <c r="AB122" s="479"/>
    </row>
    <row r="123" spans="1:38" ht="18.75">
      <c r="A123" s="8" t="s">
        <v>179</v>
      </c>
      <c r="B123" s="224">
        <f>B120/$B120-1</f>
        <v>0</v>
      </c>
      <c r="C123" s="224">
        <f t="shared" ref="C123:E123" si="44">C120/$B120-1</f>
        <v>3.1295518918192933E-2</v>
      </c>
      <c r="D123" s="224">
        <f t="shared" si="44"/>
        <v>0.16488478245760918</v>
      </c>
      <c r="E123" s="185">
        <f t="shared" si="44"/>
        <v>0.34724257471703757</v>
      </c>
      <c r="F123" t="s">
        <v>376</v>
      </c>
      <c r="O123" s="181"/>
      <c r="X123" s="8" t="s">
        <v>179</v>
      </c>
      <c r="Y123" s="224">
        <f>Y120/$B120-1</f>
        <v>-4.3902784843882325E-2</v>
      </c>
      <c r="Z123" s="224">
        <f t="shared" ref="Z123:AA123" si="45">Z120/$B120-1</f>
        <v>-0.17957999596439023</v>
      </c>
      <c r="AA123" s="224">
        <f t="shared" si="45"/>
        <v>-0.22128666167083233</v>
      </c>
      <c r="AB123" s="185">
        <f>AB120/$Y120-1</f>
        <v>-0.20565006090530413</v>
      </c>
    </row>
    <row r="124" spans="1:38">
      <c r="O124" s="181"/>
    </row>
    <row r="125" spans="1:38">
      <c r="O125" s="181"/>
    </row>
    <row r="126" spans="1:38">
      <c r="O126" s="181"/>
      <c r="AI126" s="16" t="s">
        <v>180</v>
      </c>
      <c r="AJ126" s="16">
        <v>2019</v>
      </c>
      <c r="AK126" s="16" t="s">
        <v>181</v>
      </c>
      <c r="AL126" s="16" t="s">
        <v>160</v>
      </c>
    </row>
    <row r="127" spans="1:38" ht="15" customHeight="1" thickBot="1">
      <c r="A127" s="483" t="s">
        <v>212</v>
      </c>
      <c r="B127" s="483"/>
      <c r="C127" s="483"/>
      <c r="D127" s="483"/>
      <c r="E127" s="483"/>
      <c r="F127" s="483"/>
      <c r="G127" s="483"/>
      <c r="H127" s="483"/>
      <c r="I127" s="483"/>
      <c r="J127" s="483"/>
      <c r="K127" s="483"/>
      <c r="L127" s="483"/>
      <c r="M127" s="483"/>
      <c r="N127" s="483"/>
      <c r="O127" s="181"/>
      <c r="P127" s="483" t="s">
        <v>217</v>
      </c>
      <c r="Q127" s="483"/>
      <c r="R127" s="483"/>
      <c r="S127" s="483"/>
      <c r="T127" s="483"/>
      <c r="U127" s="483"/>
      <c r="V127" s="483"/>
      <c r="W127" s="483"/>
      <c r="X127" s="483"/>
      <c r="Y127" s="483"/>
      <c r="Z127" s="483"/>
      <c r="AA127" s="483"/>
      <c r="AB127" s="483"/>
      <c r="AC127" s="483"/>
      <c r="AD127" s="230"/>
      <c r="AK127" s="226">
        <v>22.4</v>
      </c>
      <c r="AL127">
        <f>AK127/86000*1000000</f>
        <v>260.46511627906972</v>
      </c>
    </row>
    <row r="128" spans="1:38" ht="14.45" customHeight="1">
      <c r="A128" s="483"/>
      <c r="B128" s="483"/>
      <c r="C128" s="483"/>
      <c r="D128" s="483"/>
      <c r="E128" s="483"/>
      <c r="F128" s="483"/>
      <c r="G128" s="483"/>
      <c r="H128" s="483"/>
      <c r="I128" s="483"/>
      <c r="J128" s="483"/>
      <c r="K128" s="483"/>
      <c r="L128" s="483"/>
      <c r="M128" s="483"/>
      <c r="N128" s="483"/>
      <c r="O128" s="181"/>
      <c r="P128" s="483"/>
      <c r="Q128" s="483"/>
      <c r="R128" s="483"/>
      <c r="S128" s="483"/>
      <c r="T128" s="483"/>
      <c r="U128" s="483"/>
      <c r="V128" s="483"/>
      <c r="W128" s="483"/>
      <c r="X128" s="483"/>
      <c r="Y128" s="483"/>
      <c r="Z128" s="483"/>
      <c r="AA128" s="483"/>
      <c r="AB128" s="483"/>
      <c r="AC128" s="483"/>
      <c r="AD128" s="230"/>
      <c r="AI128" t="s">
        <v>182</v>
      </c>
      <c r="AJ128" s="157">
        <v>0.43</v>
      </c>
      <c r="AK128">
        <f>AK$127*AJ128</f>
        <v>9.6319999999999997</v>
      </c>
      <c r="AL128" s="107">
        <f>AK128/86000*1000000</f>
        <v>112</v>
      </c>
    </row>
    <row r="129" spans="1:38">
      <c r="O129" s="181"/>
    </row>
    <row r="130" spans="1:38">
      <c r="A130" s="481" t="s">
        <v>209</v>
      </c>
      <c r="B130" s="482"/>
      <c r="C130" s="482"/>
      <c r="D130" s="482"/>
      <c r="E130" s="482"/>
      <c r="O130" s="181"/>
      <c r="X130" s="481" t="s">
        <v>216</v>
      </c>
      <c r="Y130" s="482"/>
      <c r="Z130" s="482"/>
      <c r="AA130" s="482"/>
      <c r="AB130" s="482"/>
      <c r="AI130" t="s">
        <v>183</v>
      </c>
      <c r="AJ130" s="157">
        <v>0.3</v>
      </c>
      <c r="AK130">
        <f>AK$127*AJ130</f>
        <v>6.72</v>
      </c>
      <c r="AL130" s="107">
        <f>AK130/86000*1000000</f>
        <v>78.139534883720927</v>
      </c>
    </row>
    <row r="131" spans="1:38">
      <c r="A131" s="8" t="s">
        <v>20</v>
      </c>
      <c r="B131" s="9">
        <v>2020</v>
      </c>
      <c r="C131" s="9">
        <v>2030</v>
      </c>
      <c r="D131" s="9">
        <v>2040</v>
      </c>
      <c r="E131" s="9">
        <v>2050</v>
      </c>
      <c r="O131" s="181"/>
      <c r="X131" s="8" t="s">
        <v>20</v>
      </c>
      <c r="Y131" s="9">
        <v>2020</v>
      </c>
      <c r="Z131" s="9">
        <v>2030</v>
      </c>
      <c r="AA131" s="9">
        <v>2040</v>
      </c>
      <c r="AB131" s="9">
        <v>2050</v>
      </c>
      <c r="AI131" t="s">
        <v>174</v>
      </c>
      <c r="AJ131" s="157">
        <v>0.1</v>
      </c>
      <c r="AK131">
        <f>AK$127*AJ131</f>
        <v>2.2399999999999998</v>
      </c>
      <c r="AL131" s="107">
        <f>AK131/86000*1000000</f>
        <v>26.046511627906973</v>
      </c>
    </row>
    <row r="132" spans="1:38">
      <c r="A132" s="124" t="s">
        <v>15</v>
      </c>
      <c r="B132" s="249">
        <f>B35*'Init. énergie'!$M4*10^-6</f>
        <v>6.1222742263570664</v>
      </c>
      <c r="C132" s="249">
        <f>C35*'Init. énergie'!$M4*10^-6</f>
        <v>4.4618691743810457</v>
      </c>
      <c r="D132" s="249">
        <f>D35*'Init. énergie'!$M4*10^-6</f>
        <v>3.6654336221406592</v>
      </c>
      <c r="E132" s="249">
        <f>E35*'Init. énergie'!$M4*10^-6</f>
        <v>2.9145464716030243</v>
      </c>
      <c r="O132" s="181"/>
      <c r="X132" s="124" t="s">
        <v>15</v>
      </c>
      <c r="Y132" s="283">
        <f>Y35*'Init. énergie'!M4*10^-6</f>
        <v>6.1222742263570664</v>
      </c>
      <c r="Z132" s="283">
        <f>Z35*'Init. énergie'!N4*10^-6</f>
        <v>0.44904077931061287</v>
      </c>
      <c r="AA132" s="283">
        <f>AA35*'Init. énergie'!O4*10^-6</f>
        <v>0</v>
      </c>
      <c r="AB132" s="283">
        <f>AB35*'Init. énergie'!P4*10^-6</f>
        <v>0</v>
      </c>
      <c r="AI132" t="s">
        <v>184</v>
      </c>
      <c r="AJ132" s="157">
        <v>0.09</v>
      </c>
      <c r="AK132">
        <f>AK$127*AJ132</f>
        <v>2.016</v>
      </c>
      <c r="AL132" s="107">
        <f>AK132/86000*1000000</f>
        <v>23.441860465116278</v>
      </c>
    </row>
    <row r="133" spans="1:38">
      <c r="A133" s="124" t="s">
        <v>16</v>
      </c>
      <c r="B133" s="249">
        <f>B36*'Init. énergie'!$M5*10^-6</f>
        <v>14.924105214138644</v>
      </c>
      <c r="C133" s="249">
        <f>C36*'Init. énergie'!$M5*10^-6</f>
        <v>12.129712419996673</v>
      </c>
      <c r="D133" s="249">
        <f>D36*'Init. énergie'!$M5*10^-6</f>
        <v>11.159936537700665</v>
      </c>
      <c r="E133" s="249">
        <f>E36*'Init. énergie'!$M5*10^-6</f>
        <v>10.048325325998642</v>
      </c>
      <c r="O133" s="181"/>
      <c r="X133" s="124" t="s">
        <v>16</v>
      </c>
      <c r="Y133" s="283">
        <f>Y36*'Init. énergie'!M5*10^-6</f>
        <v>14.951382258696302</v>
      </c>
      <c r="Z133" s="283">
        <f>Z36*'Init. énergie'!N5*10^-6</f>
        <v>10.452824448363009</v>
      </c>
      <c r="AA133" s="283">
        <f>AA36*'Init. énergie'!O5*10^-6</f>
        <v>4.4425027418646419</v>
      </c>
      <c r="AB133" s="283">
        <f>AB36*'Init. énergie'!P5*10^-6</f>
        <v>0.58080977046111826</v>
      </c>
      <c r="AI133" t="s">
        <v>185</v>
      </c>
      <c r="AJ133" s="157">
        <v>0.05</v>
      </c>
      <c r="AK133">
        <f>AK$127*AJ133</f>
        <v>1.1199999999999999</v>
      </c>
      <c r="AL133" s="107">
        <f>AK133/86000*1000000</f>
        <v>13.023255813953487</v>
      </c>
    </row>
    <row r="134" spans="1:38">
      <c r="A134" s="124" t="s">
        <v>21</v>
      </c>
      <c r="B134" s="249">
        <f>B37*'Init. énergie'!$M6*10^-6</f>
        <v>1.3434113209014595</v>
      </c>
      <c r="C134" s="249">
        <f>C37*'Init. énergie'!$M6*10^-6</f>
        <v>1.313094947256922</v>
      </c>
      <c r="D134" s="249">
        <f>D37*'Init. énergie'!$M6*10^-6</f>
        <v>1.2458307751643554</v>
      </c>
      <c r="E134" s="249">
        <f>E37*'Init. énergie'!$M6*10^-6</f>
        <v>1.1210131126474054</v>
      </c>
      <c r="O134" s="181"/>
      <c r="X134" s="124" t="s">
        <v>21</v>
      </c>
      <c r="Y134" s="283">
        <f>Y37*'Init. énergie'!M6*10^-6</f>
        <v>1.3434113209014593</v>
      </c>
      <c r="Z134" s="283">
        <f>Z37*'Init. énergie'!N6*10^-6</f>
        <v>2.1632148118780381</v>
      </c>
      <c r="AA134" s="283">
        <f>AA37*'Init. énergie'!O6*10^-6</f>
        <v>1.5841162962870432</v>
      </c>
      <c r="AB134" s="283">
        <f>AB37*'Init. énergie'!P6*10^-6</f>
        <v>0.9683615530004841</v>
      </c>
      <c r="AI134" t="s">
        <v>186</v>
      </c>
      <c r="AJ134" s="157">
        <v>0.04</v>
      </c>
      <c r="AK134">
        <f>AK$127*AJ134</f>
        <v>0.89599999999999991</v>
      </c>
      <c r="AL134" s="107">
        <f>AK134/86000*1000000</f>
        <v>10.41860465116279</v>
      </c>
    </row>
    <row r="135" spans="1:38">
      <c r="A135" s="124" t="s">
        <v>22</v>
      </c>
      <c r="B135" s="249">
        <f>B38*'Init. énergie'!$M7*10^-6</f>
        <v>0.34481092418623072</v>
      </c>
      <c r="C135" s="249">
        <f>C38*'Init. énergie'!$M7*10^-6</f>
        <v>0.29701700232998635</v>
      </c>
      <c r="D135" s="249">
        <f>D38*'Init. énergie'!$M7*10^-6</f>
        <v>0.28295246095858384</v>
      </c>
      <c r="E135" s="249">
        <f>E38*'Init. énergie'!$M7*10^-6</f>
        <v>0.26257537232669625</v>
      </c>
      <c r="O135" s="181"/>
      <c r="X135" s="124" t="s">
        <v>22</v>
      </c>
      <c r="Y135" s="283">
        <f>Y38*'Init. énergie'!M7*10^-6</f>
        <v>0.34481092418623083</v>
      </c>
      <c r="Z135" s="283">
        <f>Z38*'Init. énergie'!N7*10^-6</f>
        <v>0.20792856730071224</v>
      </c>
      <c r="AA135" s="283">
        <f>AA38*'Init. énergie'!O7*10^-6</f>
        <v>0.1174616094319624</v>
      </c>
      <c r="AB135" s="283">
        <f>AB38*'Init. énergie'!P7*10^-6</f>
        <v>1.2111459215287026E-2</v>
      </c>
    </row>
    <row r="136" spans="1:38">
      <c r="A136" s="124" t="s">
        <v>42</v>
      </c>
      <c r="B136" s="249">
        <f>B39*'Init. énergie'!$M8*10^-6</f>
        <v>0</v>
      </c>
      <c r="C136" s="249">
        <f>C39*'Init. énergie'!$M8*10^-6</f>
        <v>0</v>
      </c>
      <c r="D136" s="249">
        <f>D39*'Init. énergie'!$M8*10^-6</f>
        <v>0</v>
      </c>
      <c r="E136" s="249">
        <f>E39*'Init. énergie'!$M8*10^-6</f>
        <v>0</v>
      </c>
      <c r="O136" s="181"/>
      <c r="X136" s="124" t="s">
        <v>42</v>
      </c>
      <c r="Y136" s="283">
        <f>Y39*'Init. énergie'!M8*10^-6</f>
        <v>0</v>
      </c>
      <c r="Z136" s="283">
        <f>Z39*'Init. énergie'!N8*10^-6</f>
        <v>0</v>
      </c>
      <c r="AA136" s="283">
        <f>AA39*'Init. énergie'!O8*10^-6</f>
        <v>0</v>
      </c>
      <c r="AB136" s="283">
        <f>AB39*'Init. énergie'!P8*10^-6</f>
        <v>0</v>
      </c>
      <c r="AI136" t="s">
        <v>187</v>
      </c>
      <c r="AJ136" s="157">
        <f>SUM(AJ130:AJ134)</f>
        <v>0.58000000000000007</v>
      </c>
      <c r="AK136" s="107">
        <f t="shared" ref="AK136" si="46">SUM(AK130:AK134)</f>
        <v>12.991999999999997</v>
      </c>
      <c r="AL136" s="107">
        <f>SUM(AL130:AL134)</f>
        <v>151.06976744186045</v>
      </c>
    </row>
    <row r="137" spans="1:38">
      <c r="A137" s="124" t="s">
        <v>200</v>
      </c>
      <c r="B137" s="249">
        <f>B40*'Init. énergie'!$M9*10^-6</f>
        <v>12.068731428839392</v>
      </c>
      <c r="C137" s="249">
        <f>C40*'Init. énergie'!$M9*10^-6</f>
        <v>12.609531901296224</v>
      </c>
      <c r="D137" s="249">
        <f>D40*'Init. énergie'!$M9*10^-6</f>
        <v>14.361287755192077</v>
      </c>
      <c r="E137" s="249">
        <f>E40*'Init. énergie'!$M9*10^-6</f>
        <v>16.671340731540631</v>
      </c>
      <c r="O137" s="181"/>
      <c r="X137" s="124" t="s">
        <v>200</v>
      </c>
      <c r="Y137" s="283">
        <f>Y40*'Init. énergie'!M9*10^-6</f>
        <v>11.507363668852864</v>
      </c>
      <c r="Z137" s="283">
        <f>Z40*'Init. énergie'!N9*10^-6</f>
        <v>9.5102814565633516</v>
      </c>
      <c r="AA137" s="283">
        <f>AA40*'Init. énergie'!O9*10^-6</f>
        <v>6.502609555102671</v>
      </c>
      <c r="AB137" s="283">
        <f>AB40*'Init. énergie'!P9*10^-6</f>
        <v>7.1672307856580417</v>
      </c>
    </row>
    <row r="138" spans="1:38">
      <c r="A138" s="12" t="s">
        <v>17</v>
      </c>
      <c r="B138" s="250">
        <f>SUM(B132:B137)</f>
        <v>34.803333114422792</v>
      </c>
      <c r="C138" s="250">
        <f t="shared" ref="C138:E138" si="47">SUM(C132:C137)</f>
        <v>30.811225445260852</v>
      </c>
      <c r="D138" s="250">
        <f t="shared" si="47"/>
        <v>30.715441151156337</v>
      </c>
      <c r="E138" s="250">
        <f t="shared" si="47"/>
        <v>31.017801014116401</v>
      </c>
      <c r="O138" s="181"/>
      <c r="X138" s="12" t="s">
        <v>17</v>
      </c>
      <c r="Y138" s="284">
        <f>SUM(Y132:Y137)</f>
        <v>34.269242398993924</v>
      </c>
      <c r="Z138" s="284">
        <f>SUM(Z132:Z137)</f>
        <v>22.783290063415723</v>
      </c>
      <c r="AA138" s="284">
        <f t="shared" ref="AA138" si="48">SUM(AA132:AA137)</f>
        <v>12.646690202686319</v>
      </c>
      <c r="AB138" s="284">
        <f t="shared" ref="AB138" si="49">SUM(AB132:AB137)</f>
        <v>8.7285135683349306</v>
      </c>
    </row>
    <row r="139" spans="1:38">
      <c r="A139" s="179" t="s">
        <v>210</v>
      </c>
      <c r="B139" s="252">
        <f>SUM(B132:B136)</f>
        <v>22.734601685583399</v>
      </c>
      <c r="C139" s="252">
        <f t="shared" ref="C139:E139" si="50">SUM(C132:C136)</f>
        <v>18.201693543964627</v>
      </c>
      <c r="D139" s="252">
        <f t="shared" si="50"/>
        <v>16.354153395964261</v>
      </c>
      <c r="E139" s="252">
        <f t="shared" si="50"/>
        <v>14.346460282575768</v>
      </c>
      <c r="O139" s="181"/>
      <c r="X139" s="179" t="s">
        <v>210</v>
      </c>
      <c r="Y139" s="281">
        <f>SUM(Y132:Y136)</f>
        <v>22.76187873014106</v>
      </c>
      <c r="Z139" s="284">
        <f>SUM(Z132:Z136)</f>
        <v>13.273008606852372</v>
      </c>
      <c r="AA139" s="281">
        <f t="shared" ref="AA139:AB139" si="51">SUM(AA132:AA136)</f>
        <v>6.1440806475836469</v>
      </c>
      <c r="AB139" s="281">
        <f t="shared" si="51"/>
        <v>1.5612827826768894</v>
      </c>
    </row>
    <row r="140" spans="1:38" ht="18.75">
      <c r="A140" s="251"/>
      <c r="O140" s="181"/>
      <c r="X140" s="179" t="s">
        <v>288</v>
      </c>
      <c r="Y140" s="307">
        <f>Y132+Y133+Y135+Y136</f>
        <v>21.4184674092396</v>
      </c>
      <c r="Z140" s="288">
        <f t="shared" ref="Z140:AB140" si="52">Z132+Z133+Z135+Z136</f>
        <v>11.109793794974333</v>
      </c>
      <c r="AA140" s="307">
        <f t="shared" si="52"/>
        <v>4.5599643512966042</v>
      </c>
      <c r="AB140" s="307">
        <f t="shared" si="52"/>
        <v>0.59292122967640526</v>
      </c>
    </row>
    <row r="141" spans="1:38">
      <c r="A141" s="308"/>
      <c r="O141" s="181"/>
      <c r="X141" s="308"/>
      <c r="Y141" s="307"/>
      <c r="Z141" s="307"/>
      <c r="AA141" s="307"/>
      <c r="AB141" s="307"/>
    </row>
    <row r="142" spans="1:38">
      <c r="A142" s="478" t="s">
        <v>98</v>
      </c>
      <c r="B142" s="479"/>
      <c r="C142" s="479"/>
      <c r="D142" s="479"/>
      <c r="E142" s="479"/>
      <c r="O142" s="181"/>
      <c r="X142" s="478" t="s">
        <v>98</v>
      </c>
      <c r="Y142" s="479"/>
      <c r="Z142" s="479"/>
      <c r="AA142" s="479"/>
      <c r="AB142" s="479"/>
    </row>
    <row r="143" spans="1:38" ht="18.75">
      <c r="A143" s="8" t="s">
        <v>179</v>
      </c>
      <c r="B143" s="224"/>
      <c r="C143" s="185">
        <f>C139/$B139-1</f>
        <v>-0.19938366215112568</v>
      </c>
      <c r="D143" s="224">
        <f t="shared" ref="D143:E143" si="53">D139/$B139-1</f>
        <v>-0.28064922261933212</v>
      </c>
      <c r="E143" s="224">
        <f t="shared" si="53"/>
        <v>-0.36895924190863527</v>
      </c>
      <c r="O143" s="181"/>
      <c r="X143" s="8" t="s">
        <v>290</v>
      </c>
      <c r="Y143" s="224"/>
      <c r="Z143" s="185">
        <f>Z140/$B139-1</f>
        <v>-0.511326657549521</v>
      </c>
      <c r="AA143" s="224">
        <f t="shared" ref="AA143:AB143" si="54">AA139/$B139-1</f>
        <v>-0.72974760092323199</v>
      </c>
      <c r="AB143" s="224">
        <f t="shared" si="54"/>
        <v>-0.93132570324876462</v>
      </c>
    </row>
    <row r="144" spans="1:38">
      <c r="O144" s="181"/>
    </row>
    <row r="145" spans="1:30">
      <c r="O145" s="181"/>
    </row>
    <row r="146" spans="1:30">
      <c r="O146" s="181"/>
    </row>
    <row r="147" spans="1:30">
      <c r="O147" s="181"/>
    </row>
    <row r="148" spans="1:30">
      <c r="O148" s="181"/>
    </row>
    <row r="149" spans="1:30">
      <c r="A149" s="483" t="s">
        <v>224</v>
      </c>
      <c r="B149" s="483"/>
      <c r="C149" s="483"/>
      <c r="D149" s="483"/>
      <c r="E149" s="483"/>
      <c r="F149" s="483"/>
      <c r="G149" s="483"/>
      <c r="H149" s="483"/>
      <c r="I149" s="483"/>
      <c r="J149" s="483"/>
      <c r="K149" s="483"/>
      <c r="L149" s="483"/>
      <c r="M149" s="483"/>
      <c r="N149" s="483"/>
      <c r="O149" s="181"/>
      <c r="P149" s="483" t="s">
        <v>224</v>
      </c>
      <c r="Q149" s="483"/>
      <c r="R149" s="483"/>
      <c r="S149" s="483"/>
      <c r="T149" s="483"/>
      <c r="U149" s="483"/>
      <c r="V149" s="483"/>
      <c r="W149" s="483"/>
      <c r="X149" s="483"/>
      <c r="Y149" s="483"/>
      <c r="Z149" s="483"/>
      <c r="AA149" s="483"/>
      <c r="AB149" s="483"/>
      <c r="AC149" s="483"/>
    </row>
    <row r="150" spans="1:30">
      <c r="A150" s="483"/>
      <c r="B150" s="483"/>
      <c r="C150" s="483"/>
      <c r="D150" s="483"/>
      <c r="E150" s="483"/>
      <c r="F150" s="483"/>
      <c r="G150" s="483"/>
      <c r="H150" s="483"/>
      <c r="I150" s="483"/>
      <c r="J150" s="483"/>
      <c r="K150" s="483"/>
      <c r="L150" s="483"/>
      <c r="M150" s="483"/>
      <c r="N150" s="483"/>
      <c r="O150" s="181"/>
      <c r="P150" s="483"/>
      <c r="Q150" s="483"/>
      <c r="R150" s="483"/>
      <c r="S150" s="483"/>
      <c r="T150" s="483"/>
      <c r="U150" s="483"/>
      <c r="V150" s="483"/>
      <c r="W150" s="483"/>
      <c r="X150" s="483"/>
      <c r="Y150" s="483"/>
      <c r="Z150" s="483"/>
      <c r="AA150" s="483"/>
      <c r="AB150" s="483"/>
      <c r="AC150" s="483"/>
    </row>
    <row r="154" spans="1:30">
      <c r="X154" s="8" t="s">
        <v>278</v>
      </c>
      <c r="Y154" s="9">
        <v>2020</v>
      </c>
      <c r="Z154" s="9">
        <v>2030</v>
      </c>
      <c r="AA154" s="9">
        <v>2040</v>
      </c>
      <c r="AB154" s="9">
        <v>2050</v>
      </c>
      <c r="AD154" t="s">
        <v>292</v>
      </c>
    </row>
    <row r="155" spans="1:30">
      <c r="H155" s="8" t="s">
        <v>278</v>
      </c>
      <c r="I155" s="9">
        <v>2020</v>
      </c>
      <c r="J155" s="9">
        <v>2030</v>
      </c>
      <c r="K155" s="9">
        <v>2040</v>
      </c>
      <c r="L155" s="9">
        <v>2050</v>
      </c>
      <c r="M155" s="378">
        <v>2020</v>
      </c>
      <c r="N155" s="378">
        <v>2030</v>
      </c>
      <c r="O155" s="378">
        <v>2040</v>
      </c>
      <c r="P155" s="378">
        <v>2050</v>
      </c>
      <c r="X155" s="124" t="s">
        <v>15</v>
      </c>
      <c r="Y155" s="107">
        <f>'Bureaux - AMS'!H181+'CaHoREs - AMS'!H181+'Commerce - AMS'!H181+'Enseignement - AMS'!H181+'Santé social - AMS'!H181+'Sport Loisir Culture - AMS'!H181+'Transport - AMS'!H181</f>
        <v>141901.09343289433</v>
      </c>
      <c r="Z155" s="107">
        <f>'Bureaux - AMS'!I181+'CaHoREs - AMS'!I181+'Commerce - AMS'!I181+'Enseignement - AMS'!I181+'Santé social - AMS'!I181+'Sport Loisir Culture - AMS'!I181+'Transport - AMS'!I181</f>
        <v>12854.882597958662</v>
      </c>
      <c r="AA155" s="107">
        <f>'Bureaux - AMS'!J181+'CaHoREs - AMS'!J181+'Commerce - AMS'!J181+'Enseignement - AMS'!J181+'Santé social - AMS'!J181+'Sport Loisir Culture - AMS'!J181+'Transport - AMS'!J181</f>
        <v>0</v>
      </c>
      <c r="AB155" s="107">
        <f>'Bureaux - AMS'!K181+'CaHoREs - AMS'!K181+'Commerce - AMS'!K181+'Enseignement - AMS'!K181+'Santé social - AMS'!K181+'Sport Loisir Culture - AMS'!K181+'Transport - AMS'!K181</f>
        <v>0</v>
      </c>
      <c r="AD155" s="156">
        <f>Z155/Y155-1</f>
        <v>-0.90940955924319367</v>
      </c>
    </row>
    <row r="156" spans="1:30">
      <c r="H156" s="124" t="s">
        <v>15</v>
      </c>
      <c r="I156" s="107">
        <f>'Bureaux - AME'!H179+'CaHoREs - AME'!H179+'Commerce - AME'!H179+'Enseignement - AME'!H179+'Santé social - AME'!H179+'Sport Loisir Culture - AME'!H179+'Transport - AME'!H179</f>
        <v>141901.09343289433</v>
      </c>
      <c r="J156" s="107">
        <f>'Bureaux - AME'!I179+'CaHoREs - AME'!I179+'Commerce - AME'!I179+'Enseignement - AME'!I179+'Santé social - AME'!I179+'Sport Loisir Culture - AME'!I179+'Transport - AME'!I179</f>
        <v>119795.24600839353</v>
      </c>
      <c r="K156" s="107">
        <f>'Bureaux - AME'!J179+'CaHoREs - AME'!J179+'Commerce - AME'!J179+'Enseignement - AME'!J179+'Santé social - AME'!J179+'Sport Loisir Culture - AME'!J179+'Transport - AME'!J179</f>
        <v>106837.52312213337</v>
      </c>
      <c r="L156" s="107">
        <f>'Bureaux - AME'!K179+'CaHoREs - AME'!K179+'Commerce - AME'!K179+'Enseignement - AME'!K179+'Santé social - AME'!K179+'Sport Loisir Culture - AME'!K179+'Transport - AME'!K179</f>
        <v>89459.646012257595</v>
      </c>
      <c r="M156" s="379">
        <f>I156/$I$164</f>
        <v>0.14431462520428312</v>
      </c>
      <c r="N156" s="379">
        <f>J156/$J$164</f>
        <v>0.1195224482687106</v>
      </c>
      <c r="O156" s="379">
        <f>K156/$K$164</f>
        <v>0.10465905604111382</v>
      </c>
      <c r="P156" s="379">
        <f>L156/$L$164</f>
        <v>8.8623038339001689E-2</v>
      </c>
      <c r="X156" s="124" t="s">
        <v>16</v>
      </c>
      <c r="Y156" s="107">
        <f>'Bureaux - AMS'!H182+'CaHoREs - AMS'!H182+'Commerce - AMS'!H182+'Enseignement - AMS'!H182+'Santé social - AMS'!H182+'Sport Loisir Culture - AMS'!H182+'Transport - AMS'!H182</f>
        <v>454344.37842089933</v>
      </c>
      <c r="Z156" s="107">
        <f>'Bureaux - AMS'!I182+'CaHoREs - AMS'!I182+'Commerce - AMS'!I182+'Enseignement - AMS'!I182+'Santé social - AMS'!I182+'Sport Loisir Culture - AMS'!I182+'Transport - AMS'!I182</f>
        <v>374396.920570335</v>
      </c>
      <c r="AA156" s="107">
        <f>'Bureaux - AMS'!J182+'CaHoREs - AMS'!J182+'Commerce - AMS'!J182+'Enseignement - AMS'!J182+'Santé social - AMS'!J182+'Sport Loisir Culture - AMS'!J182+'Transport - AMS'!J182</f>
        <v>177323.2924555307</v>
      </c>
      <c r="AB156" s="107">
        <f>'Bureaux - AMS'!K182+'CaHoREs - AMS'!K182+'Commerce - AMS'!K182+'Enseignement - AMS'!K182+'Santé social - AMS'!K182+'Sport Loisir Culture - AMS'!K182+'Transport - AMS'!K182</f>
        <v>21762.121059560359</v>
      </c>
      <c r="AD156" s="156">
        <f t="shared" ref="AD156:AD163" si="55">Z156/Y156-1</f>
        <v>-0.1759622472460789</v>
      </c>
    </row>
    <row r="157" spans="1:30">
      <c r="H157" s="124" t="s">
        <v>16</v>
      </c>
      <c r="I157" s="107">
        <f>'Bureaux - AME'!H180+'CaHoREs - AME'!H180+'Commerce - AME'!H180+'Enseignement - AME'!H180+'Santé social - AME'!H180+'Sport Loisir Culture - AME'!H180+'Transport - AME'!H180</f>
        <v>454344.37842089933</v>
      </c>
      <c r="J157" s="107">
        <f>'Bureaux - AME'!I180+'CaHoREs - AME'!I180+'Commerce - AME'!I180+'Enseignement - AME'!I180+'Santé social - AME'!I180+'Sport Loisir Culture - AME'!I180+'Transport - AME'!I180</f>
        <v>425698.0135294536</v>
      </c>
      <c r="K157" s="107">
        <f>'Bureaux - AME'!J180+'CaHoREs - AME'!J180+'Commerce - AME'!J180+'Enseignement - AME'!J180+'Santé social - AME'!J180+'Sport Loisir Culture - AME'!J180+'Transport - AME'!J180</f>
        <v>424752.27544970828</v>
      </c>
      <c r="L157" s="107">
        <f>'Bureaux - AME'!K180+'CaHoREs - AME'!K180+'Commerce - AME'!K180+'Enseignement - AME'!K180+'Santé social - AME'!K180+'Sport Loisir Culture - AME'!K180+'Transport - AME'!K180</f>
        <v>411072.66227964632</v>
      </c>
      <c r="M157" s="379">
        <f t="shared" ref="M157:M160" si="56">I157/$I$164</f>
        <v>0.46207211727013742</v>
      </c>
      <c r="N157" s="379">
        <f t="shared" ref="N157:N160" si="57">J157/$J$164</f>
        <v>0.42472861399359713</v>
      </c>
      <c r="O157" s="379">
        <f t="shared" ref="O157:O160" si="58">K157/$K$164</f>
        <v>0.41609137783045563</v>
      </c>
      <c r="P157" s="379">
        <f>L157/$L$164</f>
        <v>0.40722839775526215</v>
      </c>
      <c r="X157" s="124" t="s">
        <v>21</v>
      </c>
      <c r="Y157" s="107">
        <f>'Bureaux - AMS'!H183+'CaHoREs - AMS'!H183+'Commerce - AMS'!H183+'Enseignement - AMS'!H183+'Santé social - AMS'!H183+'Sport Loisir Culture - AMS'!H183+'Transport - AMS'!H183</f>
        <v>71441.245547844053</v>
      </c>
      <c r="Z157" s="107">
        <f>'Bureaux - AMS'!I183+'CaHoREs - AMS'!I183+'Commerce - AMS'!I183+'Enseignement - AMS'!I183+'Santé social - AMS'!I183+'Sport Loisir Culture - AMS'!I183+'Transport - AMS'!I183</f>
        <v>187778.06218926172</v>
      </c>
      <c r="AA157" s="107">
        <f>'Bureaux - AMS'!J183+'CaHoREs - AMS'!J183+'Commerce - AMS'!J183+'Enseignement - AMS'!J183+'Santé social - AMS'!J183+'Sport Loisir Culture - AMS'!J183+'Transport - AMS'!J183</f>
        <v>227415.30910128169</v>
      </c>
      <c r="AB157" s="107">
        <f>'Bureaux - AMS'!K183+'CaHoREs - AMS'!K183+'Commerce - AMS'!K183+'Enseignement - AMS'!K183+'Santé social - AMS'!K183+'Sport Loisir Culture - AMS'!K183+'Transport - AMS'!K183</f>
        <v>236382.27092098337</v>
      </c>
      <c r="AD157" s="156">
        <f t="shared" si="55"/>
        <v>1.6284264887782105</v>
      </c>
    </row>
    <row r="158" spans="1:30">
      <c r="H158" s="124" t="s">
        <v>21</v>
      </c>
      <c r="I158" s="107">
        <f>'Bureaux - AME'!H181+'CaHoREs - AME'!H181+'Commerce - AME'!H181+'Enseignement - AME'!H181+'Santé social - AME'!H181+'Sport Loisir Culture - AME'!H181+'Transport - AME'!H181</f>
        <v>71441.245547844053</v>
      </c>
      <c r="J158" s="107">
        <f>'Bureaux - AME'!I181+'CaHoREs - AME'!I181+'Commerce - AME'!I181+'Enseignement - AME'!I181+'Santé social - AME'!I181+'Sport Loisir Culture - AME'!I181+'Transport - AME'!I181</f>
        <v>81560.511200861423</v>
      </c>
      <c r="K158" s="107">
        <f>'Bureaux - AME'!J181+'CaHoREs - AME'!J181+'Commerce - AME'!J181+'Enseignement - AME'!J181+'Santé social - AME'!J181+'Sport Loisir Culture - AME'!J181+'Transport - AME'!J181</f>
        <v>82050.115232573749</v>
      </c>
      <c r="L158" s="107">
        <f>'Bureaux - AME'!K181+'CaHoREs - AME'!K181+'Commerce - AME'!K181+'Enseignement - AME'!K181+'Santé social - AME'!K181+'Sport Loisir Culture - AME'!K181+'Transport - AME'!K181</f>
        <v>77571.216481423311</v>
      </c>
      <c r="M158" s="379">
        <f t="shared" si="56"/>
        <v>7.2656357508900593E-2</v>
      </c>
      <c r="N158" s="379">
        <f t="shared" si="57"/>
        <v>8.1374781601028887E-2</v>
      </c>
      <c r="O158" s="379">
        <f t="shared" si="58"/>
        <v>8.0377074995355902E-2</v>
      </c>
      <c r="P158" s="379">
        <f>L158/$L$164</f>
        <v>7.6845786884672362E-2</v>
      </c>
      <c r="X158" s="124" t="s">
        <v>22</v>
      </c>
      <c r="Y158" s="107">
        <f>'Bureaux - AMS'!H184+'CaHoREs - AMS'!H184+'Commerce - AMS'!H184+'Enseignement - AMS'!H184+'Santé social - AMS'!H184+'Sport Loisir Culture - AMS'!H184+'Transport - AMS'!H184</f>
        <v>14072.698497935504</v>
      </c>
      <c r="Z158" s="107">
        <f>'Bureaux - AMS'!I184+'CaHoREs - AMS'!I184+'Commerce - AMS'!I184+'Enseignement - AMS'!I184+'Santé social - AMS'!I184+'Sport Loisir Culture - AMS'!I184+'Transport - AMS'!I184</f>
        <v>10239.909292832006</v>
      </c>
      <c r="AA158" s="107">
        <f>'Bureaux - AMS'!J184+'CaHoREs - AMS'!J184+'Commerce - AMS'!J184+'Enseignement - AMS'!J184+'Santé social - AMS'!J184+'Sport Loisir Culture - AMS'!J184+'Transport - AMS'!J184</f>
        <v>6168.4832918836091</v>
      </c>
      <c r="AB158" s="107">
        <f>'Bureaux - AMS'!K184+'CaHoREs - AMS'!K184+'Commerce - AMS'!K184+'Enseignement - AMS'!K184+'Santé social - AMS'!K184+'Sport Loisir Culture - AMS'!K184+'Transport - AMS'!K184</f>
        <v>723.61470960254644</v>
      </c>
      <c r="AD158" s="156">
        <f t="shared" si="55"/>
        <v>-0.2723563789607073</v>
      </c>
    </row>
    <row r="159" spans="1:30">
      <c r="H159" s="124" t="s">
        <v>22</v>
      </c>
      <c r="I159" s="107">
        <f>'Bureaux - AME'!H182+'CaHoREs - AME'!H182+'Commerce - AME'!H182+'Enseignement - AME'!H182+'Santé social - AME'!H182+'Sport Loisir Culture - AME'!H182+'Transport - AME'!H182</f>
        <v>14072.698497935502</v>
      </c>
      <c r="J159" s="107">
        <f>'Bureaux - AME'!I182+'CaHoREs - AME'!I182+'Commerce - AME'!I182+'Enseignement - AME'!I182+'Santé social - AME'!I182+'Sport Loisir Culture - AME'!I182+'Transport - AME'!I182</f>
        <v>14397.688968434337</v>
      </c>
      <c r="K159" s="107">
        <f>'Bureaux - AME'!J182+'CaHoREs - AME'!J182+'Commerce - AME'!J182+'Enseignement - AME'!J182+'Santé social - AME'!J182+'Sport Loisir Culture - AME'!J182+'Transport - AME'!J182</f>
        <v>14836.842407550766</v>
      </c>
      <c r="L159" s="107">
        <f>'Bureaux - AME'!K182+'CaHoREs - AME'!K182+'Commerce - AME'!K182+'Enseignement - AME'!K182+'Santé social - AME'!K182+'Sport Loisir Culture - AME'!K182+'Transport - AME'!K182</f>
        <v>14844.114596695159</v>
      </c>
      <c r="M159" s="379">
        <f t="shared" si="56"/>
        <v>1.4312054686899648E-2</v>
      </c>
      <c r="N159" s="379">
        <f t="shared" si="57"/>
        <v>1.4364902550457687E-2</v>
      </c>
      <c r="O159" s="379">
        <f t="shared" si="58"/>
        <v>1.4534312249357422E-2</v>
      </c>
      <c r="P159" s="379">
        <f>L159/$L$164</f>
        <v>1.4705295579094937E-2</v>
      </c>
      <c r="X159" s="124" t="s">
        <v>42</v>
      </c>
      <c r="Y159" s="107">
        <f>'Bureaux - AMS'!H185+'CaHoREs - AMS'!H185+'Commerce - AMS'!H185+'Enseignement - AMS'!H185+'Santé social - AMS'!H185+'Sport Loisir Culture - AMS'!H185+'Transport - AMS'!H185</f>
        <v>12713.837338469146</v>
      </c>
      <c r="Z159" s="107">
        <f>'Bureaux - AMS'!I185+'CaHoREs - AMS'!I185+'Commerce - AMS'!I185+'Enseignement - AMS'!I185+'Santé social - AMS'!I185+'Sport Loisir Culture - AMS'!I185+'Transport - AMS'!I185</f>
        <v>21889.569103846479</v>
      </c>
      <c r="AA159" s="107">
        <f>'Bureaux - AMS'!J185+'CaHoREs - AMS'!J185+'Commerce - AMS'!J185+'Enseignement - AMS'!J185+'Santé social - AMS'!J185+'Sport Loisir Culture - AMS'!J185+'Transport - AMS'!J185</f>
        <v>32419.239495909082</v>
      </c>
      <c r="AB159" s="107">
        <f>'Bureaux - AMS'!K185+'CaHoREs - AMS'!K185+'Commerce - AMS'!K185+'Enseignement - AMS'!K185+'Santé social - AMS'!K185+'Sport Loisir Culture - AMS'!K185+'Transport - AMS'!K185</f>
        <v>45971.32954744211</v>
      </c>
      <c r="AD159" s="156">
        <f t="shared" si="55"/>
        <v>0.72171221961552723</v>
      </c>
    </row>
    <row r="160" spans="1:30">
      <c r="H160" s="124" t="s">
        <v>42</v>
      </c>
      <c r="I160" s="107">
        <f>'Bureaux - AME'!H183+'CaHoREs - AME'!H183+'Commerce - AME'!H183+'Enseignement - AME'!H183+'Santé social - AME'!H183+'Sport Loisir Culture - AME'!H183+'Transport - AME'!H183</f>
        <v>12713.837338469146</v>
      </c>
      <c r="J160" s="107">
        <f>'Bureaux - AME'!I183+'CaHoREs - AME'!I183+'Commerce - AME'!I183+'Enseignement - AME'!I183+'Santé social - AME'!I183+'Sport Loisir Culture - AME'!I183+'Transport - AME'!I183</f>
        <v>14667.798089274911</v>
      </c>
      <c r="K160" s="107">
        <f>'Bureaux - AME'!J183+'CaHoREs - AME'!J183+'Commerce - AME'!J183+'Enseignement - AME'!J183+'Santé social - AME'!J183+'Sport Loisir Culture - AME'!J183+'Transport - AME'!J183</f>
        <v>16053.693516742846</v>
      </c>
      <c r="L160" s="107">
        <f>'Bureaux - AME'!K183+'CaHoREs - AME'!K183+'Commerce - AME'!K183+'Enseignement - AME'!K183+'Santé social - AME'!K183+'Sport Loisir Culture - AME'!K183+'Transport - AME'!K183</f>
        <v>17005.877321405918</v>
      </c>
      <c r="M160" s="379">
        <f t="shared" si="56"/>
        <v>1.2930081270142411E-2</v>
      </c>
      <c r="N160" s="379">
        <f t="shared" si="57"/>
        <v>1.4634396578795943E-2</v>
      </c>
      <c r="O160" s="379">
        <f t="shared" si="58"/>
        <v>1.5726351195122175E-2</v>
      </c>
      <c r="P160" s="379">
        <f>L160/$L$164</f>
        <v>1.6846841956392428E-2</v>
      </c>
      <c r="X160" s="124" t="s">
        <v>46</v>
      </c>
      <c r="Y160" s="107">
        <f>'Bureaux - AMS'!H186+'CaHoREs - AMS'!H186+'Commerce - AMS'!H186+'Enseignement - AMS'!H186+'Santé social - AMS'!H186+'Sport Loisir Culture - AMS'!H186+'Transport - AMS'!H186</f>
        <v>230136.8893728843</v>
      </c>
      <c r="Z160" s="107">
        <f>'Bureaux - AMS'!I186+'CaHoREs - AMS'!I186+'Commerce - AMS'!I186+'Enseignement - AMS'!I186+'Santé social - AMS'!I186+'Sport Loisir Culture - AMS'!I186+'Transport - AMS'!I186</f>
        <v>155916.86465285215</v>
      </c>
      <c r="AA160" s="107">
        <f>'Bureaux - AMS'!J186+'CaHoREs - AMS'!J186+'Commerce - AMS'!J186+'Enseignement - AMS'!J186+'Santé social - AMS'!J186+'Sport Loisir Culture - AMS'!J186+'Transport - AMS'!J186</f>
        <v>107652.1492993209</v>
      </c>
      <c r="AB160" s="107">
        <f>'Bureaux - AMS'!K186+'CaHoREs - AMS'!K186+'Commerce - AMS'!K186+'Enseignement - AMS'!K186+'Santé social - AMS'!K186+'Sport Loisir Culture - AMS'!K186+'Transport - AMS'!K186</f>
        <v>101949.30514995787</v>
      </c>
      <c r="AD160" s="156">
        <f t="shared" si="55"/>
        <v>-0.32250381467429823</v>
      </c>
    </row>
    <row r="161" spans="8:30">
      <c r="H161" s="124" t="s">
        <v>46</v>
      </c>
      <c r="I161" s="107">
        <f>'Bureaux - AME'!H184+'CaHoREs - AME'!H184+'Commerce - AME'!H184+'Enseignement - AME'!H184+'Santé social - AME'!H184+'Sport Loisir Culture - AME'!H184+'Transport - AME'!H184</f>
        <v>230136.8893728843</v>
      </c>
      <c r="J161" s="107">
        <f>'Bureaux - AME'!I184+'CaHoREs - AME'!I184+'Commerce - AME'!I184+'Enseignement - AME'!I184+'Santé social - AME'!I184+'Sport Loisir Culture - AME'!I184+'Transport - AME'!I184</f>
        <v>197786.28475220225</v>
      </c>
      <c r="K161" s="107">
        <f>'Bureaux - AME'!J184+'CaHoREs - AME'!J184+'Commerce - AME'!J184+'Enseignement - AME'!J184+'Santé social - AME'!J184+'Sport Loisir Culture - AME'!J184+'Transport - AME'!J184</f>
        <v>172616.25557423016</v>
      </c>
      <c r="L161" s="107">
        <f>'Bureaux - AME'!K184+'CaHoREs - AME'!K184+'Commerce - AME'!K184+'Enseignement - AME'!K184+'Santé social - AME'!K184+'Sport Loisir Culture - AME'!K184+'Transport - AME'!K184</f>
        <v>139920.91422536096</v>
      </c>
      <c r="M161" s="379">
        <f>(I161+I162)/I164</f>
        <v>0.29371476405963681</v>
      </c>
      <c r="N161" s="379">
        <f>(J161+J162)/$J$164</f>
        <v>0.34537485700740989</v>
      </c>
      <c r="O161" s="379">
        <f t="shared" ref="O161" si="59">(K161+K162)/K164</f>
        <v>0.36861182768859518</v>
      </c>
      <c r="P161" s="379">
        <f>(L161+L162)/$L$164</f>
        <v>0.39575063948557637</v>
      </c>
      <c r="X161" s="124" t="s">
        <v>47</v>
      </c>
      <c r="Y161" s="107">
        <f>'Bureaux - AMS'!H187+'CaHoREs - AMS'!H187+'Commerce - AMS'!H187+'Enseignement - AMS'!H187+'Santé social - AMS'!H187+'Sport Loisir Culture - AMS'!H187+'Transport - AMS'!H187</f>
        <v>58665.760521050746</v>
      </c>
      <c r="Z161" s="107">
        <f>'Bureaux - AMS'!I187+'CaHoREs - AMS'!I187+'Commerce - AMS'!I187+'Enseignement - AMS'!I187+'Santé social - AMS'!I187+'Sport Loisir Culture - AMS'!I187+'Transport - AMS'!I187</f>
        <v>234717.75133310686</v>
      </c>
      <c r="AA161" s="107">
        <f>'Bureaux - AMS'!J187+'CaHoREs - AMS'!J187+'Commerce - AMS'!J187+'Enseignement - AMS'!J187+'Santé social - AMS'!J187+'Sport Loisir Culture - AMS'!J187+'Transport - AMS'!J187</f>
        <v>446701.41047538118</v>
      </c>
      <c r="AB161" s="107">
        <f>'Bureaux - AMS'!K187+'CaHoREs - AMS'!K187+'Commerce - AMS'!K187+'Enseignement - AMS'!K187+'Santé social - AMS'!K187+'Sport Loisir Culture - AMS'!K187+'Transport - AMS'!K187</f>
        <v>557837.93006101123</v>
      </c>
      <c r="AD161" s="156">
        <f t="shared" si="55"/>
        <v>3.0009325584193913</v>
      </c>
    </row>
    <row r="162" spans="8:30">
      <c r="H162" s="124" t="s">
        <v>47</v>
      </c>
      <c r="I162" s="107">
        <f>'Bureaux - AME'!H185+'CaHoREs - AME'!H185+'Commerce - AME'!H185+'Enseignement - AME'!H185+'Santé social - AME'!H185+'Sport Loisir Culture - AME'!H185+'Transport - AME'!H185</f>
        <v>58665.760521050746</v>
      </c>
      <c r="J162" s="107">
        <f>'Bureaux - AME'!I185+'CaHoREs - AME'!I185+'Commerce - AME'!I185+'Enseignement - AME'!I185+'Santé social - AME'!I185+'Sport Loisir Culture - AME'!I185+'Transport - AME'!I185</f>
        <v>148376.85497280321</v>
      </c>
      <c r="K162" s="107">
        <f>'Bureaux - AME'!J185+'CaHoREs - AME'!J185+'Commerce - AME'!J185+'Enseignement - AME'!J185+'Santé social - AME'!J185+'Sport Loisir Culture - AME'!J185+'Transport - AME'!J185</f>
        <v>203668.18796500482</v>
      </c>
      <c r="L162" s="107">
        <f>'Bureaux - AME'!K185+'CaHoREs - AME'!K185+'Commerce - AME'!K185+'Enseignement - AME'!K185+'Santé social - AME'!K185+'Sport Loisir Culture - AME'!K185+'Transport - AME'!K185</f>
        <v>259565.63894468066</v>
      </c>
      <c r="M162" s="156"/>
      <c r="AD162" s="156"/>
    </row>
    <row r="163" spans="8:30">
      <c r="X163" s="12" t="s">
        <v>17</v>
      </c>
      <c r="Y163" s="254">
        <f>SUM(Y155:Y161)</f>
        <v>983275.90313197742</v>
      </c>
      <c r="Z163" s="254">
        <f t="shared" ref="Z163:AB163" si="60">SUM(Z155:Z161)</f>
        <v>997793.95974019298</v>
      </c>
      <c r="AA163" s="254">
        <f t="shared" si="60"/>
        <v>997679.88411930716</v>
      </c>
      <c r="AB163" s="254">
        <f t="shared" si="60"/>
        <v>964626.57144855754</v>
      </c>
      <c r="AD163" s="156">
        <f t="shared" si="55"/>
        <v>1.4764987692642562E-2</v>
      </c>
    </row>
    <row r="164" spans="8:30">
      <c r="H164" s="12" t="s">
        <v>17</v>
      </c>
      <c r="I164" s="254">
        <f>SUM(I156:I162)</f>
        <v>983275.90313197742</v>
      </c>
      <c r="J164" s="254">
        <f t="shared" ref="J164:L164" si="61">SUM(J156:J162)</f>
        <v>1002282.3975214232</v>
      </c>
      <c r="K164" s="254">
        <f t="shared" si="61"/>
        <v>1020814.8932679439</v>
      </c>
      <c r="L164" s="254">
        <f t="shared" si="61"/>
        <v>1009440.06986147</v>
      </c>
    </row>
    <row r="166" spans="8:30">
      <c r="X166" s="8" t="s">
        <v>407</v>
      </c>
      <c r="Y166" s="9">
        <v>2020</v>
      </c>
      <c r="Z166" s="9">
        <v>2030</v>
      </c>
      <c r="AA166" s="9">
        <v>2040</v>
      </c>
      <c r="AB166" s="9">
        <v>2050</v>
      </c>
    </row>
    <row r="167" spans="8:30">
      <c r="X167" s="124" t="s">
        <v>15</v>
      </c>
      <c r="Y167" s="397">
        <f>Y155/(10^3)</f>
        <v>141.90109343289433</v>
      </c>
      <c r="Z167" s="397">
        <f t="shared" ref="Z167:AB167" si="62">Z155/(10^3)</f>
        <v>12.854882597958662</v>
      </c>
      <c r="AA167" s="397">
        <f t="shared" si="62"/>
        <v>0</v>
      </c>
      <c r="AB167" s="397">
        <f t="shared" si="62"/>
        <v>0</v>
      </c>
    </row>
    <row r="168" spans="8:30">
      <c r="X168" s="124" t="s">
        <v>16</v>
      </c>
      <c r="Y168" s="397">
        <f t="shared" ref="Y168:AB173" si="63">Y156/(10^3)</f>
        <v>454.34437842089932</v>
      </c>
      <c r="Z168" s="397">
        <f t="shared" si="63"/>
        <v>374.396920570335</v>
      </c>
      <c r="AA168" s="397">
        <f t="shared" si="63"/>
        <v>177.32329245553069</v>
      </c>
      <c r="AB168" s="397">
        <f t="shared" si="63"/>
        <v>21.762121059560357</v>
      </c>
    </row>
    <row r="169" spans="8:30">
      <c r="X169" s="124" t="s">
        <v>21</v>
      </c>
      <c r="Y169" s="397">
        <f t="shared" si="63"/>
        <v>71.441245547844048</v>
      </c>
      <c r="Z169" s="397">
        <f t="shared" si="63"/>
        <v>187.77806218926173</v>
      </c>
      <c r="AA169" s="397">
        <f t="shared" si="63"/>
        <v>227.41530910128168</v>
      </c>
      <c r="AB169" s="397">
        <f t="shared" si="63"/>
        <v>236.38227092098336</v>
      </c>
    </row>
    <row r="170" spans="8:30">
      <c r="X170" s="124" t="s">
        <v>22</v>
      </c>
      <c r="Y170" s="397">
        <f t="shared" si="63"/>
        <v>14.072698497935503</v>
      </c>
      <c r="Z170" s="397">
        <f t="shared" si="63"/>
        <v>10.239909292832007</v>
      </c>
      <c r="AA170" s="397">
        <f t="shared" si="63"/>
        <v>6.168483291883609</v>
      </c>
      <c r="AB170" s="397">
        <f t="shared" si="63"/>
        <v>0.72361470960254648</v>
      </c>
    </row>
    <row r="171" spans="8:30">
      <c r="X171" s="124" t="s">
        <v>42</v>
      </c>
      <c r="Y171" s="397">
        <f t="shared" si="63"/>
        <v>12.713837338469146</v>
      </c>
      <c r="Z171" s="397">
        <f t="shared" si="63"/>
        <v>21.88956910384648</v>
      </c>
      <c r="AA171" s="397">
        <f t="shared" si="63"/>
        <v>32.419239495909082</v>
      </c>
      <c r="AB171" s="397">
        <f t="shared" si="63"/>
        <v>45.97132954744211</v>
      </c>
    </row>
    <row r="172" spans="8:30">
      <c r="X172" s="124" t="s">
        <v>46</v>
      </c>
      <c r="Y172" s="397">
        <f t="shared" si="63"/>
        <v>230.1368893728843</v>
      </c>
      <c r="Z172" s="397">
        <f t="shared" si="63"/>
        <v>155.91686465285215</v>
      </c>
      <c r="AA172" s="397">
        <f t="shared" si="63"/>
        <v>107.6521492993209</v>
      </c>
      <c r="AB172" s="397">
        <f t="shared" si="63"/>
        <v>101.94930514995787</v>
      </c>
    </row>
    <row r="173" spans="8:30">
      <c r="X173" s="124" t="s">
        <v>47</v>
      </c>
      <c r="Y173" s="397">
        <f t="shared" si="63"/>
        <v>58.66576052105075</v>
      </c>
      <c r="Z173" s="397">
        <f t="shared" si="63"/>
        <v>234.71775133310686</v>
      </c>
      <c r="AA173" s="397">
        <f t="shared" si="63"/>
        <v>446.70141047538118</v>
      </c>
      <c r="AB173" s="397">
        <f t="shared" si="63"/>
        <v>557.83793006101121</v>
      </c>
    </row>
    <row r="175" spans="8:30">
      <c r="X175" s="12" t="s">
        <v>17</v>
      </c>
      <c r="Y175" s="254">
        <f>SUM(Y167:Y173)</f>
        <v>983.27590313197732</v>
      </c>
      <c r="Z175" s="254">
        <f t="shared" ref="Z175:AB175" si="64">SUM(Z167:Z173)</f>
        <v>997.7939597401928</v>
      </c>
      <c r="AA175" s="254">
        <f t="shared" si="64"/>
        <v>997.67988411930708</v>
      </c>
      <c r="AB175" s="254">
        <f t="shared" si="64"/>
        <v>964.62657144855746</v>
      </c>
    </row>
  </sheetData>
  <mergeCells count="35">
    <mergeCell ref="X112:AB112"/>
    <mergeCell ref="X122:AB122"/>
    <mergeCell ref="X91:AB91"/>
    <mergeCell ref="B7:F7"/>
    <mergeCell ref="A55:E55"/>
    <mergeCell ref="A79:E79"/>
    <mergeCell ref="AD37:AK37"/>
    <mergeCell ref="A149:N150"/>
    <mergeCell ref="P149:AC150"/>
    <mergeCell ref="A127:N128"/>
    <mergeCell ref="P127:AC128"/>
    <mergeCell ref="A130:E130"/>
    <mergeCell ref="X130:AB130"/>
    <mergeCell ref="A142:E142"/>
    <mergeCell ref="X142:AB142"/>
    <mergeCell ref="A106:N107"/>
    <mergeCell ref="P106:AC107"/>
    <mergeCell ref="A112:E112"/>
    <mergeCell ref="A122:E122"/>
    <mergeCell ref="A91:E91"/>
    <mergeCell ref="P49:AC50"/>
    <mergeCell ref="A49:N50"/>
    <mergeCell ref="A1:N2"/>
    <mergeCell ref="P1:AC2"/>
    <mergeCell ref="Y7:AC7"/>
    <mergeCell ref="X55:AB55"/>
    <mergeCell ref="X79:AB79"/>
    <mergeCell ref="A3:N4"/>
    <mergeCell ref="P3:AC4"/>
    <mergeCell ref="A33:E33"/>
    <mergeCell ref="X33:AB33"/>
    <mergeCell ref="A67:E67"/>
    <mergeCell ref="X67:AB67"/>
    <mergeCell ref="A27:E27"/>
    <mergeCell ref="X27:AB2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D1ED-70FE-4417-8369-1DA3CE62F459}">
  <sheetPr>
    <tabColor rgb="FF3DB84B"/>
  </sheetPr>
  <dimension ref="A1:AL181"/>
  <sheetViews>
    <sheetView topLeftCell="Y47" zoomScale="115" zoomScaleNormal="115" workbookViewId="0">
      <selection activeCell="AC68" sqref="AC68"/>
    </sheetView>
  </sheetViews>
  <sheetFormatPr baseColWidth="10" defaultRowHeight="15"/>
  <cols>
    <col min="1" max="1" width="19.140625" customWidth="1"/>
    <col min="2" max="2" width="12.42578125" bestFit="1" customWidth="1"/>
    <col min="24" max="24" width="14.140625" customWidth="1"/>
    <col min="26" max="26" width="13" bestFit="1" customWidth="1"/>
    <col min="31" max="31" width="22.85546875" customWidth="1"/>
  </cols>
  <sheetData>
    <row r="1" spans="1:29">
      <c r="A1" s="477" t="s">
        <v>108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181"/>
      <c r="P1" s="477" t="s">
        <v>109</v>
      </c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</row>
    <row r="2" spans="1:29">
      <c r="A2" s="477"/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181"/>
      <c r="P2" s="477"/>
      <c r="Q2" s="477"/>
      <c r="R2" s="477"/>
      <c r="S2" s="477"/>
      <c r="T2" s="477"/>
      <c r="U2" s="477"/>
      <c r="V2" s="477"/>
      <c r="W2" s="477"/>
      <c r="X2" s="477"/>
      <c r="Y2" s="477"/>
      <c r="Z2" s="477"/>
      <c r="AA2" s="477"/>
      <c r="AB2" s="477"/>
      <c r="AC2" s="477"/>
    </row>
    <row r="3" spans="1:29" ht="14.45" customHeight="1">
      <c r="A3" s="483" t="s">
        <v>198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181"/>
      <c r="P3" s="483" t="s">
        <v>198</v>
      </c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</row>
    <row r="4" spans="1:29" ht="14.45" customHeight="1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181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</row>
    <row r="5" spans="1:29">
      <c r="O5" s="181"/>
    </row>
    <row r="6" spans="1:29">
      <c r="O6" s="181"/>
    </row>
    <row r="7" spans="1:29">
      <c r="A7" s="58"/>
      <c r="B7" s="478" t="s">
        <v>59</v>
      </c>
      <c r="C7" s="479"/>
      <c r="D7" s="479"/>
      <c r="E7" s="479"/>
      <c r="F7" s="480"/>
      <c r="O7" s="181"/>
      <c r="X7" s="58"/>
      <c r="Y7" s="478" t="s">
        <v>213</v>
      </c>
      <c r="Z7" s="479"/>
      <c r="AA7" s="479"/>
      <c r="AB7" s="479"/>
      <c r="AC7" s="480"/>
    </row>
    <row r="8" spans="1:29">
      <c r="A8" s="8" t="s">
        <v>27</v>
      </c>
      <c r="B8" s="9"/>
      <c r="C8" s="9">
        <v>2020</v>
      </c>
      <c r="D8" s="9">
        <v>2030</v>
      </c>
      <c r="E8" s="9">
        <v>2040</v>
      </c>
      <c r="F8" s="9">
        <v>2050</v>
      </c>
      <c r="O8" s="181"/>
      <c r="X8" s="8" t="s">
        <v>27</v>
      </c>
      <c r="Y8" s="9"/>
      <c r="Z8" s="9">
        <v>2020</v>
      </c>
      <c r="AA8" s="9">
        <v>2030</v>
      </c>
      <c r="AB8" s="9">
        <v>2040</v>
      </c>
      <c r="AC8" s="9">
        <v>2050</v>
      </c>
    </row>
    <row r="9" spans="1:29">
      <c r="A9" t="s">
        <v>0</v>
      </c>
      <c r="B9" s="83" t="s">
        <v>103</v>
      </c>
      <c r="C9" s="178">
        <f>'Bureaux - AME'!H8</f>
        <v>0</v>
      </c>
      <c r="D9" s="178">
        <f>'Bureaux - AME'!I8</f>
        <v>6206.4099090819327</v>
      </c>
      <c r="E9" s="178">
        <f>'Bureaux - AME'!J8</f>
        <v>6411.8444638873989</v>
      </c>
      <c r="F9" s="178">
        <f>'Bureaux - AME'!K8</f>
        <v>5961.6497428461562</v>
      </c>
      <c r="O9" s="181"/>
      <c r="X9" t="s">
        <v>0</v>
      </c>
      <c r="Y9" s="83" t="s">
        <v>103</v>
      </c>
      <c r="Z9" s="178">
        <f>'Bureaux - AMS'!H8</f>
        <v>0</v>
      </c>
      <c r="AA9" s="178">
        <f>'Bureaux - AMS'!I8</f>
        <v>6206.4099090819327</v>
      </c>
      <c r="AB9" s="178">
        <f>'Bureaux - AMS'!J8</f>
        <v>5920.8738890125724</v>
      </c>
      <c r="AC9" s="178">
        <f>'Bureaux - AMS'!K8</f>
        <v>5623.8458501736704</v>
      </c>
    </row>
    <row r="10" spans="1:29">
      <c r="B10" s="83" t="s">
        <v>102</v>
      </c>
      <c r="C10" s="178">
        <f>'Bureaux - AME'!H9</f>
        <v>287333.79208712652</v>
      </c>
      <c r="D10" s="178">
        <f>'Bureaux - AME'!I9</f>
        <v>269335.75939351093</v>
      </c>
      <c r="E10" s="178">
        <f>'Bureaux - AME'!J9</f>
        <v>269590.45844565687</v>
      </c>
      <c r="F10" s="178">
        <f>'Bureaux - AME'!K9</f>
        <v>263785.0239682839</v>
      </c>
      <c r="O10" s="181"/>
      <c r="Y10" s="83" t="s">
        <v>102</v>
      </c>
      <c r="Z10" s="178">
        <f>'Bureaux - AMS'!H9</f>
        <v>287333.79208712652</v>
      </c>
      <c r="AA10" s="178">
        <f>'Bureaux - AMS'!I9</f>
        <v>267908.12198964827</v>
      </c>
      <c r="AB10" s="178">
        <f>'Bureaux - AMS'!J9</f>
        <v>254442.35991532399</v>
      </c>
      <c r="AC10" s="178">
        <f>'Bureaux - AMS'!K9</f>
        <v>233249.46371632058</v>
      </c>
    </row>
    <row r="11" spans="1:29">
      <c r="A11" t="s">
        <v>48</v>
      </c>
      <c r="B11" s="83" t="s">
        <v>103</v>
      </c>
      <c r="C11" s="178">
        <f>'CaHoREs - AME'!H8</f>
        <v>0</v>
      </c>
      <c r="D11" s="178">
        <f>'CaHoREs - AME'!I8</f>
        <v>4554.2951187047984</v>
      </c>
      <c r="E11" s="178">
        <f>'CaHoREs - AME'!J8</f>
        <v>3048.0726788650627</v>
      </c>
      <c r="F11" s="178">
        <f>'CaHoREs - AME'!K8</f>
        <v>2041.8509200297726</v>
      </c>
      <c r="O11" s="181"/>
      <c r="X11" t="s">
        <v>48</v>
      </c>
      <c r="Y11" s="83" t="s">
        <v>103</v>
      </c>
      <c r="Z11" s="178">
        <f>'CaHoREs - AMS'!H8</f>
        <v>0</v>
      </c>
      <c r="AA11" s="178">
        <f>'CaHoREs - AMS'!I8</f>
        <v>4192.3289288814958</v>
      </c>
      <c r="AB11" s="178">
        <f>'CaHoREs - AMS'!J8</f>
        <v>2902.374208220388</v>
      </c>
      <c r="AC11" s="178">
        <f>'CaHoREs - AMS'!K8</f>
        <v>2027.5304070447819</v>
      </c>
    </row>
    <row r="12" spans="1:29">
      <c r="B12" s="83" t="s">
        <v>102</v>
      </c>
      <c r="C12" s="178">
        <f>'CaHoREs - AME'!H9</f>
        <v>67243.869415029592</v>
      </c>
      <c r="D12" s="178">
        <f>'CaHoREs - AME'!I9</f>
        <v>65307.245975876736</v>
      </c>
      <c r="E12" s="178">
        <f>'CaHoREs - AME'!J9</f>
        <v>67849.528711057588</v>
      </c>
      <c r="F12" s="178">
        <f>'CaHoREs - AME'!K9</f>
        <v>68171.331097608199</v>
      </c>
      <c r="O12" s="181"/>
      <c r="Y12" s="83" t="s">
        <v>102</v>
      </c>
      <c r="Z12" s="178">
        <f>'CaHoREs - AMS'!H9</f>
        <v>67243.869415029592</v>
      </c>
      <c r="AA12" s="178">
        <f>'CaHoREs - AMS'!I9</f>
        <v>65307.245975876736</v>
      </c>
      <c r="AB12" s="178">
        <f>'CaHoREs - AMS'!J9</f>
        <v>67497.987147501204</v>
      </c>
      <c r="AC12" s="178">
        <f>'CaHoREs - AMS'!K9</f>
        <v>66866.719096003129</v>
      </c>
    </row>
    <row r="13" spans="1:29">
      <c r="A13" t="s">
        <v>3</v>
      </c>
      <c r="B13" s="83" t="s">
        <v>103</v>
      </c>
      <c r="C13" s="178">
        <f>'Commerce - AME'!H8</f>
        <v>0</v>
      </c>
      <c r="D13" s="178">
        <f>'Commerce - AME'!I8</f>
        <v>13164.331097787628</v>
      </c>
      <c r="E13" s="178">
        <f>'Commerce - AME'!J8</f>
        <v>8969.5375212372728</v>
      </c>
      <c r="F13" s="178">
        <f>'Commerce - AME'!K8</f>
        <v>8772.0507016362499</v>
      </c>
      <c r="O13" s="181"/>
      <c r="X13" t="s">
        <v>3</v>
      </c>
      <c r="Y13" s="83" t="s">
        <v>103</v>
      </c>
      <c r="Z13" s="178">
        <f>'Commerce - AMS'!H8</f>
        <v>0</v>
      </c>
      <c r="AA13" s="178">
        <f>'Commerce - AMS'!I8</f>
        <v>12185.884803305064</v>
      </c>
      <c r="AB13" s="178">
        <f>'Commerce - AMS'!J8</f>
        <v>8717.0415355715377</v>
      </c>
      <c r="AC13" s="178">
        <f>'Commerce - AMS'!K8</f>
        <v>8710.5279603109702</v>
      </c>
    </row>
    <row r="14" spans="1:29">
      <c r="B14" s="83" t="s">
        <v>102</v>
      </c>
      <c r="C14" s="178">
        <f>'Commerce - AME'!H9</f>
        <v>184229.64520786435</v>
      </c>
      <c r="D14" s="178">
        <f>'Commerce - AME'!I9</f>
        <v>175681.38967021945</v>
      </c>
      <c r="E14" s="178">
        <f>'Commerce - AME'!J9</f>
        <v>180083.27932437154</v>
      </c>
      <c r="F14" s="178">
        <f>'Commerce - AME'!K9</f>
        <v>175887.23385249983</v>
      </c>
      <c r="O14" s="181"/>
      <c r="Y14" s="83" t="s">
        <v>102</v>
      </c>
      <c r="Z14" s="178">
        <f>'Commerce - AMS'!H9</f>
        <v>184229.64520786435</v>
      </c>
      <c r="AA14" s="178">
        <f>'Commerce - AMS'!I9</f>
        <v>175681.38967021945</v>
      </c>
      <c r="AB14" s="178">
        <f>'Commerce - AMS'!J9</f>
        <v>179009.85416078556</v>
      </c>
      <c r="AC14" s="178">
        <f>'Commerce - AMS'!K9</f>
        <v>172479.99008131743</v>
      </c>
    </row>
    <row r="15" spans="1:29">
      <c r="A15" t="s">
        <v>43</v>
      </c>
      <c r="B15" s="83" t="s">
        <v>103</v>
      </c>
      <c r="C15" s="178">
        <f>'Enseignement - AME'!H8</f>
        <v>0</v>
      </c>
      <c r="D15" s="178">
        <f>'Enseignement - AME'!I8</f>
        <v>5840.7077315636325</v>
      </c>
      <c r="E15" s="178">
        <f>'Enseignement - AME'!J8</f>
        <v>3412.3997149425531</v>
      </c>
      <c r="F15" s="178">
        <f>'Enseignement - AME'!K8</f>
        <v>3380.7737398508161</v>
      </c>
      <c r="O15" s="181"/>
      <c r="X15" t="s">
        <v>43</v>
      </c>
      <c r="Y15" s="83" t="s">
        <v>103</v>
      </c>
      <c r="Z15" s="178">
        <f>'Enseignement - AMS'!H8</f>
        <v>0</v>
      </c>
      <c r="AA15" s="178">
        <f>'Enseignement - AMS'!I8</f>
        <v>4962.05556380077</v>
      </c>
      <c r="AB15" s="178">
        <f>'Enseignement - AMS'!J8</f>
        <v>3394.7194103913025</v>
      </c>
      <c r="AC15" s="178">
        <f>'Enseignement - AMS'!K8</f>
        <v>3357.062697205185</v>
      </c>
    </row>
    <row r="16" spans="1:29">
      <c r="B16" s="83" t="s">
        <v>102</v>
      </c>
      <c r="C16" s="178">
        <f>'Enseignement - AME'!H9</f>
        <v>167106.71056882737</v>
      </c>
      <c r="D16" s="178">
        <f>'Enseignement - AME'!I9</f>
        <v>163744.17685661104</v>
      </c>
      <c r="E16" s="178">
        <f>'Enseignement - AME'!J9</f>
        <v>164600.77939206138</v>
      </c>
      <c r="F16" s="178">
        <f>'Enseignement - AME'!K9</f>
        <v>158963.23681763752</v>
      </c>
      <c r="O16" s="181"/>
      <c r="Y16" s="83" t="s">
        <v>102</v>
      </c>
      <c r="Z16" s="178">
        <f>'Enseignement - AMS'!H9</f>
        <v>167106.71056882737</v>
      </c>
      <c r="AA16" s="178">
        <f>'Enseignement - AMS'!I9</f>
        <v>163744.17685661104</v>
      </c>
      <c r="AB16" s="178">
        <f>'Enseignement - AMS'!J9</f>
        <v>163440.099959646</v>
      </c>
      <c r="AC16" s="178">
        <f>'Enseignement - AMS'!K9</f>
        <v>155937.36674288791</v>
      </c>
    </row>
    <row r="17" spans="1:29">
      <c r="A17" t="s">
        <v>45</v>
      </c>
      <c r="B17" s="83" t="s">
        <v>103</v>
      </c>
      <c r="C17" s="178">
        <f>'Santé social - AME'!H8</f>
        <v>0</v>
      </c>
      <c r="D17" s="178">
        <f>'Santé social - AME'!I8</f>
        <v>22460.450940435054</v>
      </c>
      <c r="E17" s="178">
        <f>'Santé social - AME'!J8</f>
        <v>19028.37793854532</v>
      </c>
      <c r="F17" s="178">
        <f>'Santé social - AME'!K8</f>
        <v>14323.902651057895</v>
      </c>
      <c r="O17" s="181"/>
      <c r="X17" t="s">
        <v>45</v>
      </c>
      <c r="Y17" s="83" t="s">
        <v>103</v>
      </c>
      <c r="Z17" s="178">
        <f>'Santé social - AMS'!H8</f>
        <v>0</v>
      </c>
      <c r="AA17" s="178">
        <f>'Santé social - AMS'!I8</f>
        <v>21439.617925882485</v>
      </c>
      <c r="AB17" s="178">
        <f>'Santé social - AMS'!J8</f>
        <v>18543.245511428384</v>
      </c>
      <c r="AC17" s="178">
        <f>'Santé social - AMS'!K8</f>
        <v>11635.794006183507</v>
      </c>
    </row>
    <row r="18" spans="1:29">
      <c r="B18" s="83" t="s">
        <v>102</v>
      </c>
      <c r="C18" s="178">
        <f>'Santé social - AME'!H9</f>
        <v>179200</v>
      </c>
      <c r="D18" s="178">
        <f>'Santé social - AME'!I9</f>
        <v>174566.14878613554</v>
      </c>
      <c r="E18" s="178">
        <f>'Santé social - AME'!J9</f>
        <v>191931.77858646706</v>
      </c>
      <c r="F18" s="178">
        <f>'Santé social - AME'!K9</f>
        <v>205505.0338833245</v>
      </c>
      <c r="O18" s="181"/>
      <c r="Y18" s="83" t="s">
        <v>102</v>
      </c>
      <c r="Z18" s="178">
        <f>'Santé social - AMS'!H9</f>
        <v>179200</v>
      </c>
      <c r="AA18" s="178">
        <f>'Santé social - AMS'!I9</f>
        <v>174566.14878613554</v>
      </c>
      <c r="AB18" s="178">
        <f>'Santé social - AMS'!J9</f>
        <v>190937.34282807316</v>
      </c>
      <c r="AC18" s="178">
        <f>'Santé social - AMS'!K9</f>
        <v>204063.72517790535</v>
      </c>
    </row>
    <row r="19" spans="1:29">
      <c r="A19" t="s">
        <v>44</v>
      </c>
      <c r="B19" s="83" t="s">
        <v>103</v>
      </c>
      <c r="C19" s="178">
        <f>'Sport Loisir Culture - AME'!H8</f>
        <v>0</v>
      </c>
      <c r="D19" s="178">
        <f>'Sport Loisir Culture - AME'!I8</f>
        <v>3336.8292087326572</v>
      </c>
      <c r="E19" s="178">
        <f>'Sport Loisir Culture - AME'!J8</f>
        <v>2051.9847254707638</v>
      </c>
      <c r="F19" s="178">
        <f>'Sport Loisir Culture - AME'!K8</f>
        <v>1198.8500763051807</v>
      </c>
      <c r="O19" s="181"/>
      <c r="X19" t="s">
        <v>44</v>
      </c>
      <c r="Y19" s="83" t="s">
        <v>103</v>
      </c>
      <c r="Z19" s="178">
        <f>'Sport Loisir Culture - AMS'!H8</f>
        <v>0</v>
      </c>
      <c r="AA19" s="178">
        <f>'Sport Loisir Culture - AMS'!I8</f>
        <v>3032.6506608058498</v>
      </c>
      <c r="AB19" s="178">
        <f>'Sport Loisir Culture - AMS'!J8</f>
        <v>1932.1865496032522</v>
      </c>
      <c r="AC19" s="178">
        <f>'Sport Loisir Culture - AMS'!K8</f>
        <v>1190.4419462520159</v>
      </c>
    </row>
    <row r="20" spans="1:29">
      <c r="B20" s="83" t="s">
        <v>102</v>
      </c>
      <c r="C20" s="178">
        <f>'Sport Loisir Culture - AME'!H9</f>
        <v>56508.434021496723</v>
      </c>
      <c r="D20" s="178">
        <f>'Sport Loisir Culture - AME'!I9</f>
        <v>55371.36709117992</v>
      </c>
      <c r="E20" s="178">
        <f>'Sport Loisir Culture - AME'!J9</f>
        <v>57526.865588716733</v>
      </c>
      <c r="F20" s="178">
        <f>'Sport Loisir Culture - AME'!K9</f>
        <v>57804.847926181203</v>
      </c>
      <c r="O20" s="181"/>
      <c r="Y20" s="83" t="s">
        <v>102</v>
      </c>
      <c r="Z20" s="178">
        <f>'Sport Loisir Culture - AMS'!H9</f>
        <v>56508.434021496723</v>
      </c>
      <c r="AA20" s="178">
        <f>'Sport Loisir Culture - AMS'!I9</f>
        <v>55371.36709117992</v>
      </c>
      <c r="AB20" s="178">
        <f>'Sport Loisir Culture - AMS'!J9</f>
        <v>57228.807744252132</v>
      </c>
      <c r="AC20" s="178">
        <f>'Sport Loisir Culture - AMS'!K9</f>
        <v>56704.890169085382</v>
      </c>
    </row>
    <row r="21" spans="1:29">
      <c r="A21" t="s">
        <v>4</v>
      </c>
      <c r="B21" s="83" t="s">
        <v>103</v>
      </c>
      <c r="C21" s="178">
        <f>'Transport - AME'!H8</f>
        <v>0</v>
      </c>
      <c r="D21" s="178">
        <f>'Transport - AME'!I8</f>
        <v>2714.940071976017</v>
      </c>
      <c r="E21" s="178">
        <f>'Transport - AME'!J8</f>
        <v>1773.7602281094607</v>
      </c>
      <c r="F21" s="178">
        <f>'Transport - AME'!K8</f>
        <v>1146.2522064996804</v>
      </c>
      <c r="O21" s="181"/>
      <c r="X21" t="s">
        <v>4</v>
      </c>
      <c r="Y21" s="83" t="s">
        <v>103</v>
      </c>
      <c r="Z21" s="178">
        <f>'Transport - AMS'!H8</f>
        <v>0</v>
      </c>
      <c r="AA21" s="178">
        <f>'Transport - AMS'!I8</f>
        <v>2489.8567580842946</v>
      </c>
      <c r="AB21" s="178">
        <f>'Transport - AMS'!J8</f>
        <v>1683.7900254259353</v>
      </c>
      <c r="AC21" s="178">
        <f>'Transport - AMS'!K8</f>
        <v>1138.2129713889146</v>
      </c>
    </row>
    <row r="22" spans="1:29">
      <c r="B22" s="83" t="s">
        <v>102</v>
      </c>
      <c r="C22" s="178">
        <f>'Transport - AME'!H9</f>
        <v>41814.604215450461</v>
      </c>
      <c r="D22" s="178">
        <f>'Transport - AME'!I9</f>
        <v>40727.42450584875</v>
      </c>
      <c r="E22" s="178">
        <f>'Transport - AME'!J9</f>
        <v>42312.863098801325</v>
      </c>
      <c r="F22" s="178">
        <f>'Transport - AME'!K9</f>
        <v>42514.775071010132</v>
      </c>
      <c r="O22" s="181"/>
      <c r="Y22" s="83" t="s">
        <v>102</v>
      </c>
      <c r="Z22" s="178">
        <f>'Transport - AMS'!H9</f>
        <v>41814.604215450461</v>
      </c>
      <c r="AA22" s="178">
        <f>'Transport - AMS'!I9</f>
        <v>40727.42450584875</v>
      </c>
      <c r="AB22" s="178">
        <f>'Transport - AMS'!J9</f>
        <v>42093.631951070784</v>
      </c>
      <c r="AC22" s="178">
        <f>'Transport - AMS'!K9</f>
        <v>41702.655657247182</v>
      </c>
    </row>
    <row r="23" spans="1:29">
      <c r="A23" t="s">
        <v>17</v>
      </c>
      <c r="B23" s="83" t="s">
        <v>103</v>
      </c>
      <c r="C23" s="178">
        <f>C9+C11+C13+C15+C17+C19+C21</f>
        <v>0</v>
      </c>
      <c r="D23" s="178">
        <f t="shared" ref="D23:F24" si="0">D9+D11+D13+D15+D17+D19+D21</f>
        <v>58277.964078281715</v>
      </c>
      <c r="E23" s="178">
        <f t="shared" si="0"/>
        <v>44695.977271057833</v>
      </c>
      <c r="F23" s="178">
        <f t="shared" si="0"/>
        <v>36825.330038225744</v>
      </c>
      <c r="O23" s="181"/>
      <c r="X23" t="s">
        <v>17</v>
      </c>
      <c r="Y23" s="83" t="s">
        <v>103</v>
      </c>
      <c r="Z23" s="178">
        <f t="shared" ref="Z23:AC24" si="1">Z9+Z11+Z13+Z15+Z17+Z19+Z21</f>
        <v>0</v>
      </c>
      <c r="AA23" s="178">
        <f t="shared" si="1"/>
        <v>54508.804549841887</v>
      </c>
      <c r="AB23" s="178">
        <f t="shared" si="1"/>
        <v>43094.231129653381</v>
      </c>
      <c r="AC23" s="178">
        <f t="shared" si="1"/>
        <v>33683.415838559042</v>
      </c>
    </row>
    <row r="24" spans="1:29">
      <c r="B24" s="83" t="s">
        <v>102</v>
      </c>
      <c r="C24" s="178">
        <f>C10+C12+C14+C16+C18+C20+C22</f>
        <v>983437.0555157949</v>
      </c>
      <c r="D24" s="178">
        <f t="shared" si="0"/>
        <v>944733.51227938244</v>
      </c>
      <c r="E24" s="178">
        <f t="shared" si="0"/>
        <v>973895.55314713239</v>
      </c>
      <c r="F24" s="178">
        <f t="shared" si="0"/>
        <v>972631.48261654528</v>
      </c>
      <c r="O24" s="181"/>
      <c r="Y24" s="83" t="s">
        <v>102</v>
      </c>
      <c r="Z24" s="178">
        <f t="shared" si="1"/>
        <v>983437.0555157949</v>
      </c>
      <c r="AA24" s="178">
        <f t="shared" si="1"/>
        <v>943305.87487551966</v>
      </c>
      <c r="AB24" s="178">
        <f t="shared" si="1"/>
        <v>954650.08370665286</v>
      </c>
      <c r="AC24" s="178">
        <f t="shared" si="1"/>
        <v>931004.81064076687</v>
      </c>
    </row>
    <row r="25" spans="1:29">
      <c r="B25" s="178"/>
      <c r="C25" s="178"/>
      <c r="D25" s="178"/>
      <c r="E25" s="178"/>
      <c r="F25" s="178"/>
      <c r="O25" s="181"/>
      <c r="Y25" s="178"/>
      <c r="Z25" s="178"/>
      <c r="AA25" s="178">
        <f>AA24*0.4/7</f>
        <v>53903.192850029693</v>
      </c>
      <c r="AB25" s="178"/>
      <c r="AC25" s="178">
        <f>AC24*0.3/10</f>
        <v>27930.144319223007</v>
      </c>
    </row>
    <row r="26" spans="1:29">
      <c r="B26" s="178"/>
      <c r="C26" s="178"/>
      <c r="D26" s="178"/>
      <c r="E26" s="178"/>
      <c r="F26" s="178"/>
      <c r="O26" s="181"/>
      <c r="Y26" s="178"/>
      <c r="Z26" s="178"/>
      <c r="AA26" s="178"/>
      <c r="AB26" s="178"/>
      <c r="AC26" s="178"/>
    </row>
    <row r="27" spans="1:29">
      <c r="A27" s="481" t="s">
        <v>105</v>
      </c>
      <c r="B27" s="482"/>
      <c r="C27" s="482"/>
      <c r="D27" s="482"/>
      <c r="E27" s="482"/>
      <c r="F27" s="178"/>
      <c r="O27" s="181"/>
      <c r="X27" s="481" t="s">
        <v>214</v>
      </c>
      <c r="Y27" s="482"/>
      <c r="Z27" s="482"/>
      <c r="AA27" s="482"/>
      <c r="AB27" s="482"/>
      <c r="AC27" s="178"/>
    </row>
    <row r="28" spans="1:29">
      <c r="A28" s="8" t="s">
        <v>203</v>
      </c>
      <c r="B28" s="9">
        <v>2020</v>
      </c>
      <c r="C28" s="9">
        <v>2030</v>
      </c>
      <c r="D28" s="9">
        <v>2040</v>
      </c>
      <c r="E28" s="9">
        <v>2050</v>
      </c>
      <c r="F28" s="178"/>
      <c r="O28" s="181"/>
      <c r="X28" s="8" t="s">
        <v>203</v>
      </c>
      <c r="Y28" s="9">
        <v>2020</v>
      </c>
      <c r="Z28" s="9">
        <v>2030</v>
      </c>
      <c r="AA28" s="9">
        <v>2040</v>
      </c>
      <c r="AB28" s="9">
        <v>2050</v>
      </c>
      <c r="AC28" s="178"/>
    </row>
    <row r="29" spans="1:29">
      <c r="A29" s="124" t="s">
        <v>197</v>
      </c>
      <c r="B29" s="86">
        <f>B64</f>
        <v>100997.66743394214</v>
      </c>
      <c r="C29" s="86">
        <f t="shared" ref="C29:E29" si="2">C64</f>
        <v>82779.17705973344</v>
      </c>
      <c r="D29" s="86">
        <f t="shared" si="2"/>
        <v>75656.355117339903</v>
      </c>
      <c r="E29" s="86">
        <f t="shared" si="2"/>
        <v>66876.447749426385</v>
      </c>
      <c r="F29" s="178"/>
      <c r="O29" s="181"/>
      <c r="X29" s="124" t="s">
        <v>197</v>
      </c>
      <c r="Y29" s="86">
        <f>Y69</f>
        <v>100997.66743394214</v>
      </c>
      <c r="Z29" s="86">
        <f>Z69</f>
        <v>81145.038469803549</v>
      </c>
      <c r="AA29" s="86">
        <f>AA69</f>
        <v>62549.421812197194</v>
      </c>
      <c r="AB29" s="86">
        <f>AB69</f>
        <v>48997.735419657503</v>
      </c>
      <c r="AC29" s="178"/>
    </row>
    <row r="30" spans="1:29">
      <c r="A30" s="124" t="s">
        <v>204</v>
      </c>
      <c r="B30" s="86">
        <f>B120</f>
        <v>158828.24117655741</v>
      </c>
      <c r="C30" s="86">
        <f t="shared" ref="C30:E30" si="3">C120</f>
        <v>163798.85340304166</v>
      </c>
      <c r="D30" s="86">
        <f t="shared" si="3"/>
        <v>185016.60117107874</v>
      </c>
      <c r="E30" s="86">
        <f t="shared" si="3"/>
        <v>213980.16858048382</v>
      </c>
      <c r="F30" s="178"/>
      <c r="O30" s="181"/>
      <c r="X30" s="124" t="s">
        <v>204</v>
      </c>
      <c r="Y30" s="86">
        <f>Y120</f>
        <v>151855.23907705076</v>
      </c>
      <c r="Z30" s="86">
        <f t="shared" ref="Z30:AB30" si="4">Z120</f>
        <v>130305.86626704002</v>
      </c>
      <c r="AA30" s="86">
        <f t="shared" si="4"/>
        <v>123681.66990754718</v>
      </c>
      <c r="AB30" s="86">
        <f t="shared" si="4"/>
        <v>120626.19991206576</v>
      </c>
      <c r="AC30" s="178"/>
    </row>
    <row r="31" spans="1:29">
      <c r="A31" s="12" t="s">
        <v>17</v>
      </c>
      <c r="B31" s="265">
        <f>SUM(B29:B30)</f>
        <v>259825.90861049955</v>
      </c>
      <c r="C31" s="265">
        <f t="shared" ref="C31:E31" si="5">SUM(C29:C30)</f>
        <v>246578.03046277509</v>
      </c>
      <c r="D31" s="265">
        <f t="shared" si="5"/>
        <v>260672.95628841865</v>
      </c>
      <c r="E31" s="265">
        <f t="shared" si="5"/>
        <v>280856.61632991023</v>
      </c>
      <c r="F31" s="178"/>
      <c r="O31" s="181"/>
      <c r="X31" s="12" t="s">
        <v>17</v>
      </c>
      <c r="Y31" s="265">
        <f>SUM(Y29:Y30)</f>
        <v>252852.90651099291</v>
      </c>
      <c r="Z31" s="265">
        <f t="shared" ref="Z31:AB31" si="6">SUM(Z29:Z30)</f>
        <v>211450.90473684357</v>
      </c>
      <c r="AA31" s="265">
        <f t="shared" si="6"/>
        <v>186231.09171974438</v>
      </c>
      <c r="AB31" s="265">
        <f t="shared" si="6"/>
        <v>169623.93533172325</v>
      </c>
      <c r="AC31" s="178"/>
    </row>
    <row r="32" spans="1:29">
      <c r="B32" s="178"/>
      <c r="C32" s="178"/>
      <c r="D32" s="178"/>
      <c r="E32" s="178"/>
      <c r="F32" s="178"/>
      <c r="O32" s="181"/>
      <c r="Y32" s="178"/>
      <c r="Z32" s="178"/>
      <c r="AA32" s="178"/>
      <c r="AB32" s="178"/>
      <c r="AC32" s="178"/>
    </row>
    <row r="33" spans="1:37">
      <c r="A33" s="481" t="s">
        <v>105</v>
      </c>
      <c r="B33" s="482"/>
      <c r="C33" s="482"/>
      <c r="D33" s="482"/>
      <c r="E33" s="482"/>
      <c r="F33" s="178"/>
      <c r="O33" s="181"/>
      <c r="X33" s="481" t="s">
        <v>214</v>
      </c>
      <c r="Y33" s="482"/>
      <c r="Z33" s="482"/>
      <c r="AA33" s="482"/>
      <c r="AB33" s="482"/>
      <c r="AC33" s="178"/>
    </row>
    <row r="34" spans="1:37">
      <c r="A34" s="8" t="s">
        <v>20</v>
      </c>
      <c r="B34" s="9">
        <v>2020</v>
      </c>
      <c r="C34" s="9">
        <v>2030</v>
      </c>
      <c r="D34" s="9">
        <v>2040</v>
      </c>
      <c r="E34" s="9">
        <v>2050</v>
      </c>
      <c r="F34" s="178"/>
      <c r="O34" s="181"/>
      <c r="X34" s="8" t="s">
        <v>20</v>
      </c>
      <c r="Y34" s="9">
        <v>2020</v>
      </c>
      <c r="Z34" s="9">
        <v>2030</v>
      </c>
      <c r="AA34" s="9">
        <v>2040</v>
      </c>
      <c r="AB34" s="9">
        <v>2050</v>
      </c>
      <c r="AC34" s="178"/>
    </row>
    <row r="35" spans="1:37">
      <c r="A35" s="124" t="s">
        <v>15</v>
      </c>
      <c r="B35" s="86">
        <f>B57+B116</f>
        <v>22595.21120051519</v>
      </c>
      <c r="C35" s="86">
        <f>C57+C116</f>
        <v>16467.226494066581</v>
      </c>
      <c r="D35" s="86">
        <f>D57+D116</f>
        <v>13527.856442167027</v>
      </c>
      <c r="E35" s="86">
        <f>E57+E116</f>
        <v>10756.58989531611</v>
      </c>
      <c r="F35" s="178"/>
      <c r="O35" s="181"/>
      <c r="X35" s="124" t="s">
        <v>15</v>
      </c>
      <c r="Y35" s="86">
        <f>Y57+Y116</f>
        <v>22595.21120051519</v>
      </c>
      <c r="Z35" s="86">
        <f>Z57+Z116</f>
        <v>1657.255273291556</v>
      </c>
      <c r="AA35" s="86">
        <f>AA57+AA116</f>
        <v>0</v>
      </c>
      <c r="AB35" s="86">
        <f>AB57+AB116</f>
        <v>0</v>
      </c>
      <c r="AC35" s="156">
        <f>Z35/Y35-1</f>
        <v>-0.92665457921217531</v>
      </c>
      <c r="AD35" t="s">
        <v>406</v>
      </c>
    </row>
    <row r="36" spans="1:37">
      <c r="A36" s="124" t="s">
        <v>16</v>
      </c>
      <c r="B36" s="86">
        <f>B58+B115</f>
        <v>72724.001974812665</v>
      </c>
      <c r="C36" s="86">
        <f>C58+C115</f>
        <v>59107.143599473755</v>
      </c>
      <c r="D36" s="86">
        <f>D58+D115</f>
        <v>54381.501280066455</v>
      </c>
      <c r="E36" s="86">
        <f>E58+E115</f>
        <v>48964.706450822312</v>
      </c>
      <c r="F36" s="178"/>
      <c r="O36" s="181"/>
      <c r="X36" s="124" t="s">
        <v>16</v>
      </c>
      <c r="Y36" s="86">
        <f>Y58+Y115</f>
        <v>72856.92088779372</v>
      </c>
      <c r="Z36" s="86">
        <f>Z58+Z115</f>
        <v>51040.533737862766</v>
      </c>
      <c r="AA36" s="86">
        <f>AA58+AA115</f>
        <v>22537.320633561008</v>
      </c>
      <c r="AB36" s="86">
        <f>AB58+AB115</f>
        <v>4455.6683958407848</v>
      </c>
      <c r="AC36" s="156">
        <f>Z36/Y36-1</f>
        <v>-0.29944152023018067</v>
      </c>
      <c r="AD36" t="s">
        <v>405</v>
      </c>
    </row>
    <row r="37" spans="1:37">
      <c r="A37" s="124" t="s">
        <v>21</v>
      </c>
      <c r="B37" s="86">
        <f>B59+B118</f>
        <v>8956.0754726763971</v>
      </c>
      <c r="C37" s="86">
        <f>C59+C118</f>
        <v>8753.9663150461474</v>
      </c>
      <c r="D37" s="86">
        <f>D59+D118</f>
        <v>8305.5385010957034</v>
      </c>
      <c r="E37" s="86">
        <f>E59+E118</f>
        <v>7473.4207509827047</v>
      </c>
      <c r="F37" s="178"/>
      <c r="O37" s="181"/>
      <c r="X37" s="124" t="s">
        <v>21</v>
      </c>
      <c r="Y37" s="86">
        <f>Y61+Y118</f>
        <v>8956.0754726763953</v>
      </c>
      <c r="Z37" s="86">
        <f>Z61+Z118</f>
        <v>18541.8412446689</v>
      </c>
      <c r="AA37" s="86">
        <f>AA61+AA118</f>
        <v>20367.209523690559</v>
      </c>
      <c r="AB37" s="86">
        <f>AB61+AB118</f>
        <v>19367.231060009683</v>
      </c>
      <c r="AC37" s="156">
        <f t="shared" ref="AC37:AC40" si="7">Z37/Y37-1</f>
        <v>1.070308730786961</v>
      </c>
      <c r="AD37" s="486" t="s">
        <v>397</v>
      </c>
      <c r="AE37" s="487"/>
      <c r="AF37" s="487"/>
      <c r="AG37" s="487"/>
      <c r="AH37" s="487"/>
      <c r="AI37" s="487"/>
      <c r="AJ37" s="487"/>
      <c r="AK37" s="487"/>
    </row>
    <row r="38" spans="1:37">
      <c r="A38" s="124" t="s">
        <v>22</v>
      </c>
      <c r="B38" s="86">
        <f>B60</f>
        <v>1272.5786804340246</v>
      </c>
      <c r="C38" s="86">
        <f t="shared" ref="C38:E38" si="8">C60</f>
        <v>1096.1877318231943</v>
      </c>
      <c r="D38" s="86">
        <f t="shared" si="8"/>
        <v>1044.2803407172721</v>
      </c>
      <c r="E38" s="86">
        <f t="shared" si="8"/>
        <v>969.07550599965407</v>
      </c>
      <c r="F38" s="178"/>
      <c r="O38" s="181"/>
      <c r="X38" s="124" t="s">
        <v>22</v>
      </c>
      <c r="Y38" s="86">
        <f>Y62</f>
        <v>1272.578680434025</v>
      </c>
      <c r="Z38" s="86">
        <f>Z62</f>
        <v>767.39291953860936</v>
      </c>
      <c r="AA38" s="86">
        <f>AA62</f>
        <v>433.5104529688582</v>
      </c>
      <c r="AB38" s="86">
        <f>AB62</f>
        <v>44.699235741139397</v>
      </c>
      <c r="AC38" s="156">
        <f t="shared" si="7"/>
        <v>-0.39697801689017553</v>
      </c>
    </row>
    <row r="39" spans="1:37">
      <c r="A39" s="124" t="s">
        <v>42</v>
      </c>
      <c r="B39" s="86">
        <f>B61+B117+B119</f>
        <v>1509.2890182714991</v>
      </c>
      <c r="C39" s="86">
        <f>C61+C117+C119</f>
        <v>1539.1784578563154</v>
      </c>
      <c r="D39" s="86">
        <f>D61+D117+D119</f>
        <v>1625.3271270041228</v>
      </c>
      <c r="E39" s="86">
        <f>E61+E117+E119</f>
        <v>1663.1942136168313</v>
      </c>
      <c r="F39" s="178"/>
      <c r="O39" s="181"/>
      <c r="X39" s="124" t="s">
        <v>42</v>
      </c>
      <c r="Y39" s="86">
        <f>Y63+Y117+Y119</f>
        <v>1509.2890182714993</v>
      </c>
      <c r="Z39" s="86">
        <f>Z63+Z117+Z119</f>
        <v>2468.9607340435023</v>
      </c>
      <c r="AA39" s="86">
        <f>AA63+AA117+AA119</f>
        <v>2907.1974926872163</v>
      </c>
      <c r="AB39" s="86">
        <f>AB63+AB117+AB119</f>
        <v>3632.0252095179899</v>
      </c>
      <c r="AC39" s="156">
        <f t="shared" si="7"/>
        <v>0.63584356882889059</v>
      </c>
    </row>
    <row r="40" spans="1:37">
      <c r="A40" s="124" t="s">
        <v>200</v>
      </c>
      <c r="B40" s="86">
        <f>B62+B63+B114</f>
        <v>152768.75226378979</v>
      </c>
      <c r="C40" s="86">
        <f>C62+C63+C114</f>
        <v>159614.32786450916</v>
      </c>
      <c r="D40" s="86">
        <f>D62+D63+D114</f>
        <v>181788.45259736807</v>
      </c>
      <c r="E40" s="86">
        <f>E62+E63+E114</f>
        <v>211029.62951317258</v>
      </c>
      <c r="F40" s="178"/>
      <c r="O40" s="181"/>
      <c r="X40" s="124" t="s">
        <v>200</v>
      </c>
      <c r="Y40" s="86">
        <f>Y64+Y65+Y114</f>
        <v>145662.83125130209</v>
      </c>
      <c r="Z40" s="86">
        <f>Z64+Z65+Z114</f>
        <v>136872.65217757877</v>
      </c>
      <c r="AA40" s="86">
        <f>AA64+AA65+AA114</f>
        <v>139808.54994428344</v>
      </c>
      <c r="AB40" s="86">
        <f>AB64+AB65+AB114</f>
        <v>141894.75699859328</v>
      </c>
      <c r="AC40" s="156">
        <f t="shared" si="7"/>
        <v>-6.0346067683925697E-2</v>
      </c>
    </row>
    <row r="41" spans="1:37">
      <c r="A41" s="12" t="s">
        <v>17</v>
      </c>
      <c r="B41" s="13">
        <f>SUM(B35:B40)</f>
        <v>259825.90861049958</v>
      </c>
      <c r="C41" s="13">
        <f t="shared" ref="C41:E41" si="9">SUM(C35:C40)</f>
        <v>246578.03046277515</v>
      </c>
      <c r="D41" s="13">
        <f t="shared" si="9"/>
        <v>260672.95628841867</v>
      </c>
      <c r="E41" s="13">
        <f t="shared" si="9"/>
        <v>280856.61632991023</v>
      </c>
      <c r="F41" s="178"/>
      <c r="O41" s="181"/>
      <c r="X41" s="12" t="s">
        <v>17</v>
      </c>
      <c r="Y41" s="13">
        <f>Y69+Y120</f>
        <v>252852.90651099291</v>
      </c>
      <c r="Z41" s="13">
        <f>Z69+Z120</f>
        <v>211450.90473684357</v>
      </c>
      <c r="AA41" s="13">
        <f>AA69+AA120</f>
        <v>186231.09171974438</v>
      </c>
      <c r="AB41" s="13">
        <f>AB69+AB120</f>
        <v>169623.93533172325</v>
      </c>
      <c r="AC41" s="178"/>
    </row>
    <row r="42" spans="1:37" ht="18.75">
      <c r="A42" s="179" t="s">
        <v>104</v>
      </c>
      <c r="B42" s="180">
        <f>B41/$B41-1</f>
        <v>0</v>
      </c>
      <c r="C42" s="180">
        <f>C41/$B41-1</f>
        <v>-5.0987517829040319E-2</v>
      </c>
      <c r="D42" s="180">
        <f>D41/$B41-1</f>
        <v>3.2600585617075239E-3</v>
      </c>
      <c r="E42" s="376">
        <f>E41/$B41-1</f>
        <v>8.0941534398470738E-2</v>
      </c>
      <c r="F42" s="178"/>
      <c r="O42" s="181"/>
      <c r="X42" s="179" t="s">
        <v>104</v>
      </c>
      <c r="Y42" s="180">
        <f>Y41/$Y41-1</f>
        <v>0</v>
      </c>
      <c r="Z42" s="180">
        <f>Z41/$Y41-1</f>
        <v>-0.16373947345687068</v>
      </c>
      <c r="AA42" s="180">
        <f>AA41/$Y41-1</f>
        <v>-0.26348051802343875</v>
      </c>
      <c r="AB42" s="185">
        <f>AB41/$Y41-1</f>
        <v>-0.32915963801923409</v>
      </c>
      <c r="AC42" s="178"/>
    </row>
    <row r="43" spans="1:37">
      <c r="B43" s="178"/>
      <c r="C43" s="178"/>
      <c r="D43" s="178"/>
      <c r="E43" s="178"/>
      <c r="F43" s="178"/>
      <c r="O43" s="181"/>
      <c r="Y43" s="178"/>
      <c r="Z43" s="178"/>
      <c r="AA43" s="178"/>
      <c r="AB43" s="178"/>
      <c r="AC43" s="178"/>
    </row>
    <row r="44" spans="1:37">
      <c r="B44" s="178">
        <f>SUM(B35:B40)</f>
        <v>259825.90861049958</v>
      </c>
      <c r="C44" s="178">
        <f t="shared" ref="C44:D44" si="10">SUM(C35:C40)</f>
        <v>246578.03046277515</v>
      </c>
      <c r="D44" s="178">
        <f t="shared" si="10"/>
        <v>260672.95628841867</v>
      </c>
      <c r="E44" s="178">
        <f>SUM(E35:E40)</f>
        <v>280856.61632991023</v>
      </c>
      <c r="F44" s="178"/>
      <c r="O44" s="181"/>
      <c r="Y44" s="178"/>
      <c r="Z44" s="178"/>
      <c r="AA44" s="178"/>
      <c r="AB44" s="178"/>
      <c r="AC44" s="178"/>
    </row>
    <row r="45" spans="1:37">
      <c r="B45" s="178"/>
      <c r="C45" s="178"/>
      <c r="D45" s="178"/>
      <c r="E45" s="178"/>
      <c r="F45" s="178"/>
      <c r="O45" s="181"/>
      <c r="Y45" s="178"/>
      <c r="Z45" s="178"/>
      <c r="AA45" s="178"/>
      <c r="AB45" s="178"/>
      <c r="AC45" s="178"/>
    </row>
    <row r="46" spans="1:37">
      <c r="B46" s="178"/>
      <c r="C46" s="178"/>
      <c r="D46" s="178"/>
      <c r="E46" s="178"/>
      <c r="F46" s="178"/>
      <c r="O46" s="181"/>
      <c r="Y46" s="178"/>
      <c r="Z46" s="178"/>
      <c r="AA46" s="178"/>
      <c r="AB46" s="178"/>
      <c r="AC46" s="178"/>
    </row>
    <row r="47" spans="1:37">
      <c r="B47" s="178"/>
      <c r="C47" s="178"/>
      <c r="D47" s="178"/>
      <c r="E47" s="178"/>
      <c r="F47" s="178"/>
      <c r="O47" s="181"/>
      <c r="Y47" s="259"/>
      <c r="Z47" s="178"/>
      <c r="AA47" s="178"/>
      <c r="AB47" s="178"/>
      <c r="AC47" s="178"/>
    </row>
    <row r="48" spans="1:37">
      <c r="B48" s="178"/>
      <c r="O48" s="181"/>
      <c r="Y48" s="178"/>
      <c r="AA48" s="259"/>
    </row>
    <row r="49" spans="1:35" ht="14.45" customHeight="1">
      <c r="A49" s="483" t="s">
        <v>197</v>
      </c>
      <c r="B49" s="483"/>
      <c r="C49" s="483"/>
      <c r="D49" s="483"/>
      <c r="E49" s="483"/>
      <c r="F49" s="483"/>
      <c r="G49" s="483"/>
      <c r="H49" s="483"/>
      <c r="I49" s="483"/>
      <c r="J49" s="483"/>
      <c r="K49" s="483"/>
      <c r="L49" s="483"/>
      <c r="M49" s="483"/>
      <c r="N49" s="483"/>
      <c r="O49" s="181"/>
      <c r="P49" s="483" t="s">
        <v>197</v>
      </c>
      <c r="Q49" s="483"/>
      <c r="R49" s="483"/>
      <c r="S49" s="483"/>
      <c r="T49" s="483"/>
      <c r="U49" s="483"/>
      <c r="V49" s="483"/>
      <c r="W49" s="483"/>
      <c r="X49" s="483"/>
      <c r="Y49" s="483"/>
      <c r="Z49" s="483"/>
      <c r="AA49" s="483"/>
      <c r="AB49" s="483"/>
      <c r="AC49" s="483"/>
      <c r="AD49" s="230"/>
    </row>
    <row r="50" spans="1:35" ht="14.45" customHeight="1">
      <c r="A50" s="483"/>
      <c r="B50" s="483"/>
      <c r="C50" s="483"/>
      <c r="D50" s="483"/>
      <c r="E50" s="483"/>
      <c r="F50" s="483"/>
      <c r="G50" s="483"/>
      <c r="H50" s="483"/>
      <c r="I50" s="483"/>
      <c r="J50" s="483"/>
      <c r="K50" s="483"/>
      <c r="L50" s="483"/>
      <c r="M50" s="483"/>
      <c r="N50" s="483"/>
      <c r="O50" s="181"/>
      <c r="P50" s="483"/>
      <c r="Q50" s="483"/>
      <c r="R50" s="483"/>
      <c r="S50" s="483"/>
      <c r="T50" s="483"/>
      <c r="U50" s="483"/>
      <c r="V50" s="483"/>
      <c r="W50" s="483"/>
      <c r="X50" s="483"/>
      <c r="Y50" s="483"/>
      <c r="Z50" s="483"/>
      <c r="AA50" s="483"/>
      <c r="AB50" s="483"/>
      <c r="AC50" s="483"/>
      <c r="AD50" s="230"/>
    </row>
    <row r="51" spans="1:35">
      <c r="B51" s="178"/>
      <c r="C51" s="178"/>
      <c r="D51" s="178"/>
      <c r="E51" s="178"/>
      <c r="F51" s="178"/>
      <c r="O51" s="181"/>
      <c r="Y51" s="178"/>
      <c r="Z51" s="178"/>
      <c r="AA51" s="178"/>
      <c r="AB51" s="178"/>
      <c r="AC51" s="178"/>
    </row>
    <row r="52" spans="1:35">
      <c r="B52" s="178"/>
      <c r="C52" s="178"/>
      <c r="D52" s="178"/>
      <c r="E52" s="178"/>
      <c r="F52" s="178"/>
      <c r="O52" s="181"/>
      <c r="Y52" s="178"/>
      <c r="Z52" s="178"/>
      <c r="AA52" s="178"/>
      <c r="AB52" s="178"/>
      <c r="AC52" s="178"/>
      <c r="AE52" s="488" t="s">
        <v>411</v>
      </c>
      <c r="AF52" s="488"/>
      <c r="AG52" s="488"/>
      <c r="AH52" s="488"/>
    </row>
    <row r="53" spans="1:35">
      <c r="B53" s="178"/>
      <c r="O53" s="181"/>
      <c r="Y53" s="178"/>
      <c r="AE53" s="488"/>
      <c r="AF53" s="488"/>
      <c r="AG53" s="488"/>
      <c r="AH53" s="488"/>
    </row>
    <row r="54" spans="1:35">
      <c r="B54" s="178"/>
      <c r="O54" s="181"/>
      <c r="Y54" s="178"/>
    </row>
    <row r="55" spans="1:35" ht="15" customHeight="1">
      <c r="A55" s="481" t="s">
        <v>254</v>
      </c>
      <c r="B55" s="482"/>
      <c r="C55" s="482"/>
      <c r="D55" s="482"/>
      <c r="E55" s="482"/>
      <c r="O55" s="181"/>
      <c r="X55" s="481" t="s">
        <v>253</v>
      </c>
      <c r="Y55" s="482"/>
      <c r="Z55" s="482"/>
      <c r="AA55" s="482"/>
      <c r="AB55" s="482"/>
      <c r="AF55" s="157">
        <v>0</v>
      </c>
      <c r="AG55" s="157">
        <v>0.01</v>
      </c>
      <c r="AH55" s="157">
        <v>0.05</v>
      </c>
      <c r="AI55" s="157">
        <v>0.08</v>
      </c>
    </row>
    <row r="56" spans="1:35">
      <c r="A56" s="8" t="s">
        <v>20</v>
      </c>
      <c r="B56" s="9">
        <v>2020</v>
      </c>
      <c r="C56" s="9">
        <v>2030</v>
      </c>
      <c r="D56" s="9">
        <v>2040</v>
      </c>
      <c r="E56" s="9">
        <v>2050</v>
      </c>
      <c r="O56" s="181"/>
      <c r="X56" s="8" t="s">
        <v>20</v>
      </c>
      <c r="Y56" s="9">
        <v>2020</v>
      </c>
      <c r="Z56" s="9">
        <v>2030</v>
      </c>
      <c r="AA56" s="9">
        <v>2040</v>
      </c>
      <c r="AB56" s="9">
        <v>2050</v>
      </c>
    </row>
    <row r="57" spans="1:35">
      <c r="A57" s="124" t="s">
        <v>15</v>
      </c>
      <c r="B57" s="86">
        <f>'Bureaux - AME'!H13+'CaHoREs - AME'!H13+'Commerce - AME'!H13+'Enseignement - AME'!H13+'Santé social - AME'!H13+'Sport Loisir Culture - AME'!H13+'Transport - AME'!H13</f>
        <v>17636.41517514189</v>
      </c>
      <c r="C57" s="86">
        <f>'Bureaux - AME'!I13+'CaHoREs - AME'!I13+'Commerce - AME'!I13+'Enseignement - AME'!I13+'Santé social - AME'!I13+'Sport Loisir Culture - AME'!I13+'Transport - AME'!I13</f>
        <v>12584.182610662096</v>
      </c>
      <c r="D57" s="86">
        <f>'Bureaux - AME'!J13+'CaHoREs - AME'!J13+'Commerce - AME'!J13+'Enseignement - AME'!J13+'Santé social - AME'!J13+'Sport Loisir Culture - AME'!J13+'Transport - AME'!J13</f>
        <v>10229.37334549831</v>
      </c>
      <c r="E57" s="86">
        <f>'Bureaux - AME'!K13+'CaHoREs - AME'!K13+'Commerce - AME'!K13+'Enseignement - AME'!K13+'Santé social - AME'!K13+'Sport Loisir Culture - AME'!K13+'Transport - AME'!K13</f>
        <v>7821.9678438685432</v>
      </c>
      <c r="F57" s="156"/>
      <c r="G57" s="156"/>
      <c r="O57" s="181"/>
      <c r="X57" s="124" t="s">
        <v>15</v>
      </c>
      <c r="Y57" s="86">
        <f>'Bureaux - AMS'!H13+'CaHoREs - AMS'!H13+'Commerce - AMS'!H13+'Enseignement - AMS'!H13+'Santé social - AMS'!H13+'Sport Loisir Culture - AMS'!H13+'Transport - AMS'!H13</f>
        <v>17636.41517514189</v>
      </c>
      <c r="Z57" s="86">
        <f>'Bureaux - AMS'!I13+'CaHoREs - AMS'!I13+'Commerce - AMS'!I13+'Enseignement - AMS'!I13+'Santé social - AMS'!I13+'Sport Loisir Culture - AMS'!I13+'Transport - AMS'!I13</f>
        <v>1412.735250354197</v>
      </c>
      <c r="AA57" s="86">
        <f>'Bureaux - AMS'!J13+'CaHoREs - AMS'!J13+'Commerce - AMS'!J13+'Enseignement - AMS'!J13+'Santé social - AMS'!J13+'Sport Loisir Culture - AMS'!J13+'Transport - AMS'!J13</f>
        <v>0</v>
      </c>
      <c r="AB57" s="86">
        <f>'Bureaux - AMS'!K13+'CaHoREs - AMS'!K13+'Commerce - AMS'!K13+'Enseignement - AMS'!K13+'Santé social - AMS'!K13+'Sport Loisir Culture - AMS'!K13+'Transport - AMS'!K13</f>
        <v>0</v>
      </c>
      <c r="AE57" t="s">
        <v>412</v>
      </c>
      <c r="AF57">
        <v>3.2</v>
      </c>
    </row>
    <row r="58" spans="1:35">
      <c r="A58" s="124" t="s">
        <v>16</v>
      </c>
      <c r="B58" s="86">
        <f>'Bureaux - AME'!H14+'CaHoREs - AME'!H14+'Commerce - AME'!H14+'Enseignement - AME'!H14+'Santé social - AME'!H14+'Sport Loisir Culture - AME'!H14+'Transport - AME'!H14</f>
        <v>55805.569818181473</v>
      </c>
      <c r="C58" s="86">
        <f>'Bureaux - AME'!I14+'CaHoREs - AME'!I14+'Commerce - AME'!I14+'Enseignement - AME'!I14+'Santé social - AME'!I14+'Sport Loisir Culture - AME'!I14+'Transport - AME'!I14</f>
        <v>44705.077226923924</v>
      </c>
      <c r="D58" s="86">
        <f>'Bureaux - AME'!J14+'CaHoREs - AME'!J14+'Commerce - AME'!J14+'Enseignement - AME'!J14+'Santé social - AME'!J14+'Sport Loisir Culture - AME'!J14+'Transport - AME'!J14</f>
        <v>40854.269011504766</v>
      </c>
      <c r="E58" s="86">
        <f>'Bureaux - AME'!K14+'CaHoREs - AME'!K14+'Commerce - AME'!K14+'Enseignement - AME'!K14+'Santé social - AME'!K14+'Sport Loisir Culture - AME'!K14+'Transport - AME'!K14</f>
        <v>36337.094926563266</v>
      </c>
      <c r="F58" s="156"/>
      <c r="G58" s="156"/>
      <c r="H58" s="156"/>
      <c r="I58" s="156"/>
      <c r="O58" s="181"/>
      <c r="X58" s="124" t="s">
        <v>16</v>
      </c>
      <c r="Y58" s="86">
        <f>'Bureaux - AMS'!H14+'CaHoREs - AMS'!H14+'Commerce - AMS'!H14+'Enseignement - AMS'!H14+'Santé social - AMS'!H14+'Sport Loisir Culture - AMS'!H14+'Transport - AMS'!H14</f>
        <v>55805.569818181481</v>
      </c>
      <c r="Z58" s="86">
        <f>Résultats!Z58+Z60</f>
        <v>41297.252644923028</v>
      </c>
      <c r="AA58" s="86">
        <f>Résultats!AA58+AA60</f>
        <v>18429.244108393057</v>
      </c>
      <c r="AB58" s="86">
        <f>Résultats!AB58+AB60</f>
        <v>3619.7931957079927</v>
      </c>
      <c r="AE58" t="s">
        <v>413</v>
      </c>
      <c r="AF58" s="157">
        <v>0.7</v>
      </c>
    </row>
    <row r="59" spans="1:35">
      <c r="A59" s="124" t="s">
        <v>21</v>
      </c>
      <c r="B59" s="86">
        <f>'Bureaux - AME'!H15+'CaHoREs - AME'!H15+'Commerce - AME'!H15+'Enseignement - AME'!H15+'Santé social - AME'!H15+'Sport Loisir Culture - AME'!H15+'Transport - AME'!H15</f>
        <v>7405.5823362088131</v>
      </c>
      <c r="C59" s="86">
        <f>'Bureaux - AME'!I15+'CaHoREs - AME'!I15+'Commerce - AME'!I15+'Enseignement - AME'!I15+'Santé social - AME'!I15+'Sport Loisir Culture - AME'!I15+'Transport - AME'!I15</f>
        <v>7048.9529855965102</v>
      </c>
      <c r="D59" s="86">
        <f>'Bureaux - AME'!J15+'CaHoREs - AME'!J15+'Commerce - AME'!J15+'Enseignement - AME'!J15+'Santé social - AME'!J15+'Sport Loisir Culture - AME'!J15+'Transport - AME'!J15</f>
        <v>6658.4541853988148</v>
      </c>
      <c r="E59" s="86">
        <f>'Bureaux - AME'!K15+'CaHoREs - AME'!K15+'Commerce - AME'!K15+'Enseignement - AME'!K15+'Santé social - AME'!K15+'Sport Loisir Culture - AME'!K15+'Transport - AME'!K15</f>
        <v>5916.0549484635621</v>
      </c>
      <c r="F59" s="156"/>
      <c r="G59" s="156"/>
      <c r="H59" s="156"/>
      <c r="I59" s="156"/>
      <c r="O59" s="181"/>
      <c r="X59" s="411" t="s">
        <v>420</v>
      </c>
      <c r="Y59" s="410"/>
      <c r="Z59" s="412">
        <f>Z58-Z60</f>
        <v>41192.518066728371</v>
      </c>
      <c r="AA59" s="412">
        <f t="shared" ref="AA59:AB59" si="11">AA58-AA60</f>
        <v>17539.893221547718</v>
      </c>
      <c r="AB59" s="412">
        <f t="shared" si="11"/>
        <v>1994.3655605654837</v>
      </c>
      <c r="AE59" t="s">
        <v>414</v>
      </c>
      <c r="AF59" s="157">
        <v>0.3</v>
      </c>
    </row>
    <row r="60" spans="1:35">
      <c r="A60" s="124" t="s">
        <v>22</v>
      </c>
      <c r="B60" s="86">
        <f>'Bureaux - AME'!H16+'CaHoREs - AME'!H16+'Commerce - AME'!H16+'Enseignement - AME'!H16+'Santé social - AME'!H16+'Sport Loisir Culture - AME'!H16+'Transport - AME'!H16</f>
        <v>1272.5786804340246</v>
      </c>
      <c r="C60" s="86">
        <f>'Bureaux - AME'!I16+'CaHoREs - AME'!I16+'Commerce - AME'!I16+'Enseignement - AME'!I16+'Santé social - AME'!I16+'Sport Loisir Culture - AME'!I16+'Transport - AME'!I16</f>
        <v>1096.1877318231943</v>
      </c>
      <c r="D60" s="86">
        <f>'Bureaux - AME'!J16+'CaHoREs - AME'!J16+'Commerce - AME'!J16+'Enseignement - AME'!J16+'Santé social - AME'!J16+'Sport Loisir Culture - AME'!J16+'Transport - AME'!J16</f>
        <v>1044.2803407172721</v>
      </c>
      <c r="E60" s="86">
        <f>'Bureaux - AME'!K16+'CaHoREs - AME'!K16+'Commerce - AME'!K16+'Enseignement - AME'!K16+'Santé social - AME'!K16+'Sport Loisir Culture - AME'!K16+'Transport - AME'!K16</f>
        <v>969.07550599965407</v>
      </c>
      <c r="F60" s="156"/>
      <c r="G60" s="156"/>
      <c r="H60" s="156"/>
      <c r="I60" s="156"/>
      <c r="O60" s="181"/>
      <c r="X60" s="411" t="s">
        <v>417</v>
      </c>
      <c r="Y60" s="410"/>
      <c r="Z60" s="412">
        <f>Résultats!Z63*AG55*$AF$59*$AF$57*$AF$60</f>
        <v>104.73457819465983</v>
      </c>
      <c r="AA60" s="412">
        <f>Résultats!AA63*AH55*$AF$59*$AF$57*$AF$60</f>
        <v>889.35088684533912</v>
      </c>
      <c r="AB60" s="412">
        <f>Résultats!AB63*AI55*$AF$59*$AF$57*$AF$60</f>
        <v>1625.427635142509</v>
      </c>
      <c r="AE60" t="s">
        <v>415</v>
      </c>
      <c r="AF60" s="157">
        <v>0.95</v>
      </c>
    </row>
    <row r="61" spans="1:35">
      <c r="A61" s="124" t="s">
        <v>42</v>
      </c>
      <c r="B61" s="86">
        <f>'Bureaux - AME'!H17+'CaHoREs - AME'!H17+'Commerce - AME'!H17+'Enseignement - AME'!H17+'Santé social - AME'!H17+'Sport Loisir Culture - AME'!H17+'Transport - AME'!H17</f>
        <v>1294.6736683610475</v>
      </c>
      <c r="C61" s="86">
        <f>'Bureaux - AME'!I17+'CaHoREs - AME'!I17+'Commerce - AME'!I17+'Enseignement - AME'!I17+'Santé social - AME'!I17+'Sport Loisir Culture - AME'!I17+'Transport - AME'!I17</f>
        <v>1301.9332915284222</v>
      </c>
      <c r="D61" s="86">
        <f>'Bureaux - AME'!J17+'CaHoREs - AME'!J17+'Commerce - AME'!J17+'Enseignement - AME'!J17+'Santé social - AME'!J17+'Sport Loisir Culture - AME'!J17+'Transport - AME'!J17</f>
        <v>1378.0056117330932</v>
      </c>
      <c r="E61" s="86">
        <f>'Bureaux - AME'!K17+'CaHoREs - AME'!K17+'Commerce - AME'!K17+'Enseignement - AME'!K17+'Santé social - AME'!K17+'Sport Loisir Culture - AME'!K17+'Transport - AME'!K17</f>
        <v>1409.2486004040202</v>
      </c>
      <c r="F61" s="156"/>
      <c r="G61" s="156"/>
      <c r="H61" s="156"/>
      <c r="I61" s="156"/>
      <c r="J61" s="156"/>
      <c r="O61" s="181"/>
      <c r="X61" s="124" t="s">
        <v>21</v>
      </c>
      <c r="Y61" s="86">
        <f>'Bureaux - AMS'!H15+'CaHoREs - AMS'!H15+'Commerce - AMS'!H15+'Enseignement - AMS'!H15+'Santé social - AMS'!H15+'Sport Loisir Culture - AMS'!H15+'Transport - AMS'!H15</f>
        <v>7405.5823362088113</v>
      </c>
      <c r="Z61" s="86">
        <f>'Bureaux - AMS'!I15+'CaHoREs - AMS'!I15+'Commerce - AMS'!I15+'Enseignement - AMS'!I15+'Santé social - AMS'!I15+'Sport Loisir Culture - AMS'!I15+'Transport - AMS'!I15</f>
        <v>15030.614206094684</v>
      </c>
      <c r="AA61" s="86">
        <f>'Bureaux - AMS'!J15+'CaHoREs - AMS'!J15+'Commerce - AMS'!J15+'Enseignement - AMS'!J15+'Santé social - AMS'!J15+'Sport Loisir Culture - AMS'!J15+'Transport - AMS'!J15</f>
        <v>16931.092824194937</v>
      </c>
      <c r="AB61" s="86">
        <f>'Bureaux - AMS'!K15+'CaHoREs - AMS'!K15+'Commerce - AMS'!K15+'Enseignement - AMS'!K15+'Santé social - AMS'!K15+'Sport Loisir Culture - AMS'!K15+'Transport - AMS'!K15</f>
        <v>16308.18257903343</v>
      </c>
    </row>
    <row r="62" spans="1:35">
      <c r="A62" s="124" t="s">
        <v>46</v>
      </c>
      <c r="B62" s="86">
        <f>'Bureaux - AME'!H18+'CaHoREs - AME'!H18+'Commerce - AME'!H18+'Enseignement - AME'!H18+'Santé social - AME'!H18+'Sport Loisir Culture - AME'!H18+'Transport - AME'!H18</f>
        <v>14607.452993119286</v>
      </c>
      <c r="C62" s="86">
        <f>'Bureaux - AME'!I18+'CaHoREs - AME'!I18+'Commerce - AME'!I18+'Enseignement - AME'!I18+'Santé social - AME'!I18+'Sport Loisir Culture - AME'!I18+'Transport - AME'!I18</f>
        <v>10422.470509805571</v>
      </c>
      <c r="D62" s="86">
        <f>'Bureaux - AME'!J18+'CaHoREs - AME'!J18+'Commerce - AME'!J18+'Enseignement - AME'!J18+'Santé social - AME'!J18+'Sport Loisir Culture - AME'!J18+'Transport - AME'!J18</f>
        <v>8187.5358792873649</v>
      </c>
      <c r="E62" s="86">
        <f>'Bureaux - AME'!K18+'CaHoREs - AME'!K18+'Commerce - AME'!K18+'Enseignement - AME'!K18+'Santé social - AME'!K18+'Sport Loisir Culture - AME'!K18+'Transport - AME'!K18</f>
        <v>5993.7366700902885</v>
      </c>
      <c r="F62" s="156"/>
      <c r="G62" s="156"/>
      <c r="H62" s="156"/>
      <c r="I62" s="156"/>
      <c r="O62" s="181"/>
      <c r="X62" s="124" t="s">
        <v>22</v>
      </c>
      <c r="Y62" s="86">
        <f>'Bureaux - AMS'!H16+'CaHoREs - AMS'!H16+'Commerce - AMS'!H16+'Enseignement - AMS'!H16+'Santé social - AMS'!H16+'Sport Loisir Culture - AMS'!H16+'Transport - AMS'!H16</f>
        <v>1272.578680434025</v>
      </c>
      <c r="Z62" s="86">
        <f>'Bureaux - AMS'!I16+'CaHoREs - AMS'!I16+'Commerce - AMS'!I16+'Enseignement - AMS'!I16+'Santé social - AMS'!I16+'Sport Loisir Culture - AMS'!I16+'Transport - AMS'!I16</f>
        <v>767.39291953860936</v>
      </c>
      <c r="AA62" s="86">
        <f>'Bureaux - AMS'!J16+'CaHoREs - AMS'!J16+'Commerce - AMS'!J16+'Enseignement - AMS'!J16+'Santé social - AMS'!J16+'Sport Loisir Culture - AMS'!J16+'Transport - AMS'!J16</f>
        <v>433.5104529688582</v>
      </c>
      <c r="AB62" s="86">
        <f>'Bureaux - AMS'!K16+'CaHoREs - AMS'!K16+'Commerce - AMS'!K16+'Enseignement - AMS'!K16+'Santé social - AMS'!K16+'Sport Loisir Culture - AMS'!K16+'Transport - AMS'!K16</f>
        <v>44.699235741139397</v>
      </c>
      <c r="AE62" s="488" t="s">
        <v>416</v>
      </c>
      <c r="AF62" s="488"/>
      <c r="AG62" s="488"/>
      <c r="AH62" s="488"/>
    </row>
    <row r="63" spans="1:35">
      <c r="A63" s="124" t="s">
        <v>47</v>
      </c>
      <c r="B63" s="86">
        <f>'Bureaux - AME'!H19+'CaHoREs - AME'!H19+'Commerce - AME'!H19+'Enseignement - AME'!H19+'Santé social - AME'!H19+'Sport Loisir Culture - AME'!H19+'Transport - AME'!H19</f>
        <v>2975.3947624956108</v>
      </c>
      <c r="C63" s="86">
        <f>'Bureaux - AME'!I19+'CaHoREs - AME'!I19+'Commerce - AME'!I19+'Enseignement - AME'!I19+'Santé social - AME'!I19+'Sport Loisir Culture - AME'!I19+'Transport - AME'!I19</f>
        <v>5620.3727033937375</v>
      </c>
      <c r="D63" s="86">
        <f>'Bureaux - AME'!J19+'CaHoREs - AME'!J19+'Commerce - AME'!J19+'Enseignement - AME'!J19+'Santé social - AME'!J19+'Sport Loisir Culture - AME'!J19+'Transport - AME'!J19</f>
        <v>7304.4367432002919</v>
      </c>
      <c r="E63" s="86">
        <f>'Bureaux - AME'!K19+'CaHoREs - AME'!K19+'Commerce - AME'!K19+'Enseignement - AME'!K19+'Santé social - AME'!K19+'Sport Loisir Culture - AME'!K19+'Transport - AME'!K19</f>
        <v>8429.2692540370481</v>
      </c>
      <c r="F63" s="156"/>
      <c r="G63" s="156"/>
      <c r="H63" s="156"/>
      <c r="I63" s="156"/>
      <c r="O63" s="181"/>
      <c r="X63" s="124" t="s">
        <v>42</v>
      </c>
      <c r="Y63" s="86">
        <f>'Bureaux - AMS'!H17+'CaHoREs - AMS'!H17+'Commerce - AMS'!H17+'Enseignement - AMS'!H17+'Santé social - AMS'!H17+'Sport Loisir Culture - AMS'!H17+'Transport - AMS'!H17</f>
        <v>1294.6736683610477</v>
      </c>
      <c r="Z63" s="86">
        <f>'Bureaux - AMS'!I17+'CaHoREs - AMS'!I17+'Commerce - AMS'!I17+'Enseignement - AMS'!I17+'Santé social - AMS'!I17+'Sport Loisir Culture - AMS'!I17+'Transport - AMS'!I17</f>
        <v>1805.8393151477878</v>
      </c>
      <c r="AA63" s="86">
        <f>'Bureaux - AMS'!J17+'CaHoREs - AMS'!J17+'Commerce - AMS'!J17+'Enseignement - AMS'!J17+'Santé social - AMS'!J17+'Sport Loisir Culture - AMS'!J17+'Transport - AMS'!J17</f>
        <v>2373.5325598316886</v>
      </c>
      <c r="AB63" s="86">
        <f>'Bureaux - AMS'!K17+'CaHoREs - AMS'!K17+'Commerce - AMS'!K17+'Enseignement - AMS'!K17+'Santé social - AMS'!K17+'Sport Loisir Culture - AMS'!K17+'Transport - AMS'!K17</f>
        <v>3195.7120788853449</v>
      </c>
      <c r="AE63" s="488"/>
      <c r="AF63" s="488"/>
      <c r="AG63" s="488"/>
      <c r="AH63" s="488"/>
    </row>
    <row r="64" spans="1:35">
      <c r="A64" s="12" t="s">
        <v>17</v>
      </c>
      <c r="B64" s="13">
        <f>SUM(B57:B63)</f>
        <v>100997.66743394214</v>
      </c>
      <c r="C64" s="13">
        <f>SUM(C57:C63)</f>
        <v>82779.17705973344</v>
      </c>
      <c r="D64" s="13">
        <f>SUM(D57:D63)</f>
        <v>75656.355117339903</v>
      </c>
      <c r="E64" s="13">
        <f>SUM(E57:E63)</f>
        <v>66876.447749426385</v>
      </c>
      <c r="O64" s="181"/>
      <c r="X64" s="124" t="s">
        <v>46</v>
      </c>
      <c r="Y64" s="86">
        <f>'Bureaux - AMS'!H18+'CaHoREs - AMS'!H18+'Commerce - AMS'!H18+'Enseignement - AMS'!H18+'Santé social - AMS'!H18+'Sport Loisir Culture - AMS'!H18+'Transport - AMS'!H18</f>
        <v>14607.452993119286</v>
      </c>
      <c r="Z64" s="86">
        <f>'Bureaux - AMS'!I18+'CaHoREs - AMS'!I18+'Commerce - AMS'!I18+'Enseignement - AMS'!I18+'Santé social - AMS'!I18+'Sport Loisir Culture - AMS'!I18+'Transport - AMS'!I18</f>
        <v>9642.0183376842924</v>
      </c>
      <c r="AA64" s="86">
        <f>'Bureaux - AMS'!J18+'CaHoREs - AMS'!J18+'Commerce - AMS'!J18+'Enseignement - AMS'!J18+'Santé social - AMS'!J18+'Sport Loisir Culture - AMS'!J18+'Transport - AMS'!J18</f>
        <v>5751.6397214495782</v>
      </c>
      <c r="AB64" s="86">
        <f>'Bureaux - AMS'!K18+'CaHoREs - AMS'!K18+'Commerce - AMS'!K18+'Enseignement - AMS'!K18+'Santé social - AMS'!K18+'Sport Loisir Culture - AMS'!K18+'Transport - AMS'!K18</f>
        <v>5000.8677473995149</v>
      </c>
      <c r="AC64" s="186"/>
      <c r="AF64" s="9">
        <v>2022</v>
      </c>
      <c r="AG64" s="9">
        <v>2030</v>
      </c>
      <c r="AH64" s="9">
        <v>2040</v>
      </c>
      <c r="AI64" s="9">
        <v>2050</v>
      </c>
    </row>
    <row r="65" spans="1:35" ht="31.5" customHeight="1">
      <c r="A65" s="179" t="s">
        <v>104</v>
      </c>
      <c r="B65" s="180">
        <f>B64/$B64-1</f>
        <v>0</v>
      </c>
      <c r="C65" s="180">
        <f>C64/$B64-1</f>
        <v>-0.18038525875980815</v>
      </c>
      <c r="D65" s="180">
        <f>D64/$B64-1</f>
        <v>-0.25090987703430689</v>
      </c>
      <c r="E65" s="185">
        <f>E64/$B64-1</f>
        <v>-0.33784166061887377</v>
      </c>
      <c r="O65" s="181"/>
      <c r="X65" s="124" t="s">
        <v>47</v>
      </c>
      <c r="Y65" s="86">
        <f>'Bureaux - AMS'!H19+'CaHoREs - AMS'!H19+'Commerce - AMS'!H19+'Enseignement - AMS'!H19+'Santé social - AMS'!H19+'Sport Loisir Culture - AMS'!H19+'Transport - AMS'!H19</f>
        <v>2975.3947624956104</v>
      </c>
      <c r="Z65" s="86">
        <f>Résultats!Z63-AG55*Résultats!Z63-AG65*1000/$AF$57+Z67+Z68</f>
        <v>11189.18579606095</v>
      </c>
      <c r="AA65" s="86">
        <f>Résultats!AA63-AH55*Résultats!AA63-AH65*1000/$AF$57+AA67+AA68</f>
        <v>18630.402145359065</v>
      </c>
      <c r="AB65" s="86">
        <f>Résultats!AB63-AI55*Résultats!AB63-AI65*1000/$AF$57+AB67+AB68</f>
        <v>20828.480582890079</v>
      </c>
      <c r="AE65" t="s">
        <v>422</v>
      </c>
      <c r="AF65">
        <v>1.1000000000000001</v>
      </c>
      <c r="AG65" s="408">
        <v>3.5</v>
      </c>
      <c r="AH65">
        <v>7.8</v>
      </c>
      <c r="AI65">
        <v>12.3</v>
      </c>
    </row>
    <row r="66" spans="1:35" ht="22.5">
      <c r="O66" s="181"/>
      <c r="X66" s="409" t="s">
        <v>421</v>
      </c>
      <c r="Y66" s="410"/>
      <c r="Z66" s="412">
        <f>Z65-Z67-Z68</f>
        <v>10275.464080341364</v>
      </c>
      <c r="AA66" s="412">
        <f t="shared" ref="AA66:AB66" si="12">AA65-AA67-AA68</f>
        <v>16090.643475944564</v>
      </c>
      <c r="AB66" s="412">
        <f t="shared" si="12"/>
        <v>16652.322153661025</v>
      </c>
      <c r="AE66" t="s">
        <v>423</v>
      </c>
      <c r="AF66">
        <v>4.2</v>
      </c>
    </row>
    <row r="67" spans="1:35" ht="22.5">
      <c r="A67" s="484"/>
      <c r="B67" s="485"/>
      <c r="C67" s="485"/>
      <c r="D67" s="485"/>
      <c r="E67" s="485"/>
      <c r="F67" s="235"/>
      <c r="G67" s="235"/>
      <c r="H67" s="235"/>
      <c r="I67" s="235"/>
      <c r="J67" s="235"/>
      <c r="K67" s="235"/>
      <c r="L67" s="235"/>
      <c r="M67" s="235"/>
      <c r="N67" s="235"/>
      <c r="O67" s="236"/>
      <c r="P67" s="235"/>
      <c r="Q67" s="235"/>
      <c r="R67" s="235"/>
      <c r="S67" s="235"/>
      <c r="T67" s="235"/>
      <c r="U67" s="235"/>
      <c r="V67" s="235"/>
      <c r="W67" s="235"/>
      <c r="X67" s="409" t="s">
        <v>418</v>
      </c>
      <c r="Y67" s="410"/>
      <c r="Z67" s="412">
        <f>AG65/$AF$66*1000</f>
        <v>833.33333333333326</v>
      </c>
      <c r="AA67" s="412">
        <f t="shared" ref="AA67:AB67" si="13">AH65/$AF$66*1000</f>
        <v>1857.1428571428569</v>
      </c>
      <c r="AB67" s="412">
        <f t="shared" si="13"/>
        <v>2928.5714285714289</v>
      </c>
    </row>
    <row r="68" spans="1:35">
      <c r="A68" s="237"/>
      <c r="B68" s="238"/>
      <c r="C68" s="238"/>
      <c r="D68" s="238"/>
      <c r="E68" s="238"/>
      <c r="F68" s="235"/>
      <c r="G68" s="235"/>
      <c r="H68" s="235"/>
      <c r="I68" s="235"/>
      <c r="J68" s="235"/>
      <c r="K68" s="235"/>
      <c r="L68" s="235"/>
      <c r="M68" s="235"/>
      <c r="N68" s="235"/>
      <c r="O68" s="236"/>
      <c r="P68" s="235"/>
      <c r="Q68" s="235"/>
      <c r="R68" s="235"/>
      <c r="S68" s="235"/>
      <c r="T68" s="235"/>
      <c r="U68" s="235"/>
      <c r="V68" s="235"/>
      <c r="W68" s="235"/>
      <c r="X68" s="409" t="s">
        <v>417</v>
      </c>
      <c r="Y68" s="410"/>
      <c r="Z68" s="412">
        <f>AG55*Résultats!Z63*$AF$58</f>
        <v>80.388382386252061</v>
      </c>
      <c r="AA68" s="412">
        <f>AH55*Résultats!AA63*$AF$58</f>
        <v>682.61581227164186</v>
      </c>
      <c r="AB68" s="412">
        <f>AI55*Résultats!AB63*$AF$58</f>
        <v>1247.5870006576274</v>
      </c>
    </row>
    <row r="69" spans="1:35">
      <c r="A69" s="239"/>
      <c r="B69" s="240"/>
      <c r="C69" s="240"/>
      <c r="D69" s="240"/>
      <c r="E69" s="240"/>
      <c r="F69" s="235"/>
      <c r="G69" s="235"/>
      <c r="H69" s="235"/>
      <c r="I69" s="235"/>
      <c r="J69" s="235"/>
      <c r="K69" s="235"/>
      <c r="L69" s="235"/>
      <c r="M69" s="235"/>
      <c r="N69" s="235"/>
      <c r="O69" s="236"/>
      <c r="P69" s="235"/>
      <c r="Q69" s="235"/>
      <c r="R69" s="235"/>
      <c r="S69" s="235"/>
      <c r="T69" s="235"/>
      <c r="U69" s="235"/>
      <c r="V69" s="235"/>
      <c r="W69" s="235"/>
      <c r="X69" s="12" t="s">
        <v>17</v>
      </c>
      <c r="Y69" s="13">
        <f>SUM(Y57:Y65)</f>
        <v>100997.66743394214</v>
      </c>
      <c r="Z69" s="13">
        <f>SUM(Z57:Z58,Z61:Z65)</f>
        <v>81145.038469803549</v>
      </c>
      <c r="AA69" s="13">
        <f t="shared" ref="AA69:AB69" si="14">SUM(AA57:AA58,AA61:AA65)</f>
        <v>62549.421812197194</v>
      </c>
      <c r="AB69" s="13">
        <f t="shared" si="14"/>
        <v>48997.735419657503</v>
      </c>
      <c r="AC69" t="s">
        <v>419</v>
      </c>
    </row>
    <row r="70" spans="1:35" ht="22.5">
      <c r="A70" s="239"/>
      <c r="B70" s="240"/>
      <c r="C70" s="240"/>
      <c r="D70" s="240"/>
      <c r="E70" s="240"/>
      <c r="F70" s="235"/>
      <c r="G70" s="235"/>
      <c r="H70" s="235"/>
      <c r="I70" s="235"/>
      <c r="J70" s="235"/>
      <c r="K70" s="235"/>
      <c r="L70" s="235"/>
      <c r="M70" s="235"/>
      <c r="N70" s="235"/>
      <c r="O70" s="236"/>
      <c r="P70" s="235"/>
      <c r="Q70" s="235"/>
      <c r="R70" s="235"/>
      <c r="S70" s="235"/>
      <c r="T70" s="235"/>
      <c r="U70" s="235"/>
      <c r="V70" s="235"/>
      <c r="W70" s="235"/>
      <c r="X70" s="309" t="s">
        <v>289</v>
      </c>
      <c r="Y70" s="180">
        <f>Y69/$Y69-1</f>
        <v>0</v>
      </c>
      <c r="Z70" s="180">
        <f>Z69/$Y69-1</f>
        <v>-0.19656522243073848</v>
      </c>
      <c r="AA70" s="180">
        <f>AA69/$Y69-1</f>
        <v>-0.38068449102443036</v>
      </c>
      <c r="AB70" s="185">
        <f>AB69/$Y69-1</f>
        <v>-0.51486270262920053</v>
      </c>
    </row>
    <row r="71" spans="1:35">
      <c r="A71" s="239"/>
      <c r="B71" s="240"/>
      <c r="C71" s="240"/>
      <c r="D71" s="240"/>
      <c r="E71" s="240"/>
      <c r="F71" s="235"/>
      <c r="G71" s="235"/>
      <c r="H71" s="235"/>
      <c r="I71" s="235"/>
      <c r="J71" s="235"/>
      <c r="K71" s="235"/>
      <c r="L71" s="235"/>
      <c r="M71" s="235"/>
      <c r="N71" s="235"/>
      <c r="O71" s="236"/>
      <c r="P71" s="235"/>
      <c r="Q71" s="235"/>
      <c r="R71" s="235"/>
      <c r="S71" s="235"/>
      <c r="T71" s="235"/>
      <c r="U71" s="235"/>
      <c r="V71" s="235"/>
      <c r="W71" s="235"/>
    </row>
    <row r="72" spans="1:35">
      <c r="A72" s="239"/>
      <c r="B72" s="240"/>
      <c r="C72" s="240"/>
      <c r="D72" s="240"/>
      <c r="E72" s="240"/>
      <c r="F72" s="235"/>
      <c r="G72" s="235"/>
      <c r="H72" s="235"/>
      <c r="I72" s="235"/>
      <c r="J72" s="235"/>
      <c r="K72" s="235"/>
      <c r="L72" s="235"/>
      <c r="M72" s="235"/>
      <c r="N72" s="235"/>
      <c r="O72" s="236"/>
      <c r="P72" s="235"/>
      <c r="Q72" s="235"/>
      <c r="R72" s="235"/>
      <c r="S72" s="235"/>
      <c r="T72" s="235"/>
      <c r="U72" s="235"/>
      <c r="V72" s="235"/>
      <c r="W72" s="235"/>
    </row>
    <row r="73" spans="1:35">
      <c r="A73" s="239"/>
      <c r="B73" s="240"/>
      <c r="C73" s="240"/>
      <c r="D73" s="240"/>
      <c r="E73" s="240"/>
      <c r="F73" s="235"/>
      <c r="G73" s="235"/>
      <c r="H73" s="235"/>
      <c r="I73" s="235"/>
      <c r="J73" s="235"/>
      <c r="K73" s="235"/>
      <c r="L73" s="235"/>
      <c r="M73" s="235"/>
      <c r="N73" s="235"/>
      <c r="O73" s="236"/>
      <c r="P73" s="235"/>
      <c r="Q73" s="235"/>
      <c r="R73" s="235"/>
      <c r="S73" s="235"/>
      <c r="T73" s="235"/>
      <c r="U73" s="235"/>
      <c r="V73" s="235"/>
      <c r="W73" s="235"/>
    </row>
    <row r="74" spans="1:35">
      <c r="A74" s="239"/>
      <c r="B74" s="240"/>
      <c r="C74" s="240"/>
      <c r="D74" s="240"/>
      <c r="E74" s="240"/>
      <c r="F74" s="235"/>
      <c r="G74" s="235"/>
      <c r="H74" s="235"/>
      <c r="I74" s="235"/>
      <c r="J74" s="235"/>
      <c r="K74" s="235"/>
      <c r="L74" s="235"/>
      <c r="M74" s="235"/>
      <c r="N74" s="235"/>
      <c r="O74" s="236"/>
      <c r="P74" s="235"/>
      <c r="Q74" s="235"/>
      <c r="R74" s="235"/>
      <c r="S74" s="235"/>
      <c r="T74" s="235"/>
      <c r="U74" s="235"/>
      <c r="V74" s="235"/>
      <c r="W74" s="235"/>
    </row>
    <row r="75" spans="1:35">
      <c r="A75" s="239"/>
      <c r="B75" s="240"/>
      <c r="C75" s="240"/>
      <c r="D75" s="240"/>
      <c r="E75" s="240"/>
      <c r="F75" s="235"/>
      <c r="G75" s="235"/>
      <c r="H75" s="235"/>
      <c r="I75" s="235"/>
      <c r="J75" s="235"/>
      <c r="K75" s="235"/>
      <c r="L75" s="235"/>
      <c r="M75" s="235"/>
      <c r="N75" s="235"/>
      <c r="O75" s="236"/>
      <c r="P75" s="235"/>
      <c r="Q75" s="235"/>
      <c r="R75" s="235"/>
      <c r="S75" s="235"/>
      <c r="T75" s="235"/>
      <c r="U75" s="235"/>
      <c r="V75" s="235"/>
      <c r="W75" s="235"/>
    </row>
    <row r="76" spans="1:35">
      <c r="A76" s="241"/>
      <c r="B76" s="242"/>
      <c r="C76" s="240"/>
      <c r="D76" s="240"/>
      <c r="E76" s="240"/>
      <c r="F76" s="235"/>
      <c r="G76" s="235"/>
      <c r="H76" s="235"/>
      <c r="I76" s="235"/>
      <c r="J76" s="235"/>
      <c r="K76" s="235"/>
      <c r="L76" s="235"/>
      <c r="M76" s="235"/>
      <c r="N76" s="235"/>
      <c r="O76" s="236"/>
      <c r="P76" s="235"/>
      <c r="Q76" s="235"/>
      <c r="R76" s="235"/>
      <c r="S76" s="235"/>
      <c r="T76" s="235"/>
      <c r="U76" s="235"/>
      <c r="V76" s="235"/>
      <c r="W76" s="235"/>
    </row>
    <row r="77" spans="1:35" ht="18.75">
      <c r="A77" s="243"/>
      <c r="B77" s="244"/>
      <c r="C77" s="244"/>
      <c r="D77" s="244"/>
      <c r="E77" s="245"/>
      <c r="F77" s="235"/>
      <c r="G77" s="235"/>
      <c r="H77" s="235"/>
      <c r="I77" s="235"/>
      <c r="J77" s="235"/>
      <c r="K77" s="235"/>
      <c r="L77" s="235"/>
      <c r="M77" s="235"/>
      <c r="N77" s="235"/>
      <c r="O77" s="236"/>
      <c r="P77" s="235"/>
      <c r="Q77" s="235"/>
      <c r="R77" s="235"/>
      <c r="S77" s="235"/>
      <c r="T77" s="235"/>
      <c r="U77" s="235"/>
      <c r="V77" s="235"/>
      <c r="W77" s="235"/>
    </row>
    <row r="78" spans="1:35">
      <c r="O78" s="181"/>
    </row>
    <row r="79" spans="1:35">
      <c r="A79" s="481" t="s">
        <v>106</v>
      </c>
      <c r="B79" s="482"/>
      <c r="C79" s="482"/>
      <c r="D79" s="482"/>
      <c r="E79" s="482"/>
      <c r="O79" s="181"/>
      <c r="X79" s="481" t="s">
        <v>110</v>
      </c>
      <c r="Y79" s="482"/>
      <c r="Z79" s="482"/>
      <c r="AA79" s="482"/>
      <c r="AB79" s="482"/>
    </row>
    <row r="80" spans="1:35">
      <c r="A80" s="8" t="s">
        <v>20</v>
      </c>
      <c r="B80" s="9">
        <v>2020</v>
      </c>
      <c r="C80" s="9">
        <v>2030</v>
      </c>
      <c r="D80" s="9">
        <v>2040</v>
      </c>
      <c r="E80" s="9">
        <v>2050</v>
      </c>
      <c r="O80" s="181"/>
      <c r="X80" s="8" t="s">
        <v>20</v>
      </c>
      <c r="Y80" s="9">
        <v>2020</v>
      </c>
      <c r="Z80" s="9">
        <v>2030</v>
      </c>
      <c r="AA80" s="9">
        <v>2040</v>
      </c>
      <c r="AB80" s="9">
        <v>2050</v>
      </c>
    </row>
    <row r="81" spans="1:28">
      <c r="A81" s="124" t="s">
        <v>15</v>
      </c>
      <c r="B81" s="86">
        <f>'Bureaux - AME'!H111+'CaHoREs - AME'!H111+'Commerce - AME'!H111+'Enseignement - AME'!H111+'Santé social - AME'!H111+'Sport Loisir Culture - AME'!H111+'Transport - AME'!H111</f>
        <v>6972.2797501238183</v>
      </c>
      <c r="C81" s="86">
        <f>'Bureaux - AME'!I111+'CaHoREs - AME'!I111+'Commerce - AME'!I111+'Enseignement - AME'!I111+'Santé social - AME'!I111+'Sport Loisir Culture - AME'!I111+'Transport - AME'!I111</f>
        <v>4111.1754441729572</v>
      </c>
      <c r="D81" s="86">
        <f>'Bureaux - AME'!J111+'CaHoREs - AME'!J111+'Commerce - AME'!J111+'Enseignement - AME'!J111+'Santé social - AME'!J111+'Sport Loisir Culture - AME'!J111+'Transport - AME'!J111</f>
        <v>3116.8321546808706</v>
      </c>
      <c r="E81" s="86">
        <f>'Bureaux - AME'!K111+'CaHoREs - AME'!K111+'Commerce - AME'!K111+'Enseignement - AME'!K111+'Santé social - AME'!K111+'Sport Loisir Culture - AME'!K111+'Transport - AME'!K111</f>
        <v>2159.2824101097335</v>
      </c>
      <c r="O81" s="181"/>
      <c r="X81" s="124" t="s">
        <v>15</v>
      </c>
      <c r="Y81" s="86">
        <f>'Bureaux - AMS'!H111+'CaHoREs - AMS'!H111+'Commerce - AMS'!H111+'Enseignement - AMS'!H111+'Santé social - AMS'!H111+'Sport Loisir Culture - AMS'!H111+'Transport - AMS'!H111</f>
        <v>15677.951348786632</v>
      </c>
      <c r="Z81" s="86">
        <f>'Bureaux - AMS'!I111+'CaHoREs - AMS'!I111+'Commerce - AMS'!I111+'Enseignement - AMS'!I111+'Santé social - AMS'!I111+'Sport Loisir Culture - AMS'!I111+'Transport - AMS'!I111</f>
        <v>1264.105666769377</v>
      </c>
      <c r="AA81" s="86">
        <f>'Bureaux - AMS'!J111+'CaHoREs - AMS'!J111+'Commerce - AMS'!J111+'Enseignement - AMS'!J111+'Santé social - AMS'!J111+'Sport Loisir Culture - AMS'!J111+'Transport - AMS'!J111</f>
        <v>0</v>
      </c>
      <c r="AB81" s="86">
        <f>'Bureaux - AMS'!K111+'CaHoREs - AMS'!K111+'Commerce - AMS'!K111+'Enseignement - AMS'!K111+'Santé social - AMS'!K111+'Sport Loisir Culture - AMS'!K111+'Transport - AMS'!K111</f>
        <v>0</v>
      </c>
    </row>
    <row r="82" spans="1:28">
      <c r="A82" s="124" t="s">
        <v>16</v>
      </c>
      <c r="B82" s="86">
        <f>'Bureaux - AME'!H112+'CaHoREs - AME'!H112+'Commerce - AME'!H112+'Enseignement - AME'!H112+'Santé social - AME'!H112+'Sport Loisir Culture - AME'!H112+'Transport - AME'!H112</f>
        <v>21704.940201780224</v>
      </c>
      <c r="C82" s="86">
        <f>'Bureaux - AME'!I112+'CaHoREs - AME'!I112+'Commerce - AME'!I112+'Enseignement - AME'!I112+'Santé social - AME'!I112+'Sport Loisir Culture - AME'!I112+'Transport - AME'!I112</f>
        <v>14287.534621015844</v>
      </c>
      <c r="D82" s="86">
        <f>'Bureaux - AME'!J112+'CaHoREs - AME'!J112+'Commerce - AME'!J112+'Enseignement - AME'!J112+'Santé social - AME'!J112+'Sport Loisir Culture - AME'!J112+'Transport - AME'!J112</f>
        <v>12077.573828638489</v>
      </c>
      <c r="E82" s="86">
        <f>'Bureaux - AME'!K112+'CaHoREs - AME'!K112+'Commerce - AME'!K112+'Enseignement - AME'!K112+'Santé social - AME'!K112+'Sport Loisir Culture - AME'!K112+'Transport - AME'!K112</f>
        <v>9839.8144785180684</v>
      </c>
      <c r="O82" s="181"/>
      <c r="X82" s="124" t="s">
        <v>16</v>
      </c>
      <c r="Y82" s="86">
        <f>'Bureaux - AMS'!H112+'CaHoREs - AMS'!H112+'Commerce - AMS'!H112+'Enseignement - AMS'!H112+'Santé social - AMS'!H112+'Sport Loisir Culture - AMS'!H112+'Transport - AMS'!H112</f>
        <v>49305.068395925598</v>
      </c>
      <c r="Z82" s="86">
        <f>'Bureaux - AMS'!I112+'CaHoREs - AMS'!I112+'Commerce - AMS'!I112+'Enseignement - AMS'!I112+'Santé social - AMS'!I112+'Sport Loisir Culture - AMS'!I112+'Transport - AMS'!I112</f>
        <v>36178.937339397955</v>
      </c>
      <c r="AA82" s="86">
        <f>'Bureaux - AMS'!J112+'CaHoREs - AMS'!J112+'Commerce - AMS'!J112+'Enseignement - AMS'!J112+'Santé social - AMS'!J112+'Sport Loisir Culture - AMS'!J112+'Transport - AMS'!J112</f>
        <v>15335.266335892529</v>
      </c>
      <c r="AB82" s="86">
        <f>'Bureaux - AMS'!K112+'CaHoREs - AMS'!K112+'Commerce - AMS'!K112+'Enseignement - AMS'!K112+'Santé social - AMS'!K112+'Sport Loisir Culture - AMS'!K112+'Transport - AMS'!K112</f>
        <v>1736.2960703027061</v>
      </c>
    </row>
    <row r="83" spans="1:28">
      <c r="A83" s="124" t="s">
        <v>21</v>
      </c>
      <c r="B83" s="86">
        <f>'Bureaux - AME'!H113+'CaHoREs - AME'!H113+'Commerce - AME'!H113+'Enseignement - AME'!H113+'Santé social - AME'!H113+'Sport Loisir Culture - AME'!H113+'Transport - AME'!H113</f>
        <v>2920.2151325253244</v>
      </c>
      <c r="C83" s="86">
        <f>'Bureaux - AME'!I113+'CaHoREs - AME'!I113+'Commerce - AME'!I113+'Enseignement - AME'!I113+'Santé social - AME'!I113+'Sport Loisir Culture - AME'!I113+'Transport - AME'!I113</f>
        <v>2518.4435815088054</v>
      </c>
      <c r="D83" s="86">
        <f>'Bureaux - AME'!J113+'CaHoREs - AME'!J113+'Commerce - AME'!J113+'Enseignement - AME'!J113+'Santé social - AME'!J113+'Sport Loisir Culture - AME'!J113+'Transport - AME'!J113</f>
        <v>2207.783880149022</v>
      </c>
      <c r="E83" s="86">
        <f>'Bureaux - AME'!K113+'CaHoREs - AME'!K113+'Commerce - AME'!K113+'Enseignement - AME'!K113+'Santé social - AME'!K113+'Sport Loisir Culture - AME'!K113+'Transport - AME'!K113</f>
        <v>1779.3642797679097</v>
      </c>
      <c r="O83" s="181"/>
      <c r="X83" s="124" t="s">
        <v>21</v>
      </c>
      <c r="Y83" s="86">
        <f>'Bureaux - AMS'!H113+'CaHoREs - AMS'!H113+'Commerce - AMS'!H113+'Enseignement - AMS'!H113+'Santé social - AMS'!H113+'Sport Loisir Culture - AMS'!H113+'Transport - AMS'!H113</f>
        <v>6576.8119096490082</v>
      </c>
      <c r="Z83" s="86">
        <f>'Bureaux - AMS'!I113+'CaHoREs - AMS'!I113+'Commerce - AMS'!I113+'Enseignement - AMS'!I113+'Santé social - AMS'!I113+'Sport Loisir Culture - AMS'!I113+'Transport - AMS'!I113</f>
        <v>12224.423276681671</v>
      </c>
      <c r="AA83" s="86">
        <f>'Bureaux - AMS'!J113+'CaHoREs - AMS'!J113+'Commerce - AMS'!J113+'Enseignement - AMS'!J113+'Santé social - AMS'!J113+'Sport Loisir Culture - AMS'!J113+'Transport - AMS'!J113</f>
        <v>13882.247394654343</v>
      </c>
      <c r="AB83" s="86">
        <f>'Bureaux - AMS'!K113+'CaHoREs - AMS'!K113+'Commerce - AMS'!K113+'Enseignement - AMS'!K113+'Santé social - AMS'!K113+'Sport Loisir Culture - AMS'!K113+'Transport - AMS'!K113</f>
        <v>13420.577043788588</v>
      </c>
    </row>
    <row r="84" spans="1:28">
      <c r="A84" s="124" t="s">
        <v>22</v>
      </c>
      <c r="B84" s="86">
        <f>'Bureaux - AME'!H114+'CaHoREs - AME'!H114+'Commerce - AME'!H114+'Enseignement - AME'!H114+'Santé social - AME'!H114+'Sport Loisir Culture - AME'!H114+'Transport - AME'!H114</f>
        <v>495.96140968305934</v>
      </c>
      <c r="C84" s="86">
        <f>'Bureaux - AME'!I114+'CaHoREs - AME'!I114+'Commerce - AME'!I114+'Enseignement - AME'!I114+'Santé social - AME'!I114+'Sport Loisir Culture - AME'!I114+'Transport - AME'!I114</f>
        <v>341.84976693568865</v>
      </c>
      <c r="D84" s="86">
        <f>'Bureaux - AME'!J114+'CaHoREs - AME'!J114+'Commerce - AME'!J114+'Enseignement - AME'!J114+'Santé social - AME'!J114+'Sport Loisir Culture - AME'!J114+'Transport - AME'!J114</f>
        <v>307.33843778195393</v>
      </c>
      <c r="E84" s="86">
        <f>'Bureaux - AME'!K114+'CaHoREs - AME'!K114+'Commerce - AME'!K114+'Enseignement - AME'!K114+'Santé social - AME'!K114+'Sport Loisir Culture - AME'!K114+'Transport - AME'!K114</f>
        <v>269.30055743257861</v>
      </c>
      <c r="O84" s="181"/>
      <c r="X84" s="124" t="s">
        <v>22</v>
      </c>
      <c r="Y84" s="86">
        <f>'Bureaux - AMS'!H114+'CaHoREs - AMS'!H114+'Commerce - AMS'!H114+'Enseignement - AMS'!H114+'Santé social - AMS'!H114+'Sport Loisir Culture - AMS'!H114+'Transport - AMS'!H114</f>
        <v>1122.0413510600783</v>
      </c>
      <c r="Z84" s="86">
        <f>'Bureaux - AMS'!I114+'CaHoREs - AMS'!I114+'Commerce - AMS'!I114+'Enseignement - AMS'!I114+'Santé social - AMS'!I114+'Sport Loisir Culture - AMS'!I114+'Transport - AMS'!I114</f>
        <v>596.48222146252886</v>
      </c>
      <c r="AA84" s="86">
        <f>'Bureaux - AMS'!J114+'CaHoREs - AMS'!J114+'Commerce - AMS'!J114+'Enseignement - AMS'!J114+'Santé social - AMS'!J114+'Sport Loisir Culture - AMS'!J114+'Transport - AMS'!J114</f>
        <v>321.73629410015496</v>
      </c>
      <c r="AB84" s="86">
        <f>'Bureaux - AMS'!K114+'CaHoREs - AMS'!K114+'Commerce - AMS'!K114+'Enseignement - AMS'!K114+'Santé social - AMS'!K114+'Sport Loisir Culture - AMS'!K114+'Transport - AMS'!K114</f>
        <v>0</v>
      </c>
    </row>
    <row r="85" spans="1:28">
      <c r="A85" s="124" t="s">
        <v>42</v>
      </c>
      <c r="B85" s="86">
        <f>'Bureaux - AME'!H115+'CaHoREs - AME'!H115+'Commerce - AME'!H115+'Enseignement - AME'!H115+'Santé social - AME'!H115+'Sport Loisir Culture - AME'!H115+'Transport - AME'!H115</f>
        <v>490.36175602403921</v>
      </c>
      <c r="C85" s="86">
        <f>'Bureaux - AME'!I115+'CaHoREs - AME'!I115+'Commerce - AME'!I115+'Enseignement - AME'!I115+'Santé social - AME'!I115+'Sport Loisir Culture - AME'!I115+'Transport - AME'!I115</f>
        <v>355.28732675483184</v>
      </c>
      <c r="D85" s="86">
        <f>'Bureaux - AME'!J115+'CaHoREs - AME'!J115+'Commerce - AME'!J115+'Enseignement - AME'!J115+'Santé social - AME'!J115+'Sport Loisir Culture - AME'!J115+'Transport - AME'!J115</f>
        <v>328.35295993095224</v>
      </c>
      <c r="E85" s="86">
        <f>'Bureaux - AME'!K115+'CaHoREs - AME'!K115+'Commerce - AME'!K115+'Enseignement - AME'!K115+'Santé social - AME'!K115+'Sport Loisir Culture - AME'!K115+'Transport - AME'!K115</f>
        <v>294.00984290647494</v>
      </c>
      <c r="O85" s="181"/>
      <c r="X85" s="124" t="s">
        <v>42</v>
      </c>
      <c r="Y85" s="86">
        <f>'Bureaux - AMS'!H115+'CaHoREs - AMS'!H115+'Commerce - AMS'!H115+'Enseignement - AMS'!H115+'Santé social - AMS'!H115+'Sport Loisir Culture - AMS'!H115+'Transport - AMS'!H115</f>
        <v>1122.8654222832949</v>
      </c>
      <c r="Z85" s="86">
        <f>'Bureaux - AMS'!I115+'CaHoREs - AMS'!I115+'Commerce - AMS'!I115+'Enseignement - AMS'!I115+'Santé social - AMS'!I115+'Sport Loisir Culture - AMS'!I115+'Transport - AMS'!I115</f>
        <v>1455.4778882397552</v>
      </c>
      <c r="AA85" s="86">
        <f>'Bureaux - AMS'!J115+'CaHoREs - AMS'!J115+'Commerce - AMS'!J115+'Enseignement - AMS'!J115+'Santé social - AMS'!J115+'Sport Loisir Culture - AMS'!J115+'Transport - AMS'!J115</f>
        <v>1933.581178129054</v>
      </c>
      <c r="AB85" s="86">
        <f>'Bureaux - AMS'!K115+'CaHoREs - AMS'!K115+'Commerce - AMS'!K115+'Enseignement - AMS'!K115+'Santé social - AMS'!K115+'Sport Loisir Culture - AMS'!K115+'Transport - AMS'!K115</f>
        <v>2587.3303114516871</v>
      </c>
    </row>
    <row r="86" spans="1:28">
      <c r="A86" s="124" t="s">
        <v>46</v>
      </c>
      <c r="B86" s="86">
        <f>'Bureaux - AME'!H116+'CaHoREs - AME'!H116+'Commerce - AME'!H116+'Enseignement - AME'!H116+'Santé social - AME'!H116+'Sport Loisir Culture - AME'!H116+'Transport - AME'!H116</f>
        <v>5412.3541772314884</v>
      </c>
      <c r="C86" s="86">
        <f>'Bureaux - AME'!I116+'CaHoREs - AME'!I116+'Commerce - AME'!I116+'Enseignement - AME'!I116+'Santé social - AME'!I116+'Sport Loisir Culture - AME'!I116+'Transport - AME'!I116</f>
        <v>3196.4902213444984</v>
      </c>
      <c r="D86" s="86">
        <f>'Bureaux - AME'!J116+'CaHoREs - AME'!J116+'Commerce - AME'!J116+'Enseignement - AME'!J116+'Santé social - AME'!J116+'Sport Loisir Culture - AME'!J116+'Transport - AME'!J116</f>
        <v>2492.2800875622565</v>
      </c>
      <c r="E86" s="86">
        <f>'Bureaux - AME'!K116+'CaHoREs - AME'!K116+'Commerce - AME'!K116+'Enseignement - AME'!K116+'Santé social - AME'!K116+'Sport Loisir Culture - AME'!K116+'Transport - AME'!K116</f>
        <v>1740.3836633885383</v>
      </c>
      <c r="O86" s="181"/>
      <c r="X86" s="124" t="s">
        <v>46</v>
      </c>
      <c r="Y86" s="86">
        <f>'Bureaux - AMS'!H116+'CaHoREs - AMS'!H116+'Commerce - AMS'!H116+'Enseignement - AMS'!H116+'Santé social - AMS'!H116+'Sport Loisir Culture - AMS'!H116+'Transport - AMS'!H116</f>
        <v>12624.855913302805</v>
      </c>
      <c r="Z86" s="86">
        <f>'Bureaux - AMS'!I116+'CaHoREs - AMS'!I116+'Commerce - AMS'!I116+'Enseignement - AMS'!I116+'Santé social - AMS'!I116+'Sport Loisir Culture - AMS'!I116+'Transport - AMS'!I116</f>
        <v>8151.8233260947982</v>
      </c>
      <c r="AA86" s="86">
        <f>'Bureaux - AMS'!J116+'CaHoREs - AMS'!J116+'Commerce - AMS'!J116+'Enseignement - AMS'!J116+'Santé social - AMS'!J116+'Sport Loisir Culture - AMS'!J116+'Transport - AMS'!J116</f>
        <v>4952.0376360351775</v>
      </c>
      <c r="AB86" s="86">
        <f>'Bureaux - AMS'!K116+'CaHoREs - AMS'!K116+'Commerce - AMS'!K116+'Enseignement - AMS'!K116+'Santé social - AMS'!K116+'Sport Loisir Culture - AMS'!K116+'Transport - AMS'!K116</f>
        <v>4384.8516099739791</v>
      </c>
    </row>
    <row r="87" spans="1:28">
      <c r="A87" s="124" t="s">
        <v>47</v>
      </c>
      <c r="B87" s="86">
        <f>'Bureaux - AME'!H117+'CaHoREs - AME'!H117+'Commerce - AME'!H117+'Enseignement - AME'!H117+'Santé social - AME'!H117+'Sport Loisir Culture - AME'!H117+'Transport - AME'!H117</f>
        <v>1068.6056721929394</v>
      </c>
      <c r="C87" s="86">
        <f>'Bureaux - AME'!I117+'CaHoREs - AME'!I117+'Commerce - AME'!I117+'Enseignement - AME'!I117+'Santé social - AME'!I117+'Sport Loisir Culture - AME'!I117+'Transport - AME'!I117</f>
        <v>1615.9998514832994</v>
      </c>
      <c r="D87" s="86">
        <f>'Bureaux - AME'!J117+'CaHoREs - AME'!J117+'Commerce - AME'!J117+'Enseignement - AME'!J117+'Santé social - AME'!J117+'Sport Loisir Culture - AME'!J117+'Transport - AME'!J117</f>
        <v>2249.9941176167463</v>
      </c>
      <c r="E87" s="86">
        <f>'Bureaux - AME'!K117+'CaHoREs - AME'!K117+'Commerce - AME'!K117+'Enseignement - AME'!K117+'Santé social - AME'!K117+'Sport Loisir Culture - AME'!K117+'Transport - AME'!K117</f>
        <v>2784.0591419598318</v>
      </c>
      <c r="O87" s="181"/>
      <c r="X87" s="124" t="s">
        <v>47</v>
      </c>
      <c r="Y87" s="86">
        <f>'Bureaux - AMS'!H117+'CaHoREs - AMS'!H117+'Commerce - AMS'!H117+'Enseignement - AMS'!H117+'Santé social - AMS'!H117+'Sport Loisir Culture - AMS'!H117+'Transport - AMS'!H117</f>
        <v>2527.148602483825</v>
      </c>
      <c r="Z87" s="86">
        <f>'Bureaux - AMS'!I117+'CaHoREs - AMS'!I117+'Commerce - AMS'!I117+'Enseignement - AMS'!I117+'Santé social - AMS'!I117+'Sport Loisir Culture - AMS'!I117+'Transport - AMS'!I117</f>
        <v>9089.5882713156825</v>
      </c>
      <c r="AA87" s="86">
        <f>'Bureaux - AMS'!J117+'CaHoREs - AMS'!J117+'Commerce - AMS'!J117+'Enseignement - AMS'!J117+'Santé social - AMS'!J117+'Sport Loisir Culture - AMS'!J117+'Transport - AMS'!J117</f>
        <v>16364.513090055359</v>
      </c>
      <c r="AB87" s="86">
        <f>'Bureaux - AMS'!K117+'CaHoREs - AMS'!K117+'Commerce - AMS'!K117+'Enseignement - AMS'!K117+'Santé social - AMS'!K117+'Sport Loisir Culture - AMS'!K117+'Transport - AMS'!K117</f>
        <v>19145.295607414995</v>
      </c>
    </row>
    <row r="88" spans="1:28">
      <c r="A88" s="12" t="s">
        <v>17</v>
      </c>
      <c r="B88" s="13">
        <f>SUM(B81:B87)</f>
        <v>39064.718099560894</v>
      </c>
      <c r="C88" s="13">
        <f t="shared" ref="C88:E88" si="15">SUM(C81:C87)</f>
        <v>26426.780813215926</v>
      </c>
      <c r="D88" s="13">
        <f t="shared" si="15"/>
        <v>22780.155466360287</v>
      </c>
      <c r="E88" s="13">
        <f t="shared" si="15"/>
        <v>18866.214374083134</v>
      </c>
      <c r="O88" s="181"/>
      <c r="X88" s="12" t="s">
        <v>17</v>
      </c>
      <c r="Y88" s="13">
        <f>SUM(Y81:Y87)</f>
        <v>88956.742943491248</v>
      </c>
      <c r="Z88" s="13">
        <f t="shared" ref="Z88:AB88" si="16">SUM(Z81:Z87)</f>
        <v>68960.837989961772</v>
      </c>
      <c r="AA88" s="13">
        <f t="shared" si="16"/>
        <v>52789.381928866627</v>
      </c>
      <c r="AB88" s="13">
        <f t="shared" si="16"/>
        <v>41274.350642931953</v>
      </c>
    </row>
    <row r="89" spans="1:28" ht="22.5">
      <c r="A89" s="179" t="s">
        <v>104</v>
      </c>
      <c r="B89" s="180">
        <f>B88/$B88-1</f>
        <v>0</v>
      </c>
      <c r="C89" s="180">
        <f>C88/$B88-1</f>
        <v>-0.32351282438889595</v>
      </c>
      <c r="D89" s="180">
        <f>D88/$B88-1</f>
        <v>-0.41686113263885682</v>
      </c>
      <c r="E89" s="180">
        <f>E88/$B88-1</f>
        <v>-0.51705233540914253</v>
      </c>
      <c r="O89" s="181"/>
      <c r="X89" s="309" t="s">
        <v>289</v>
      </c>
      <c r="Y89" s="180">
        <f>Y88/$Y88-1</f>
        <v>0</v>
      </c>
      <c r="Z89" s="180">
        <f t="shared" ref="Z89:AB89" si="17">Z88/$Y88-1</f>
        <v>-0.22478234130302688</v>
      </c>
      <c r="AA89" s="180">
        <f t="shared" si="17"/>
        <v>-0.40657245103498818</v>
      </c>
      <c r="AB89" s="180">
        <f t="shared" si="17"/>
        <v>-0.53601773989015067</v>
      </c>
    </row>
    <row r="90" spans="1:28">
      <c r="O90" s="181"/>
    </row>
    <row r="91" spans="1:28">
      <c r="A91" s="481" t="s">
        <v>107</v>
      </c>
      <c r="B91" s="482"/>
      <c r="C91" s="482"/>
      <c r="D91" s="482"/>
      <c r="E91" s="482"/>
      <c r="O91" s="181"/>
      <c r="X91" s="481" t="s">
        <v>111</v>
      </c>
      <c r="Y91" s="482"/>
      <c r="Z91" s="482"/>
      <c r="AA91" s="482"/>
      <c r="AB91" s="482"/>
    </row>
    <row r="92" spans="1:28">
      <c r="A92" s="8" t="s">
        <v>20</v>
      </c>
      <c r="B92" s="9">
        <v>2020</v>
      </c>
      <c r="C92" s="9">
        <v>2030</v>
      </c>
      <c r="D92" s="9">
        <v>2040</v>
      </c>
      <c r="E92" s="9">
        <v>2050</v>
      </c>
      <c r="O92" s="181"/>
      <c r="X92" s="8" t="s">
        <v>20</v>
      </c>
      <c r="Y92" s="9">
        <v>2020</v>
      </c>
      <c r="Z92" s="9">
        <v>2030</v>
      </c>
      <c r="AA92" s="9">
        <v>2040</v>
      </c>
      <c r="AB92" s="9">
        <v>2050</v>
      </c>
    </row>
    <row r="93" spans="1:28">
      <c r="A93" s="124" t="s">
        <v>15</v>
      </c>
      <c r="B93" s="86">
        <f>'Bureaux - AME'!H122+'CaHoREs - AME'!H122+'Commerce - AME'!H122+'Enseignement - AME'!H122+'Santé social - AME'!H122+'Sport Loisir Culture - AME'!H122+'Transport - AME'!H122</f>
        <v>10664.135425018072</v>
      </c>
      <c r="C93" s="86">
        <f>'Bureaux - AME'!I122+'CaHoREs - AME'!I122+'Commerce - AME'!I122+'Enseignement - AME'!I122+'Santé social - AME'!I122+'Sport Loisir Culture - AME'!I122+'Transport - AME'!I122</f>
        <v>8469.3394445919093</v>
      </c>
      <c r="D93" s="86">
        <f>'Bureaux - AME'!J122+'CaHoREs - AME'!J122+'Commerce - AME'!J122+'Enseignement - AME'!J122+'Santé social - AME'!J122+'Sport Loisir Culture - AME'!J122+'Transport - AME'!J122</f>
        <v>7111.1063475589381</v>
      </c>
      <c r="E93" s="86">
        <f>'Bureaux - AME'!K122+'CaHoREs - AME'!K122+'Commerce - AME'!K122+'Enseignement - AME'!K122+'Santé social - AME'!K122+'Sport Loisir Culture - AME'!K122+'Transport - AME'!K122</f>
        <v>5661.3849403460372</v>
      </c>
      <c r="O93" s="181"/>
      <c r="X93" s="124" t="s">
        <v>15</v>
      </c>
      <c r="Y93" s="86">
        <f>'Bureaux - AMS'!H122+'CaHoREs - AMS'!H122+'Commerce - AMS'!H122+'Enseignement - AMS'!H122+'Santé social - AMS'!H122+'Sport Loisir Culture - AMS'!H122+'Transport - AMS'!H122</f>
        <v>1958.4638263552558</v>
      </c>
      <c r="Z93" s="86">
        <f>'Bureaux - AMS'!I122+'CaHoREs - AMS'!I122+'Commerce - AMS'!I122+'Enseignement - AMS'!I122+'Santé social - AMS'!I122+'Sport Loisir Culture - AMS'!I122+'Transport - AMS'!I122</f>
        <v>148.62958358481993</v>
      </c>
      <c r="AA93" s="86">
        <f>'Bureaux - AMS'!J122+'CaHoREs - AMS'!J122+'Commerce - AMS'!J122+'Enseignement - AMS'!J122+'Santé social - AMS'!J122+'Sport Loisir Culture - AMS'!J122+'Transport - AMS'!J122</f>
        <v>0</v>
      </c>
      <c r="AB93" s="86">
        <f>'Bureaux - AMS'!K122+'CaHoREs - AMS'!K122+'Commerce - AMS'!K122+'Enseignement - AMS'!K122+'Santé social - AMS'!K122+'Sport Loisir Culture - AMS'!K122+'Transport - AMS'!K122</f>
        <v>0</v>
      </c>
    </row>
    <row r="94" spans="1:28">
      <c r="A94" s="124" t="s">
        <v>16</v>
      </c>
      <c r="B94" s="86">
        <f>'Bureaux - AME'!H123+'CaHoREs - AME'!H123+'Commerce - AME'!H123+'Enseignement - AME'!H123+'Santé social - AME'!H123+'Sport Loisir Culture - AME'!H123+'Transport - AME'!H123</f>
        <v>34100.629616401253</v>
      </c>
      <c r="C94" s="86">
        <f>'Bureaux - AME'!I123+'CaHoREs - AME'!I123+'Commerce - AME'!I123+'Enseignement - AME'!I123+'Santé social - AME'!I123+'Sport Loisir Culture - AME'!I123+'Transport - AME'!I123</f>
        <v>30417.542605908071</v>
      </c>
      <c r="D94" s="86">
        <f>'Bureaux - AME'!J123+'CaHoREs - AME'!J123+'Commerce - AME'!J123+'Enseignement - AME'!J123+'Santé social - AME'!J123+'Sport Loisir Culture - AME'!J123+'Transport - AME'!J123</f>
        <v>28776.695182866275</v>
      </c>
      <c r="E94" s="86">
        <f>'Bureaux - AME'!K123+'CaHoREs - AME'!K123+'Commerce - AME'!K123+'Enseignement - AME'!K123+'Santé social - AME'!K123+'Sport Loisir Culture - AME'!K123+'Transport - AME'!K123</f>
        <v>26497.280448045203</v>
      </c>
      <c r="O94" s="181"/>
      <c r="X94" s="124" t="s">
        <v>16</v>
      </c>
      <c r="Y94" s="86">
        <f>'Bureaux - AMS'!H123+'CaHoREs - AMS'!H123+'Commerce - AMS'!H123+'Enseignement - AMS'!H123+'Santé social - AMS'!H123+'Sport Loisir Culture - AMS'!H123+'Transport - AMS'!H123</f>
        <v>6500.5014222558739</v>
      </c>
      <c r="Z94" s="86">
        <f>'Bureaux - AMS'!I123+'CaHoREs - AMS'!I123+'Commerce - AMS'!I123+'Enseignement - AMS'!I123+'Santé social - AMS'!I123+'Sport Loisir Culture - AMS'!I123+'Transport - AMS'!I123</f>
        <v>4982.0249989386975</v>
      </c>
      <c r="AA94" s="86">
        <f>'Bureaux - AMS'!J123+'CaHoREs - AMS'!J123+'Commerce - AMS'!J123+'Enseignement - AMS'!J123+'Santé social - AMS'!J123+'Sport Loisir Culture - AMS'!J123+'Transport - AMS'!J123</f>
        <v>2185.2270034080384</v>
      </c>
      <c r="AB94" s="86">
        <f>'Bureaux - AMS'!K123+'CaHoREs - AMS'!K123+'Commerce - AMS'!K123+'Enseignement - AMS'!K123+'Santé social - AMS'!K123+'Sport Loisir Culture - AMS'!K123+'Transport - AMS'!K123</f>
        <v>246.26690350592375</v>
      </c>
    </row>
    <row r="95" spans="1:28">
      <c r="A95" s="124" t="s">
        <v>21</v>
      </c>
      <c r="B95" s="86">
        <f>'Bureaux - AME'!H124+'CaHoREs - AME'!H124+'Commerce - AME'!H124+'Enseignement - AME'!H124+'Santé social - AME'!H124+'Sport Loisir Culture - AME'!H124+'Transport - AME'!H124</f>
        <v>4485.3672036834887</v>
      </c>
      <c r="C95" s="86">
        <f>'Bureaux - AME'!I124+'CaHoREs - AME'!I124+'Commerce - AME'!I124+'Enseignement - AME'!I124+'Santé social - AME'!I124+'Sport Loisir Culture - AME'!I124+'Transport - AME'!I124</f>
        <v>4107.7016038147231</v>
      </c>
      <c r="D95" s="86">
        <f>'Bureaux - AME'!J124+'CaHoREs - AME'!J124+'Commerce - AME'!J124+'Enseignement - AME'!J124+'Santé social - AME'!J124+'Sport Loisir Culture - AME'!J124+'Transport - AME'!J124</f>
        <v>4101.0629682288627</v>
      </c>
      <c r="E95" s="86">
        <f>'Bureaux - AME'!K124+'CaHoREs - AME'!K124+'Commerce - AME'!K124+'Enseignement - AME'!K124+'Santé social - AME'!K124+'Sport Loisir Culture - AME'!K124+'Transport - AME'!K124</f>
        <v>3861.5949442739256</v>
      </c>
      <c r="O95" s="181"/>
      <c r="X95" s="124" t="s">
        <v>21</v>
      </c>
      <c r="Y95" s="86">
        <f>'Bureaux - AMS'!H124+'CaHoREs - AMS'!H124+'Commerce - AMS'!H124+'Enseignement - AMS'!H124+'Santé social - AMS'!H124+'Sport Loisir Culture - AMS'!H124+'Transport - AMS'!H124</f>
        <v>828.77042655980381</v>
      </c>
      <c r="Z95" s="86">
        <f>'Bureaux - AMS'!I124+'CaHoREs - AMS'!I124+'Commerce - AMS'!I124+'Enseignement - AMS'!I124+'Santé social - AMS'!I124+'Sport Loisir Culture - AMS'!I124+'Transport - AMS'!I124</f>
        <v>1729.5923783732455</v>
      </c>
      <c r="AA95" s="86">
        <f>'Bureaux - AMS'!J124+'CaHoREs - AMS'!J124+'Commerce - AMS'!J124+'Enseignement - AMS'!J124+'Santé social - AMS'!J124+'Sport Loisir Culture - AMS'!J124+'Transport - AMS'!J124</f>
        <v>2166.5327814169841</v>
      </c>
      <c r="AB95" s="86">
        <f>'Bureaux - AMS'!K124+'CaHoREs - AMS'!K124+'Commerce - AMS'!K124+'Enseignement - AMS'!K124+'Santé social - AMS'!K124+'Sport Loisir Culture - AMS'!K124+'Transport - AMS'!K124</f>
        <v>2268.5550789167792</v>
      </c>
    </row>
    <row r="96" spans="1:28">
      <c r="A96" s="124" t="s">
        <v>22</v>
      </c>
      <c r="B96" s="86">
        <f>'Bureaux - AME'!H125+'CaHoREs - AME'!H125+'Commerce - AME'!H125+'Enseignement - AME'!H125+'Santé social - AME'!H125+'Sport Loisir Culture - AME'!H125+'Transport - AME'!H125</f>
        <v>776.61727075096542</v>
      </c>
      <c r="C96" s="86">
        <f>'Bureaux - AME'!I125+'CaHoREs - AME'!I125+'Commerce - AME'!I125+'Enseignement - AME'!I125+'Santé social - AME'!I125+'Sport Loisir Culture - AME'!I125+'Transport - AME'!I125</f>
        <v>708.74035963160782</v>
      </c>
      <c r="D96" s="86">
        <f>'Bureaux - AME'!J125+'CaHoREs - AME'!J125+'Commerce - AME'!J125+'Enseignement - AME'!J125+'Santé social - AME'!J125+'Sport Loisir Culture - AME'!J125+'Transport - AME'!J125</f>
        <v>698.31184745678729</v>
      </c>
      <c r="E96" s="86">
        <f>'Bureaux - AME'!K125+'CaHoREs - AME'!K125+'Commerce - AME'!K125+'Enseignement - AME'!K125+'Santé social - AME'!K125+'Sport Loisir Culture - AME'!K125+'Transport - AME'!K125</f>
        <v>670.69558321777947</v>
      </c>
      <c r="O96" s="181"/>
      <c r="X96" s="124" t="s">
        <v>22</v>
      </c>
      <c r="Y96" s="86">
        <f>'Bureaux - AMS'!H125+'CaHoREs - AMS'!H125+'Commerce - AMS'!H125+'Enseignement - AMS'!H125+'Santé social - AMS'!H125+'Sport Loisir Culture - AMS'!H125+'Transport - AMS'!H125</f>
        <v>150.53732937394653</v>
      </c>
      <c r="Z96" s="86">
        <f>'Bureaux - AMS'!I125+'CaHoREs - AMS'!I125+'Commerce - AMS'!I125+'Enseignement - AMS'!I125+'Santé social - AMS'!I125+'Sport Loisir Culture - AMS'!I125+'Transport - AMS'!I125</f>
        <v>91.961003463984241</v>
      </c>
      <c r="AA96" s="86">
        <f>'Bureaux - AMS'!J125+'CaHoREs - AMS'!J125+'Commerce - AMS'!J125+'Enseignement - AMS'!J125+'Santé social - AMS'!J125+'Sport Loisir Culture - AMS'!J125+'Transport - AMS'!J125</f>
        <v>47.619275982460785</v>
      </c>
      <c r="AB96" s="86">
        <f>'Bureaux - AMS'!K125+'CaHoREs - AMS'!K125+'Commerce - AMS'!K125+'Enseignement - AMS'!K125+'Santé social - AMS'!K125+'Sport Loisir Culture - AMS'!K125+'Transport - AMS'!K125</f>
        <v>0</v>
      </c>
    </row>
    <row r="97" spans="1:30">
      <c r="A97" s="124" t="s">
        <v>42</v>
      </c>
      <c r="B97" s="86">
        <f>'Bureaux - AME'!H126+'CaHoREs - AME'!H126+'Commerce - AME'!H126+'Enseignement - AME'!H126+'Santé social - AME'!H126+'Sport Loisir Culture - AME'!H126+'Transport - AME'!H126</f>
        <v>804.31191233700827</v>
      </c>
      <c r="C97" s="86">
        <f>'Bureaux - AME'!I126+'CaHoREs - AME'!I126+'Commerce - AME'!I126+'Enseignement - AME'!I126+'Santé social - AME'!I126+'Sport Loisir Culture - AME'!I126+'Transport - AME'!I126</f>
        <v>869.15982965288754</v>
      </c>
      <c r="D97" s="86">
        <f>'Bureaux - AME'!J126+'CaHoREs - AME'!J126+'Commerce - AME'!J126+'Enseignement - AME'!J126+'Santé social - AME'!J126+'Sport Loisir Culture - AME'!J126+'Transport - AME'!J126</f>
        <v>986.02448796196029</v>
      </c>
      <c r="E97" s="86">
        <f>'Bureaux - AME'!K126+'CaHoREs - AME'!K126+'Commerce - AME'!K126+'Enseignement - AME'!K126+'Santé social - AME'!K126+'Sport Loisir Culture - AME'!K126+'Transport - AME'!K126</f>
        <v>1065.407126212112</v>
      </c>
      <c r="O97" s="181"/>
      <c r="X97" s="124" t="s">
        <v>42</v>
      </c>
      <c r="Y97" s="86">
        <f>'Bureaux - AMS'!H126+'CaHoREs - AMS'!H126+'Commerce - AMS'!H126+'Enseignement - AMS'!H126+'Santé social - AMS'!H126+'Sport Loisir Culture - AMS'!H126+'Transport - AMS'!H126</f>
        <v>171.80824607775244</v>
      </c>
      <c r="Z97" s="86">
        <f>'Bureaux - AMS'!I126+'CaHoREs - AMS'!I126+'Commerce - AMS'!I126+'Enseignement - AMS'!I126+'Santé social - AMS'!I126+'Sport Loisir Culture - AMS'!I126+'Transport - AMS'!I126</f>
        <v>222.7834502447312</v>
      </c>
      <c r="AA97" s="86">
        <f>'Bureaux - AMS'!J126+'CaHoREs - AMS'!J126+'Commerce - AMS'!J126+'Enseignement - AMS'!J126+'Santé social - AMS'!J126+'Sport Loisir Culture - AMS'!J126+'Transport - AMS'!J126</f>
        <v>291.11526134109982</v>
      </c>
      <c r="AB97" s="86">
        <f>'Bureaux - AMS'!K126+'CaHoREs - AMS'!K126+'Commerce - AMS'!K126+'Enseignement - AMS'!K126+'Santé social - AMS'!K126+'Sport Loisir Culture - AMS'!K126+'Transport - AMS'!K126</f>
        <v>430.90688771250166</v>
      </c>
    </row>
    <row r="98" spans="1:30">
      <c r="A98" s="124" t="s">
        <v>46</v>
      </c>
      <c r="B98" s="86">
        <f>'Bureaux - AME'!H127+'CaHoREs - AME'!H127+'Commerce - AME'!H127+'Enseignement - AME'!H127+'Santé social - AME'!H127+'Sport Loisir Culture - AME'!H127+'Transport - AME'!H127</f>
        <v>9195.0988158877972</v>
      </c>
      <c r="C98" s="86">
        <f>'Bureaux - AME'!I127+'CaHoREs - AME'!I127+'Commerce - AME'!I127+'Enseignement - AME'!I127+'Santé social - AME'!I127+'Sport Loisir Culture - AME'!I127+'Transport - AME'!I127</f>
        <v>6909.9241139897831</v>
      </c>
      <c r="D98" s="86">
        <f>'Bureaux - AME'!J127+'CaHoREs - AME'!J127+'Commerce - AME'!J127+'Enseignement - AME'!J127+'Santé social - AME'!J127+'Sport Loisir Culture - AME'!J127+'Transport - AME'!J127</f>
        <v>5455.2332800261493</v>
      </c>
      <c r="E98" s="86">
        <f>'Bureaux - AME'!K127+'CaHoREs - AME'!K127+'Commerce - AME'!K127+'Enseignement - AME'!K127+'Santé social - AME'!K127+'Sport Loisir Culture - AME'!K127+'Transport - AME'!K127</f>
        <v>4046.2273051491525</v>
      </c>
      <c r="O98" s="181"/>
      <c r="X98" s="124" t="s">
        <v>46</v>
      </c>
      <c r="Y98" s="86">
        <f>'Bureaux - AMS'!H127+'CaHoREs - AMS'!H127+'Commerce - AMS'!H127+'Enseignement - AMS'!H127+'Santé social - AMS'!H127+'Sport Loisir Culture - AMS'!H127+'Transport - AMS'!H127</f>
        <v>1982.5970798164833</v>
      </c>
      <c r="Z98" s="86">
        <f>'Bureaux - AMS'!I127+'CaHoREs - AMS'!I127+'Commerce - AMS'!I127+'Enseignement - AMS'!I127+'Santé social - AMS'!I127+'Sport Loisir Culture - AMS'!I127+'Transport - AMS'!I127</f>
        <v>1060.0354331916919</v>
      </c>
      <c r="AA98" s="86">
        <f>'Bureaux - AMS'!J127+'CaHoREs - AMS'!J127+'Commerce - AMS'!J127+'Enseignement - AMS'!J127+'Santé social - AMS'!J127+'Sport Loisir Culture - AMS'!J127+'Transport - AMS'!J127</f>
        <v>693.61101996576963</v>
      </c>
      <c r="AB98" s="86">
        <f>'Bureaux - AMS'!K127+'CaHoREs - AMS'!K127+'Commerce - AMS'!K127+'Enseignement - AMS'!K127+'Santé social - AMS'!K127+'Sport Loisir Culture - AMS'!K127+'Transport - AMS'!K127</f>
        <v>586.61881586736911</v>
      </c>
    </row>
    <row r="99" spans="1:30">
      <c r="A99" s="124" t="s">
        <v>47</v>
      </c>
      <c r="B99" s="86">
        <f>'Bureaux - AME'!H128+'CaHoREs - AME'!H128+'Commerce - AME'!H128+'Enseignement - AME'!H128+'Santé social - AME'!H128+'Sport Loisir Culture - AME'!H128+'Transport - AME'!H128</f>
        <v>1906.7890903026712</v>
      </c>
      <c r="C99" s="86">
        <f>'Bureaux - AME'!I128+'CaHoREs - AME'!I128+'Commerce - AME'!I128+'Enseignement - AME'!I128+'Santé social - AME'!I128+'Sport Loisir Culture - AME'!I128+'Transport - AME'!I128</f>
        <v>2967.0521594826173</v>
      </c>
      <c r="D99" s="86">
        <f>'Bureaux - AME'!J128+'CaHoREs - AME'!J128+'Commerce - AME'!J128+'Enseignement - AME'!J128+'Santé social - AME'!J128+'Sport Loisir Culture - AME'!J128+'Transport - AME'!J128</f>
        <v>4262.1098486524752</v>
      </c>
      <c r="E99" s="86">
        <f>'Bureaux - AME'!K128+'CaHoREs - AME'!K128+'Commerce - AME'!K128+'Enseignement - AME'!K128+'Santé social - AME'!K128+'Sport Loisir Culture - AME'!K128+'Transport - AME'!K128</f>
        <v>4989.1781380424372</v>
      </c>
      <c r="O99" s="181"/>
      <c r="X99" s="124" t="s">
        <v>47</v>
      </c>
      <c r="Y99" s="86">
        <f>'Bureaux - AMS'!H128+'CaHoREs - AMS'!H128+'Commerce - AMS'!H128+'Enseignement - AMS'!H128+'Santé social - AMS'!H128+'Sport Loisir Culture - AMS'!H128+'Transport - AMS'!H128</f>
        <v>448.24616001178532</v>
      </c>
      <c r="Z99" s="86">
        <f>'Bureaux - AMS'!I128+'CaHoREs - AMS'!I128+'Commerce - AMS'!I128+'Enseignement - AMS'!I128+'Santé social - AMS'!I128+'Sport Loisir Culture - AMS'!I128+'Transport - AMS'!I128</f>
        <v>1291.395074758743</v>
      </c>
      <c r="AA99" s="86">
        <f>'Bureaux - AMS'!J128+'CaHoREs - AMS'!J128+'Commerce - AMS'!J128+'Enseignement - AMS'!J128+'Santé social - AMS'!J128+'Sport Loisir Culture - AMS'!J128+'Transport - AMS'!J128</f>
        <v>2113.6986119763219</v>
      </c>
      <c r="AB99" s="86">
        <f>'Bureaux - AMS'!K128+'CaHoREs - AMS'!K128+'Commerce - AMS'!K128+'Enseignement - AMS'!K128+'Santé social - AMS'!K128+'Sport Loisir Culture - AMS'!K128+'Transport - AMS'!K128</f>
        <v>2304.0709945824424</v>
      </c>
    </row>
    <row r="100" spans="1:30">
      <c r="A100" s="12" t="s">
        <v>17</v>
      </c>
      <c r="B100" s="13">
        <f>SUM(B93:B99)</f>
        <v>61932.949334381257</v>
      </c>
      <c r="C100" s="13">
        <f t="shared" ref="C100:E100" si="18">SUM(C93:C99)</f>
        <v>54449.460117071605</v>
      </c>
      <c r="D100" s="13">
        <f t="shared" si="18"/>
        <v>51390.543962751442</v>
      </c>
      <c r="E100" s="13">
        <f t="shared" si="18"/>
        <v>46791.768485286644</v>
      </c>
      <c r="O100" s="181"/>
      <c r="X100" s="12" t="s">
        <v>17</v>
      </c>
      <c r="Y100" s="13">
        <f>SUM(Y93:Y99)</f>
        <v>12040.924490450903</v>
      </c>
      <c r="Z100" s="13">
        <f t="shared" ref="Z100:AB100" si="19">SUM(Z93:Z99)</f>
        <v>9526.4219225559118</v>
      </c>
      <c r="AA100" s="13">
        <f t="shared" si="19"/>
        <v>7497.8039540906739</v>
      </c>
      <c r="AB100" s="13">
        <f t="shared" si="19"/>
        <v>5836.4186805850159</v>
      </c>
    </row>
    <row r="101" spans="1:30" ht="22.5">
      <c r="A101" s="179" t="s">
        <v>104</v>
      </c>
      <c r="B101" s="180">
        <f>B100/$B100-1</f>
        <v>0</v>
      </c>
      <c r="C101" s="180">
        <f>C100/$B100-1</f>
        <v>-0.12083211437107022</v>
      </c>
      <c r="D101" s="180">
        <f>D100/$B100-1</f>
        <v>-0.17022288595865942</v>
      </c>
      <c r="E101" s="180">
        <f>E100/$B100-1</f>
        <v>-0.24447698699679377</v>
      </c>
      <c r="O101" s="181"/>
      <c r="X101" s="309" t="s">
        <v>289</v>
      </c>
      <c r="Y101" s="180">
        <f>Y100/$Y100-1</f>
        <v>0</v>
      </c>
      <c r="Z101" s="180">
        <f t="shared" ref="Z101:AB101" si="20">Z100/$Y100-1</f>
        <v>-0.20882969325894585</v>
      </c>
      <c r="AA101" s="180">
        <f t="shared" si="20"/>
        <v>-0.37730662126177827</v>
      </c>
      <c r="AB101" s="180">
        <f t="shared" si="20"/>
        <v>-0.51528483670721403</v>
      </c>
    </row>
    <row r="102" spans="1:30">
      <c r="O102" s="181"/>
    </row>
    <row r="103" spans="1:30">
      <c r="O103" s="181"/>
      <c r="Y103" s="178"/>
      <c r="Z103" s="178"/>
      <c r="AA103" s="178"/>
      <c r="AB103" s="178"/>
    </row>
    <row r="104" spans="1:30">
      <c r="O104" s="181"/>
    </row>
    <row r="105" spans="1:30">
      <c r="O105" s="181"/>
    </row>
    <row r="106" spans="1:30" ht="14.45" customHeight="1">
      <c r="A106" s="483" t="s">
        <v>199</v>
      </c>
      <c r="B106" s="483"/>
      <c r="C106" s="483"/>
      <c r="D106" s="483"/>
      <c r="E106" s="483"/>
      <c r="F106" s="483"/>
      <c r="G106" s="483"/>
      <c r="H106" s="483"/>
      <c r="I106" s="483"/>
      <c r="J106" s="483"/>
      <c r="K106" s="483"/>
      <c r="L106" s="483"/>
      <c r="M106" s="483"/>
      <c r="N106" s="483"/>
      <c r="O106" s="181"/>
      <c r="P106" s="483" t="s">
        <v>199</v>
      </c>
      <c r="Q106" s="483"/>
      <c r="R106" s="483"/>
      <c r="S106" s="483"/>
      <c r="T106" s="483"/>
      <c r="U106" s="483"/>
      <c r="V106" s="483"/>
      <c r="W106" s="483"/>
      <c r="X106" s="483"/>
      <c r="Y106" s="483"/>
      <c r="Z106" s="483"/>
      <c r="AA106" s="483"/>
      <c r="AB106" s="483"/>
      <c r="AC106" s="483"/>
      <c r="AD106" s="230"/>
    </row>
    <row r="107" spans="1:30" ht="14.45" customHeight="1">
      <c r="A107" s="483"/>
      <c r="B107" s="483"/>
      <c r="C107" s="483"/>
      <c r="D107" s="483"/>
      <c r="E107" s="483"/>
      <c r="F107" s="483"/>
      <c r="G107" s="483"/>
      <c r="H107" s="483"/>
      <c r="I107" s="483"/>
      <c r="J107" s="483"/>
      <c r="K107" s="483"/>
      <c r="L107" s="483"/>
      <c r="M107" s="483"/>
      <c r="N107" s="483"/>
      <c r="O107" s="181"/>
      <c r="P107" s="483"/>
      <c r="Q107" s="483"/>
      <c r="R107" s="483"/>
      <c r="S107" s="483"/>
      <c r="T107" s="483"/>
      <c r="U107" s="483"/>
      <c r="V107" s="483"/>
      <c r="W107" s="483"/>
      <c r="X107" s="483"/>
      <c r="Y107" s="483"/>
      <c r="Z107" s="483"/>
      <c r="AA107" s="483"/>
      <c r="AB107" s="483"/>
      <c r="AC107" s="483"/>
      <c r="AD107" s="230"/>
    </row>
    <row r="108" spans="1:30">
      <c r="O108" s="181"/>
    </row>
    <row r="109" spans="1:30">
      <c r="O109" s="181"/>
    </row>
    <row r="110" spans="1:30">
      <c r="O110" s="181"/>
    </row>
    <row r="111" spans="1:30">
      <c r="O111" s="181"/>
    </row>
    <row r="112" spans="1:30">
      <c r="A112" s="478" t="s">
        <v>60</v>
      </c>
      <c r="B112" s="479"/>
      <c r="C112" s="479"/>
      <c r="D112" s="479"/>
      <c r="E112" s="479"/>
      <c r="O112" s="181"/>
      <c r="X112" s="478" t="s">
        <v>215</v>
      </c>
      <c r="Y112" s="479"/>
      <c r="Z112" s="479"/>
      <c r="AA112" s="479"/>
      <c r="AB112" s="479"/>
    </row>
    <row r="113" spans="1:38">
      <c r="A113" s="8" t="s">
        <v>20</v>
      </c>
      <c r="B113" s="9">
        <v>2020</v>
      </c>
      <c r="C113" s="9">
        <v>2030</v>
      </c>
      <c r="D113" s="9">
        <v>2040</v>
      </c>
      <c r="E113" s="9">
        <v>2050</v>
      </c>
      <c r="O113" s="181"/>
      <c r="X113" s="8" t="s">
        <v>20</v>
      </c>
      <c r="Y113" s="9">
        <v>2020</v>
      </c>
      <c r="Z113" s="9">
        <v>2021</v>
      </c>
      <c r="AA113" s="9">
        <v>2022</v>
      </c>
      <c r="AB113" s="9">
        <v>2023</v>
      </c>
    </row>
    <row r="114" spans="1:38">
      <c r="A114" s="124" t="s">
        <v>176</v>
      </c>
      <c r="B114" s="225">
        <f>'Hors chauffage - AME'!E6*1000</f>
        <v>135185.90450817489</v>
      </c>
      <c r="C114" s="225">
        <f>'Hors chauffage - AME'!F6*1000</f>
        <v>143571.48465130985</v>
      </c>
      <c r="D114" s="225">
        <f>'Hors chauffage - AME'!G6*1000</f>
        <v>166296.47997488041</v>
      </c>
      <c r="E114" s="225">
        <f>'Hors chauffage - AME'!H6*1000</f>
        <v>196606.62358904525</v>
      </c>
      <c r="O114" s="181"/>
      <c r="X114" s="124" t="s">
        <v>176</v>
      </c>
      <c r="Y114" s="225">
        <f>'Hors chauffage - AMS'!E6*1000</f>
        <v>128079.98349568721</v>
      </c>
      <c r="Z114" s="225">
        <f>'Hors chauffage - AMS'!F6*1000</f>
        <v>116041.44804383353</v>
      </c>
      <c r="AA114" s="225">
        <f>'Hors chauffage - AMS'!G6*1000</f>
        <v>115426.50807747479</v>
      </c>
      <c r="AB114" s="225">
        <f>'Hors chauffage - AMS'!H6*1000</f>
        <v>116065.40866830367</v>
      </c>
    </row>
    <row r="115" spans="1:38">
      <c r="A115" s="124" t="s">
        <v>76</v>
      </c>
      <c r="B115" s="225">
        <f>'Hors chauffage - AME'!E7*1000</f>
        <v>16918.432156631196</v>
      </c>
      <c r="C115" s="225">
        <f>'Hors chauffage - AME'!F7*1000</f>
        <v>14402.066372549833</v>
      </c>
      <c r="D115" s="225">
        <f>'Hors chauffage - AME'!G7*1000</f>
        <v>13527.232268561685</v>
      </c>
      <c r="E115" s="225">
        <f>'Hors chauffage - AME'!H7*1000</f>
        <v>12627.611524259042</v>
      </c>
      <c r="O115" s="181"/>
      <c r="X115" s="124" t="s">
        <v>76</v>
      </c>
      <c r="Y115" s="225">
        <f>'Hors chauffage - AMS'!E7*1000</f>
        <v>17051.351069612236</v>
      </c>
      <c r="Z115" s="225">
        <f>'Hors chauffage - AMS'!F7*1000</f>
        <v>9743.2810929397365</v>
      </c>
      <c r="AA115" s="225">
        <f>'Hors chauffage - AMS'!G7*1000</f>
        <v>4108.0765251679504</v>
      </c>
      <c r="AB115" s="225">
        <f>'Hors chauffage - AMS'!H7*1000</f>
        <v>835.87520013279232</v>
      </c>
    </row>
    <row r="116" spans="1:38">
      <c r="A116" s="124" t="s">
        <v>177</v>
      </c>
      <c r="B116" s="225">
        <f>'Hors chauffage - AME'!E8*1000</f>
        <v>4958.7960253733008</v>
      </c>
      <c r="C116" s="225">
        <f>'Hors chauffage - AME'!F8*1000</f>
        <v>3883.0438834044844</v>
      </c>
      <c r="D116" s="225">
        <f>'Hors chauffage - AME'!G8*1000</f>
        <v>3298.4830966687159</v>
      </c>
      <c r="E116" s="225">
        <f>'Hors chauffage - AME'!H8*1000</f>
        <v>2934.6220514475667</v>
      </c>
      <c r="O116" s="181"/>
      <c r="X116" s="124" t="s">
        <v>177</v>
      </c>
      <c r="Y116" s="225">
        <f>'Hors chauffage - AMS'!E8*1000</f>
        <v>4958.7960253733008</v>
      </c>
      <c r="Z116" s="225">
        <f>'Hors chauffage - AMS'!F8*1000</f>
        <v>244.52002293735907</v>
      </c>
      <c r="AA116" s="225">
        <f>'Hors chauffage - AMS'!G8*1000</f>
        <v>0</v>
      </c>
      <c r="AB116" s="225">
        <f>'Hors chauffage - AMS'!H8*1000</f>
        <v>0</v>
      </c>
    </row>
    <row r="117" spans="1:38">
      <c r="A117" s="124" t="s">
        <v>133</v>
      </c>
      <c r="B117" s="225">
        <f>'Hors chauffage - AME'!E9*1000</f>
        <v>214.6153499104517</v>
      </c>
      <c r="C117" s="225">
        <f>'Hors chauffage - AME'!F9*1000</f>
        <v>237.24516632789317</v>
      </c>
      <c r="D117" s="225">
        <f>'Hors chauffage - AME'!G9*1000</f>
        <v>247.32151527102963</v>
      </c>
      <c r="E117" s="225">
        <f>'Hors chauffage - AME'!H9*1000</f>
        <v>253.94561321281111</v>
      </c>
      <c r="O117" s="181"/>
      <c r="X117" s="124" t="s">
        <v>133</v>
      </c>
      <c r="Y117" s="225">
        <f>'Hors chauffage - AMS'!E9*1000</f>
        <v>214.6153499104517</v>
      </c>
      <c r="Z117" s="225">
        <f>'Hors chauffage - AMS'!F9*1000</f>
        <v>663.01904787483431</v>
      </c>
      <c r="AA117" s="225">
        <f>'Hors chauffage - AMS'!G9*1000</f>
        <v>533.48745170182087</v>
      </c>
      <c r="AB117" s="225">
        <f>'Hors chauffage - AMS'!H9*1000</f>
        <v>436.08334641640846</v>
      </c>
    </row>
    <row r="118" spans="1:38">
      <c r="A118" s="124" t="s">
        <v>178</v>
      </c>
      <c r="B118" s="225">
        <f>'Hors chauffage - AME'!E10*1000</f>
        <v>1550.4931364675845</v>
      </c>
      <c r="C118" s="225">
        <f>'Hors chauffage - AME'!F10*1000</f>
        <v>1705.013329449637</v>
      </c>
      <c r="D118" s="225">
        <f>'Hors chauffage - AME'!G10*1000</f>
        <v>1647.084315696889</v>
      </c>
      <c r="E118" s="225">
        <f>'Hors chauffage - AME'!H10*1000</f>
        <v>1557.3658025191423</v>
      </c>
      <c r="O118" s="181"/>
      <c r="X118" s="124" t="s">
        <v>178</v>
      </c>
      <c r="Y118" s="225">
        <f>'Hors chauffage - AMS'!E10*1000</f>
        <v>1550.4931364675845</v>
      </c>
      <c r="Z118" s="225">
        <f>'Hors chauffage - AMS'!F10*1000</f>
        <v>3511.2270385742158</v>
      </c>
      <c r="AA118" s="225">
        <f>'Hors chauffage - AMS'!G10*1000</f>
        <v>3436.1166994956225</v>
      </c>
      <c r="AB118" s="225">
        <f>'Hors chauffage - AMS'!H10*1000</f>
        <v>3059.0484809762529</v>
      </c>
    </row>
    <row r="119" spans="1:38">
      <c r="A119" s="231" t="s">
        <v>201</v>
      </c>
      <c r="B119" s="225">
        <v>0</v>
      </c>
      <c r="C119" s="225">
        <v>0</v>
      </c>
      <c r="D119" s="225">
        <v>0</v>
      </c>
      <c r="E119" s="225">
        <v>0</v>
      </c>
      <c r="O119" s="181"/>
      <c r="X119" s="231" t="s">
        <v>201</v>
      </c>
      <c r="Y119" s="225">
        <f>'Hors chauffage - AMS'!E11</f>
        <v>0</v>
      </c>
      <c r="Z119" s="225">
        <f>'Hors chauffage - AMS'!F11</f>
        <v>0.10237102088032926</v>
      </c>
      <c r="AA119" s="225">
        <f>'Hors chauffage - AMS'!G11</f>
        <v>0.17748115370700243</v>
      </c>
      <c r="AB119" s="225">
        <f>'Hors chauffage - AMS'!H11</f>
        <v>0.22978421623662629</v>
      </c>
    </row>
    <row r="120" spans="1:38">
      <c r="A120" s="231" t="s">
        <v>17</v>
      </c>
      <c r="B120" s="225">
        <f>'Hors chauffage - AME'!E5*1000</f>
        <v>158828.24117655741</v>
      </c>
      <c r="C120" s="225">
        <f>'Hors chauffage - AME'!F5*1000</f>
        <v>163798.85340304166</v>
      </c>
      <c r="D120" s="225">
        <f>'Hors chauffage - AME'!G5*1000</f>
        <v>185016.60117107874</v>
      </c>
      <c r="E120" s="225">
        <f>'Hors chauffage - AME'!H5*1000</f>
        <v>213980.16858048382</v>
      </c>
      <c r="O120" s="181"/>
      <c r="X120" s="231" t="s">
        <v>17</v>
      </c>
      <c r="Y120" s="225">
        <f>'Hors chauffage - AMS'!E5*1000</f>
        <v>151855.23907705076</v>
      </c>
      <c r="Z120" s="225">
        <f>'Hors chauffage - AMS'!F5*1000</f>
        <v>130305.86626704002</v>
      </c>
      <c r="AA120" s="225">
        <f>'Hors chauffage - AMS'!G5*1000</f>
        <v>123681.66990754718</v>
      </c>
      <c r="AB120" s="225">
        <f>'Hors chauffage - AMS'!H5*1000</f>
        <v>120626.19991206576</v>
      </c>
    </row>
    <row r="121" spans="1:38">
      <c r="B121" s="232"/>
      <c r="C121" s="232"/>
      <c r="D121" s="232"/>
      <c r="E121" s="232"/>
      <c r="O121" s="181"/>
      <c r="Y121" s="232"/>
      <c r="Z121" s="232"/>
      <c r="AA121" s="232"/>
      <c r="AB121" s="232"/>
    </row>
    <row r="122" spans="1:38">
      <c r="A122" s="478" t="s">
        <v>98</v>
      </c>
      <c r="B122" s="479"/>
      <c r="C122" s="479"/>
      <c r="D122" s="479"/>
      <c r="E122" s="479"/>
      <c r="O122" s="181"/>
      <c r="X122" s="478" t="s">
        <v>98</v>
      </c>
      <c r="Y122" s="479"/>
      <c r="Z122" s="479"/>
      <c r="AA122" s="479"/>
      <c r="AB122" s="479"/>
    </row>
    <row r="123" spans="1:38" ht="18.75">
      <c r="A123" s="8" t="s">
        <v>179</v>
      </c>
      <c r="B123" s="224">
        <f>B120/$B120-1</f>
        <v>0</v>
      </c>
      <c r="C123" s="224">
        <f t="shared" ref="C123:E123" si="21">C120/$B120-1</f>
        <v>3.1295518918192933E-2</v>
      </c>
      <c r="D123" s="224">
        <f t="shared" si="21"/>
        <v>0.16488478245760918</v>
      </c>
      <c r="E123" s="185">
        <f t="shared" si="21"/>
        <v>0.34724257471703757</v>
      </c>
      <c r="F123" t="s">
        <v>376</v>
      </c>
      <c r="O123" s="181"/>
      <c r="X123" s="8" t="s">
        <v>179</v>
      </c>
      <c r="Y123" s="224">
        <f>Y120/$B120-1</f>
        <v>-4.3902784843882325E-2</v>
      </c>
      <c r="Z123" s="224">
        <f t="shared" ref="Z123:AA123" si="22">Z120/$B120-1</f>
        <v>-0.17957999596439023</v>
      </c>
      <c r="AA123" s="224">
        <f t="shared" si="22"/>
        <v>-0.22128666167083233</v>
      </c>
      <c r="AB123" s="185">
        <f>AB120/$Y120-1</f>
        <v>-0.20565006090530413</v>
      </c>
    </row>
    <row r="124" spans="1:38">
      <c r="O124" s="181"/>
    </row>
    <row r="125" spans="1:38">
      <c r="O125" s="181"/>
    </row>
    <row r="126" spans="1:38">
      <c r="O126" s="181"/>
      <c r="AI126" s="16" t="s">
        <v>180</v>
      </c>
      <c r="AJ126" s="16">
        <v>2019</v>
      </c>
      <c r="AK126" s="16" t="s">
        <v>181</v>
      </c>
      <c r="AL126" s="16" t="s">
        <v>160</v>
      </c>
    </row>
    <row r="127" spans="1:38" ht="15" customHeight="1" thickBot="1">
      <c r="A127" s="483" t="s">
        <v>212</v>
      </c>
      <c r="B127" s="483"/>
      <c r="C127" s="483"/>
      <c r="D127" s="483"/>
      <c r="E127" s="483"/>
      <c r="F127" s="483"/>
      <c r="G127" s="483"/>
      <c r="H127" s="483"/>
      <c r="I127" s="483"/>
      <c r="J127" s="483"/>
      <c r="K127" s="483"/>
      <c r="L127" s="483"/>
      <c r="M127" s="483"/>
      <c r="N127" s="483"/>
      <c r="O127" s="181"/>
      <c r="P127" s="483" t="s">
        <v>217</v>
      </c>
      <c r="Q127" s="483"/>
      <c r="R127" s="483"/>
      <c r="S127" s="483"/>
      <c r="T127" s="483"/>
      <c r="U127" s="483"/>
      <c r="V127" s="483"/>
      <c r="W127" s="483"/>
      <c r="X127" s="483"/>
      <c r="Y127" s="483"/>
      <c r="Z127" s="483"/>
      <c r="AA127" s="483"/>
      <c r="AB127" s="483"/>
      <c r="AC127" s="483"/>
      <c r="AD127" s="230"/>
      <c r="AK127" s="226">
        <v>22.4</v>
      </c>
      <c r="AL127">
        <f>AK127/86000*1000000</f>
        <v>260.46511627906972</v>
      </c>
    </row>
    <row r="128" spans="1:38" ht="14.45" customHeight="1">
      <c r="A128" s="483"/>
      <c r="B128" s="483"/>
      <c r="C128" s="483"/>
      <c r="D128" s="483"/>
      <c r="E128" s="483"/>
      <c r="F128" s="483"/>
      <c r="G128" s="483"/>
      <c r="H128" s="483"/>
      <c r="I128" s="483"/>
      <c r="J128" s="483"/>
      <c r="K128" s="483"/>
      <c r="L128" s="483"/>
      <c r="M128" s="483"/>
      <c r="N128" s="483"/>
      <c r="O128" s="181"/>
      <c r="P128" s="483"/>
      <c r="Q128" s="483"/>
      <c r="R128" s="483"/>
      <c r="S128" s="483"/>
      <c r="T128" s="483"/>
      <c r="U128" s="483"/>
      <c r="V128" s="483"/>
      <c r="W128" s="483"/>
      <c r="X128" s="483"/>
      <c r="Y128" s="483"/>
      <c r="Z128" s="483"/>
      <c r="AA128" s="483"/>
      <c r="AB128" s="483"/>
      <c r="AC128" s="483"/>
      <c r="AD128" s="230"/>
      <c r="AI128" t="s">
        <v>182</v>
      </c>
      <c r="AJ128" s="157">
        <v>0.43</v>
      </c>
      <c r="AK128">
        <f>AK$127*AJ128</f>
        <v>9.6319999999999997</v>
      </c>
      <c r="AL128" s="107">
        <f>AK128/86000*1000000</f>
        <v>112</v>
      </c>
    </row>
    <row r="129" spans="1:38">
      <c r="O129" s="181"/>
    </row>
    <row r="130" spans="1:38">
      <c r="A130" s="481" t="s">
        <v>209</v>
      </c>
      <c r="B130" s="482"/>
      <c r="C130" s="482"/>
      <c r="D130" s="482"/>
      <c r="E130" s="482"/>
      <c r="O130" s="181"/>
      <c r="X130" s="481" t="s">
        <v>216</v>
      </c>
      <c r="Y130" s="482"/>
      <c r="Z130" s="482"/>
      <c r="AA130" s="482"/>
      <c r="AB130" s="482"/>
      <c r="AI130" t="s">
        <v>183</v>
      </c>
      <c r="AJ130" s="157">
        <v>0.3</v>
      </c>
      <c r="AK130">
        <f>AK$127*AJ130</f>
        <v>6.72</v>
      </c>
      <c r="AL130" s="107">
        <f>AK130/86000*1000000</f>
        <v>78.139534883720927</v>
      </c>
    </row>
    <row r="131" spans="1:38">
      <c r="A131" s="8" t="s">
        <v>20</v>
      </c>
      <c r="B131" s="9">
        <v>2020</v>
      </c>
      <c r="C131" s="9">
        <v>2030</v>
      </c>
      <c r="D131" s="9">
        <v>2040</v>
      </c>
      <c r="E131" s="9">
        <v>2050</v>
      </c>
      <c r="O131" s="181"/>
      <c r="X131" s="8" t="s">
        <v>20</v>
      </c>
      <c r="Y131" s="9">
        <v>2020</v>
      </c>
      <c r="Z131" s="9">
        <v>2030</v>
      </c>
      <c r="AA131" s="9">
        <v>2040</v>
      </c>
      <c r="AB131" s="9">
        <v>2050</v>
      </c>
      <c r="AI131" t="s">
        <v>174</v>
      </c>
      <c r="AJ131" s="157">
        <v>0.1</v>
      </c>
      <c r="AK131">
        <f>AK$127*AJ131</f>
        <v>2.2399999999999998</v>
      </c>
      <c r="AL131" s="107">
        <f>AK131/86000*1000000</f>
        <v>26.046511627906973</v>
      </c>
    </row>
    <row r="132" spans="1:38">
      <c r="A132" s="124" t="s">
        <v>15</v>
      </c>
      <c r="B132" s="249">
        <f>B35*'Init. énergie'!$M4*10^-6</f>
        <v>6.1222742263570664</v>
      </c>
      <c r="C132" s="249">
        <f>C35*'Init. énergie'!$M4*10^-6</f>
        <v>4.4618691743810457</v>
      </c>
      <c r="D132" s="249">
        <f>D35*'Init. énergie'!$M4*10^-6</f>
        <v>3.6654336221406592</v>
      </c>
      <c r="E132" s="249">
        <f>E35*'Init. énergie'!$M4*10^-6</f>
        <v>2.9145464716030243</v>
      </c>
      <c r="O132" s="181"/>
      <c r="X132" s="124" t="s">
        <v>15</v>
      </c>
      <c r="Y132" s="283">
        <f>Y35*'Init. énergie'!M4*10^-6</f>
        <v>6.1222742263570664</v>
      </c>
      <c r="Z132" s="283">
        <f>Z35*'Init. énergie'!N4*10^-6</f>
        <v>0.44904077931061287</v>
      </c>
      <c r="AA132" s="283">
        <f>AA35*'Init. énergie'!O4*10^-6</f>
        <v>0</v>
      </c>
      <c r="AB132" s="283">
        <f>AB35*'Init. énergie'!P4*10^-6</f>
        <v>0</v>
      </c>
      <c r="AI132" t="s">
        <v>184</v>
      </c>
      <c r="AJ132" s="157">
        <v>0.09</v>
      </c>
      <c r="AK132">
        <f>AK$127*AJ132</f>
        <v>2.016</v>
      </c>
      <c r="AL132" s="107">
        <f>AK132/86000*1000000</f>
        <v>23.441860465116278</v>
      </c>
    </row>
    <row r="133" spans="1:38">
      <c r="A133" s="124" t="s">
        <v>16</v>
      </c>
      <c r="B133" s="249">
        <f>B36*'Init. énergie'!$M5*10^-6</f>
        <v>14.924105214138644</v>
      </c>
      <c r="C133" s="249">
        <f>C36*'Init. énergie'!$M5*10^-6</f>
        <v>12.129712419996673</v>
      </c>
      <c r="D133" s="249">
        <f>D36*'Init. énergie'!$M5*10^-6</f>
        <v>11.159936537700665</v>
      </c>
      <c r="E133" s="249">
        <f>E36*'Init. énergie'!$M5*10^-6</f>
        <v>10.048325325998642</v>
      </c>
      <c r="O133" s="181"/>
      <c r="X133" s="124" t="s">
        <v>16</v>
      </c>
      <c r="Y133" s="283">
        <f>Y36*'Init. énergie'!M5*10^-6</f>
        <v>14.951382258696302</v>
      </c>
      <c r="Z133" s="283">
        <f>Z36*'Init. énergie'!N5*10^-6</f>
        <v>10.474317625609729</v>
      </c>
      <c r="AA133" s="283">
        <f>AA36*'Init. énergie'!O5*10^-6</f>
        <v>4.6250114851563584</v>
      </c>
      <c r="AB133" s="283">
        <f>AB36*'Init. énergie'!P5*10^-6</f>
        <v>0.91437300111551667</v>
      </c>
      <c r="AI133" t="s">
        <v>185</v>
      </c>
      <c r="AJ133" s="157">
        <v>0.05</v>
      </c>
      <c r="AK133">
        <f>AK$127*AJ133</f>
        <v>1.1199999999999999</v>
      </c>
      <c r="AL133" s="107">
        <f>AK133/86000*1000000</f>
        <v>13.023255813953487</v>
      </c>
    </row>
    <row r="134" spans="1:38">
      <c r="A134" s="124" t="s">
        <v>21</v>
      </c>
      <c r="B134" s="249">
        <f>B37*'Init. énergie'!$M6*10^-6</f>
        <v>1.3434113209014595</v>
      </c>
      <c r="C134" s="249">
        <f>C37*'Init. énergie'!$M6*10^-6</f>
        <v>1.313094947256922</v>
      </c>
      <c r="D134" s="249">
        <f>D37*'Init. énergie'!$M6*10^-6</f>
        <v>1.2458307751643554</v>
      </c>
      <c r="E134" s="249">
        <f>E37*'Init. énergie'!$M6*10^-6</f>
        <v>1.1210131126474054</v>
      </c>
      <c r="O134" s="181"/>
      <c r="X134" s="124" t="s">
        <v>21</v>
      </c>
      <c r="Y134" s="283">
        <f>Y37*'Init. énergie'!M6*10^-6</f>
        <v>1.3434113209014593</v>
      </c>
      <c r="Z134" s="283">
        <f>Z37*'Init. énergie'!N6*10^-6</f>
        <v>2.1632148118780381</v>
      </c>
      <c r="AA134" s="283">
        <f>AA37*'Init. énergie'!O6*10^-6</f>
        <v>1.5841162962870432</v>
      </c>
      <c r="AB134" s="283">
        <f>AB37*'Init. énergie'!P6*10^-6</f>
        <v>0.9683615530004841</v>
      </c>
      <c r="AI134" t="s">
        <v>186</v>
      </c>
      <c r="AJ134" s="157">
        <v>0.04</v>
      </c>
      <c r="AK134">
        <f>AK$127*AJ134</f>
        <v>0.89599999999999991</v>
      </c>
      <c r="AL134" s="107">
        <f>AK134/86000*1000000</f>
        <v>10.41860465116279</v>
      </c>
    </row>
    <row r="135" spans="1:38">
      <c r="A135" s="124" t="s">
        <v>22</v>
      </c>
      <c r="B135" s="249">
        <f>B38*'Init. énergie'!$M7*10^-6</f>
        <v>0.34481092418623072</v>
      </c>
      <c r="C135" s="249">
        <f>C38*'Init. énergie'!$M7*10^-6</f>
        <v>0.29701700232998635</v>
      </c>
      <c r="D135" s="249">
        <f>D38*'Init. énergie'!$M7*10^-6</f>
        <v>0.28295246095858384</v>
      </c>
      <c r="E135" s="249">
        <f>E38*'Init. énergie'!$M7*10^-6</f>
        <v>0.26257537232669625</v>
      </c>
      <c r="O135" s="181"/>
      <c r="X135" s="124" t="s">
        <v>22</v>
      </c>
      <c r="Y135" s="283">
        <f>Y38*'Init. énergie'!M7*10^-6</f>
        <v>0.34481092418623083</v>
      </c>
      <c r="Z135" s="283">
        <f>Z38*'Init. énergie'!N7*10^-6</f>
        <v>0.20792856730071224</v>
      </c>
      <c r="AA135" s="283">
        <f>AA38*'Init. énergie'!O7*10^-6</f>
        <v>0.1174616094319624</v>
      </c>
      <c r="AB135" s="283">
        <f>AB38*'Init. énergie'!P7*10^-6</f>
        <v>1.2111459215287026E-2</v>
      </c>
    </row>
    <row r="136" spans="1:38">
      <c r="A136" s="124" t="s">
        <v>42</v>
      </c>
      <c r="B136" s="249">
        <f>B39*'Init. énergie'!$M8*10^-6</f>
        <v>0</v>
      </c>
      <c r="C136" s="249">
        <f>C39*'Init. énergie'!$M8*10^-6</f>
        <v>0</v>
      </c>
      <c r="D136" s="249">
        <f>D39*'Init. énergie'!$M8*10^-6</f>
        <v>0</v>
      </c>
      <c r="E136" s="249">
        <f>E39*'Init. énergie'!$M8*10^-6</f>
        <v>0</v>
      </c>
      <c r="O136" s="181"/>
      <c r="X136" s="124" t="s">
        <v>42</v>
      </c>
      <c r="Y136" s="283">
        <f>Y39*'Init. énergie'!M8*10^-6</f>
        <v>0</v>
      </c>
      <c r="Z136" s="283">
        <f>Z39*'Init. énergie'!N8*10^-6</f>
        <v>0</v>
      </c>
      <c r="AA136" s="283">
        <f>AA39*'Init. énergie'!O8*10^-6</f>
        <v>0</v>
      </c>
      <c r="AB136" s="283">
        <f>AB39*'Init. énergie'!P8*10^-6</f>
        <v>0</v>
      </c>
      <c r="AI136" t="s">
        <v>187</v>
      </c>
      <c r="AJ136" s="157">
        <f>SUM(AJ130:AJ134)</f>
        <v>0.58000000000000007</v>
      </c>
      <c r="AK136" s="107">
        <f t="shared" ref="AK136" si="23">SUM(AK130:AK134)</f>
        <v>12.991999999999997</v>
      </c>
      <c r="AL136" s="107">
        <f>SUM(AL130:AL134)</f>
        <v>151.06976744186045</v>
      </c>
    </row>
    <row r="137" spans="1:38">
      <c r="A137" s="124" t="s">
        <v>200</v>
      </c>
      <c r="B137" s="249">
        <f>B40*'Init. énergie'!$M9*10^-6</f>
        <v>12.068731428839392</v>
      </c>
      <c r="C137" s="249">
        <f>C40*'Init. énergie'!$M9*10^-6</f>
        <v>12.609531901296224</v>
      </c>
      <c r="D137" s="249">
        <f>D40*'Init. énergie'!$M9*10^-6</f>
        <v>14.361287755192077</v>
      </c>
      <c r="E137" s="249">
        <f>E40*'Init. énergie'!$M9*10^-6</f>
        <v>16.671340731540631</v>
      </c>
      <c r="O137" s="181"/>
      <c r="X137" s="124" t="s">
        <v>200</v>
      </c>
      <c r="Y137" s="283">
        <f>Y40*'Init. énergie'!M9*10^-6</f>
        <v>11.507363668852864</v>
      </c>
      <c r="Z137" s="283">
        <f>Z40*'Init. énergie'!N9*10^-6</f>
        <v>9.4898372176454604</v>
      </c>
      <c r="AA137" s="283">
        <f>AA40*'Init. énergie'!O9*10^-6</f>
        <v>6.4622618640913236</v>
      </c>
      <c r="AB137" s="283">
        <f>AB40*'Init. énergie'!P9*10^-6</f>
        <v>7.0947378499296638</v>
      </c>
    </row>
    <row r="138" spans="1:38">
      <c r="A138" s="12" t="s">
        <v>17</v>
      </c>
      <c r="B138" s="250">
        <f>SUM(B132:B137)</f>
        <v>34.803333114422792</v>
      </c>
      <c r="C138" s="250">
        <f t="shared" ref="C138:E138" si="24">SUM(C132:C137)</f>
        <v>30.811225445260852</v>
      </c>
      <c r="D138" s="250">
        <f t="shared" si="24"/>
        <v>30.715441151156337</v>
      </c>
      <c r="E138" s="250">
        <f t="shared" si="24"/>
        <v>31.017801014116401</v>
      </c>
      <c r="O138" s="181"/>
      <c r="X138" s="12" t="s">
        <v>17</v>
      </c>
      <c r="Y138" s="284">
        <f>SUM(Y132:Y137)</f>
        <v>34.269242398993924</v>
      </c>
      <c r="Z138" s="284">
        <f>SUM(Z132:Z137)</f>
        <v>22.784339001744552</v>
      </c>
      <c r="AA138" s="284">
        <f t="shared" ref="AA138:AB138" si="25">SUM(AA132:AA137)</f>
        <v>12.788851254966687</v>
      </c>
      <c r="AB138" s="284">
        <f t="shared" si="25"/>
        <v>8.9895838632609522</v>
      </c>
    </row>
    <row r="139" spans="1:38">
      <c r="A139" s="179" t="s">
        <v>210</v>
      </c>
      <c r="B139" s="252">
        <f>SUM(B132:B136)</f>
        <v>22.734601685583399</v>
      </c>
      <c r="C139" s="252">
        <f t="shared" ref="C139:E139" si="26">SUM(C132:C136)</f>
        <v>18.201693543964627</v>
      </c>
      <c r="D139" s="252">
        <f t="shared" si="26"/>
        <v>16.354153395964261</v>
      </c>
      <c r="E139" s="252">
        <f t="shared" si="26"/>
        <v>14.346460282575768</v>
      </c>
      <c r="O139" s="181"/>
      <c r="X139" s="179" t="s">
        <v>210</v>
      </c>
      <c r="Y139" s="281">
        <f>SUM(Y132:Y136)</f>
        <v>22.76187873014106</v>
      </c>
      <c r="Z139" s="284">
        <f>SUM(Z132:Z136)</f>
        <v>13.294501784099092</v>
      </c>
      <c r="AA139" s="281">
        <f t="shared" ref="AA139:AB139" si="27">SUM(AA132:AA136)</f>
        <v>6.3265893908753634</v>
      </c>
      <c r="AB139" s="281">
        <f t="shared" si="27"/>
        <v>1.8948460133312879</v>
      </c>
    </row>
    <row r="140" spans="1:38" ht="18.75">
      <c r="A140" s="251"/>
      <c r="O140" s="181"/>
      <c r="X140" s="179" t="s">
        <v>288</v>
      </c>
      <c r="Y140" s="307">
        <f>Y132+Y133+Y135+Y136</f>
        <v>21.4184674092396</v>
      </c>
      <c r="Z140" s="288">
        <f t="shared" ref="Z140:AB140" si="28">Z132+Z133+Z135+Z136</f>
        <v>11.131286972221053</v>
      </c>
      <c r="AA140" s="307">
        <f t="shared" si="28"/>
        <v>4.7424730945883207</v>
      </c>
      <c r="AB140" s="307">
        <f t="shared" si="28"/>
        <v>0.92648446033080367</v>
      </c>
    </row>
    <row r="141" spans="1:38">
      <c r="A141" s="308"/>
      <c r="O141" s="181"/>
      <c r="X141" s="308"/>
      <c r="Y141" s="307"/>
      <c r="Z141" s="307"/>
      <c r="AA141" s="307"/>
      <c r="AB141" s="307"/>
    </row>
    <row r="142" spans="1:38">
      <c r="A142" s="478" t="s">
        <v>98</v>
      </c>
      <c r="B142" s="479"/>
      <c r="C142" s="479"/>
      <c r="D142" s="479"/>
      <c r="E142" s="479"/>
      <c r="O142" s="181"/>
      <c r="X142" s="478" t="s">
        <v>98</v>
      </c>
      <c r="Y142" s="479"/>
      <c r="Z142" s="479"/>
      <c r="AA142" s="479"/>
      <c r="AB142" s="479"/>
    </row>
    <row r="143" spans="1:38" ht="18.75">
      <c r="A143" s="8" t="s">
        <v>179</v>
      </c>
      <c r="B143" s="224"/>
      <c r="C143" s="185">
        <f>C139/$B139-1</f>
        <v>-0.19938366215112568</v>
      </c>
      <c r="D143" s="224">
        <f t="shared" ref="D143:E143" si="29">D139/$B139-1</f>
        <v>-0.28064922261933212</v>
      </c>
      <c r="E143" s="224">
        <f t="shared" si="29"/>
        <v>-0.36895924190863527</v>
      </c>
      <c r="O143" s="181"/>
      <c r="X143" s="8" t="s">
        <v>290</v>
      </c>
      <c r="Y143" s="224"/>
      <c r="Z143" s="185">
        <f>Z140/$B139-1</f>
        <v>-0.51038126261610772</v>
      </c>
      <c r="AA143" s="224">
        <f t="shared" ref="AA143:AB143" si="30">AA139/$B139-1</f>
        <v>-0.72171980497519694</v>
      </c>
      <c r="AB143" s="224">
        <f t="shared" si="30"/>
        <v>-0.91665365245730879</v>
      </c>
    </row>
    <row r="144" spans="1:38">
      <c r="O144" s="181"/>
    </row>
    <row r="145" spans="1:30">
      <c r="O145" s="181"/>
    </row>
    <row r="146" spans="1:30">
      <c r="O146" s="181"/>
    </row>
    <row r="147" spans="1:30">
      <c r="O147" s="181"/>
    </row>
    <row r="148" spans="1:30">
      <c r="O148" s="181"/>
    </row>
    <row r="149" spans="1:30">
      <c r="A149" s="483" t="s">
        <v>224</v>
      </c>
      <c r="B149" s="483"/>
      <c r="C149" s="483"/>
      <c r="D149" s="483"/>
      <c r="E149" s="483"/>
      <c r="F149" s="483"/>
      <c r="G149" s="483"/>
      <c r="H149" s="483"/>
      <c r="I149" s="483"/>
      <c r="J149" s="483"/>
      <c r="K149" s="483"/>
      <c r="L149" s="483"/>
      <c r="M149" s="483"/>
      <c r="N149" s="483"/>
      <c r="O149" s="181"/>
      <c r="P149" s="483" t="s">
        <v>224</v>
      </c>
      <c r="Q149" s="483"/>
      <c r="R149" s="483"/>
      <c r="S149" s="483"/>
      <c r="T149" s="483"/>
      <c r="U149" s="483"/>
      <c r="V149" s="483"/>
      <c r="W149" s="483"/>
      <c r="X149" s="483"/>
      <c r="Y149" s="483"/>
      <c r="Z149" s="483"/>
      <c r="AA149" s="483"/>
      <c r="AB149" s="483"/>
      <c r="AC149" s="483"/>
    </row>
    <row r="150" spans="1:30">
      <c r="A150" s="483"/>
      <c r="B150" s="483"/>
      <c r="C150" s="483"/>
      <c r="D150" s="483"/>
      <c r="E150" s="483"/>
      <c r="F150" s="483"/>
      <c r="G150" s="483"/>
      <c r="H150" s="483"/>
      <c r="I150" s="483"/>
      <c r="J150" s="483"/>
      <c r="K150" s="483"/>
      <c r="L150" s="483"/>
      <c r="M150" s="483"/>
      <c r="N150" s="483"/>
      <c r="O150" s="181"/>
      <c r="P150" s="483"/>
      <c r="Q150" s="483"/>
      <c r="R150" s="483"/>
      <c r="S150" s="483"/>
      <c r="T150" s="483"/>
      <c r="U150" s="483"/>
      <c r="V150" s="483"/>
      <c r="W150" s="483"/>
      <c r="X150" s="483"/>
      <c r="Y150" s="483"/>
      <c r="Z150" s="483"/>
      <c r="AA150" s="483"/>
      <c r="AB150" s="483"/>
      <c r="AC150" s="483"/>
    </row>
    <row r="154" spans="1:30">
      <c r="X154" s="8" t="s">
        <v>278</v>
      </c>
      <c r="Y154" s="9">
        <v>2020</v>
      </c>
      <c r="Z154" s="9">
        <v>2030</v>
      </c>
      <c r="AA154" s="9">
        <v>2040</v>
      </c>
      <c r="AB154" s="9">
        <v>2050</v>
      </c>
      <c r="AD154" t="s">
        <v>292</v>
      </c>
    </row>
    <row r="155" spans="1:30">
      <c r="H155" s="8" t="s">
        <v>278</v>
      </c>
      <c r="I155" s="9">
        <v>2020</v>
      </c>
      <c r="J155" s="9">
        <v>2030</v>
      </c>
      <c r="K155" s="9">
        <v>2040</v>
      </c>
      <c r="L155" s="9">
        <v>2050</v>
      </c>
      <c r="M155" s="378">
        <v>2020</v>
      </c>
      <c r="N155" s="378">
        <v>2030</v>
      </c>
      <c r="O155" s="378">
        <v>2040</v>
      </c>
      <c r="P155" s="378">
        <v>2050</v>
      </c>
      <c r="X155" s="124" t="s">
        <v>15</v>
      </c>
      <c r="Y155" s="107">
        <f>'Bureaux - AMS'!H181+'CaHoREs - AMS'!H181+'Commerce - AMS'!H181+'Enseignement - AMS'!H181+'Santé social - AMS'!H181+'Sport Loisir Culture - AMS'!H181+'Transport - AMS'!H181</f>
        <v>141901.09343289433</v>
      </c>
      <c r="Z155" s="107">
        <f>'Bureaux - AMS'!I181+'CaHoREs - AMS'!I181+'Commerce - AMS'!I181+'Enseignement - AMS'!I181+'Santé social - AMS'!I181+'Sport Loisir Culture - AMS'!I181+'Transport - AMS'!I181</f>
        <v>12854.882597958662</v>
      </c>
      <c r="AA155" s="107">
        <f>'Bureaux - AMS'!J181+'CaHoREs - AMS'!J181+'Commerce - AMS'!J181+'Enseignement - AMS'!J181+'Santé social - AMS'!J181+'Sport Loisir Culture - AMS'!J181+'Transport - AMS'!J181</f>
        <v>0</v>
      </c>
      <c r="AB155" s="107">
        <f>'Bureaux - AMS'!K181+'CaHoREs - AMS'!K181+'Commerce - AMS'!K181+'Enseignement - AMS'!K181+'Santé social - AMS'!K181+'Sport Loisir Culture - AMS'!K181+'Transport - AMS'!K181</f>
        <v>0</v>
      </c>
      <c r="AD155" s="156">
        <f>Z155/Y155-1</f>
        <v>-0.90940955924319367</v>
      </c>
    </row>
    <row r="156" spans="1:30">
      <c r="H156" s="124" t="s">
        <v>15</v>
      </c>
      <c r="I156" s="107">
        <f>'Bureaux - AME'!H179+'CaHoREs - AME'!H179+'Commerce - AME'!H179+'Enseignement - AME'!H179+'Santé social - AME'!H179+'Sport Loisir Culture - AME'!H179+'Transport - AME'!H179</f>
        <v>141901.09343289433</v>
      </c>
      <c r="J156" s="107">
        <f>'Bureaux - AME'!I179+'CaHoREs - AME'!I179+'Commerce - AME'!I179+'Enseignement - AME'!I179+'Santé social - AME'!I179+'Sport Loisir Culture - AME'!I179+'Transport - AME'!I179</f>
        <v>119795.24600839353</v>
      </c>
      <c r="K156" s="107">
        <f>'Bureaux - AME'!J179+'CaHoREs - AME'!J179+'Commerce - AME'!J179+'Enseignement - AME'!J179+'Santé social - AME'!J179+'Sport Loisir Culture - AME'!J179+'Transport - AME'!J179</f>
        <v>106837.52312213337</v>
      </c>
      <c r="L156" s="107">
        <f>'Bureaux - AME'!K179+'CaHoREs - AME'!K179+'Commerce - AME'!K179+'Enseignement - AME'!K179+'Santé social - AME'!K179+'Sport Loisir Culture - AME'!K179+'Transport - AME'!K179</f>
        <v>89459.646012257595</v>
      </c>
      <c r="M156" s="379">
        <f>I156/$I$164</f>
        <v>0.14431462520428312</v>
      </c>
      <c r="N156" s="379">
        <f>J156/$J$164</f>
        <v>0.1195224482687106</v>
      </c>
      <c r="O156" s="379">
        <f>K156/$K$164</f>
        <v>0.10465905604111382</v>
      </c>
      <c r="P156" s="379">
        <f>L156/$L$164</f>
        <v>8.8623038339001689E-2</v>
      </c>
      <c r="X156" s="124" t="s">
        <v>16</v>
      </c>
      <c r="Y156" s="107">
        <f>'Bureaux - AMS'!H182+'CaHoREs - AMS'!H182+'Commerce - AMS'!H182+'Enseignement - AMS'!H182+'Santé social - AMS'!H182+'Sport Loisir Culture - AMS'!H182+'Transport - AMS'!H182</f>
        <v>454344.37842089933</v>
      </c>
      <c r="Z156" s="107">
        <f>'Bureaux - AMS'!I182+'CaHoREs - AMS'!I182+'Commerce - AMS'!I182+'Enseignement - AMS'!I182+'Santé social - AMS'!I182+'Sport Loisir Culture - AMS'!I182+'Transport - AMS'!I182</f>
        <v>374396.920570335</v>
      </c>
      <c r="AA156" s="107">
        <f>'Bureaux - AMS'!J182+'CaHoREs - AMS'!J182+'Commerce - AMS'!J182+'Enseignement - AMS'!J182+'Santé social - AMS'!J182+'Sport Loisir Culture - AMS'!J182+'Transport - AMS'!J182</f>
        <v>177323.2924555307</v>
      </c>
      <c r="AB156" s="107">
        <f>'Bureaux - AMS'!K182+'CaHoREs - AMS'!K182+'Commerce - AMS'!K182+'Enseignement - AMS'!K182+'Santé social - AMS'!K182+'Sport Loisir Culture - AMS'!K182+'Transport - AMS'!K182</f>
        <v>21762.121059560359</v>
      </c>
      <c r="AD156" s="156">
        <f t="shared" ref="AD156:AD161" si="31">Z156/Y156-1</f>
        <v>-0.1759622472460789</v>
      </c>
    </row>
    <row r="157" spans="1:30">
      <c r="H157" s="124" t="s">
        <v>16</v>
      </c>
      <c r="I157" s="107">
        <f>'Bureaux - AME'!H180+'CaHoREs - AME'!H180+'Commerce - AME'!H180+'Enseignement - AME'!H180+'Santé social - AME'!H180+'Sport Loisir Culture - AME'!H180+'Transport - AME'!H180</f>
        <v>454344.37842089933</v>
      </c>
      <c r="J157" s="107">
        <f>'Bureaux - AME'!I180+'CaHoREs - AME'!I180+'Commerce - AME'!I180+'Enseignement - AME'!I180+'Santé social - AME'!I180+'Sport Loisir Culture - AME'!I180+'Transport - AME'!I180</f>
        <v>425698.0135294536</v>
      </c>
      <c r="K157" s="107">
        <f>'Bureaux - AME'!J180+'CaHoREs - AME'!J180+'Commerce - AME'!J180+'Enseignement - AME'!J180+'Santé social - AME'!J180+'Sport Loisir Culture - AME'!J180+'Transport - AME'!J180</f>
        <v>424752.27544970828</v>
      </c>
      <c r="L157" s="107">
        <f>'Bureaux - AME'!K180+'CaHoREs - AME'!K180+'Commerce - AME'!K180+'Enseignement - AME'!K180+'Santé social - AME'!K180+'Sport Loisir Culture - AME'!K180+'Transport - AME'!K180</f>
        <v>411072.66227964632</v>
      </c>
      <c r="M157" s="379">
        <f t="shared" ref="M157:M160" si="32">I157/$I$164</f>
        <v>0.46207211727013742</v>
      </c>
      <c r="N157" s="379">
        <f t="shared" ref="N157:N160" si="33">J157/$J$164</f>
        <v>0.42472861399359713</v>
      </c>
      <c r="O157" s="379">
        <f t="shared" ref="O157:O160" si="34">K157/$K$164</f>
        <v>0.41609137783045563</v>
      </c>
      <c r="P157" s="379">
        <f>L157/$L$164</f>
        <v>0.40722839775526215</v>
      </c>
      <c r="X157" s="124" t="s">
        <v>21</v>
      </c>
      <c r="Y157" s="107">
        <f>'Bureaux - AMS'!H183+'CaHoREs - AMS'!H183+'Commerce - AMS'!H183+'Enseignement - AMS'!H183+'Santé social - AMS'!H183+'Sport Loisir Culture - AMS'!H183+'Transport - AMS'!H183</f>
        <v>71441.245547844053</v>
      </c>
      <c r="Z157" s="107">
        <f>'Bureaux - AMS'!I183+'CaHoREs - AMS'!I183+'Commerce - AMS'!I183+'Enseignement - AMS'!I183+'Santé social - AMS'!I183+'Sport Loisir Culture - AMS'!I183+'Transport - AMS'!I183</f>
        <v>187778.06218926172</v>
      </c>
      <c r="AA157" s="107">
        <f>'Bureaux - AMS'!J183+'CaHoREs - AMS'!J183+'Commerce - AMS'!J183+'Enseignement - AMS'!J183+'Santé social - AMS'!J183+'Sport Loisir Culture - AMS'!J183+'Transport - AMS'!J183</f>
        <v>227415.30910128169</v>
      </c>
      <c r="AB157" s="107">
        <f>'Bureaux - AMS'!K183+'CaHoREs - AMS'!K183+'Commerce - AMS'!K183+'Enseignement - AMS'!K183+'Santé social - AMS'!K183+'Sport Loisir Culture - AMS'!K183+'Transport - AMS'!K183</f>
        <v>236382.27092098337</v>
      </c>
      <c r="AD157" s="156">
        <f t="shared" si="31"/>
        <v>1.6284264887782105</v>
      </c>
    </row>
    <row r="158" spans="1:30">
      <c r="H158" s="124" t="s">
        <v>21</v>
      </c>
      <c r="I158" s="107">
        <f>'Bureaux - AME'!H181+'CaHoREs - AME'!H181+'Commerce - AME'!H181+'Enseignement - AME'!H181+'Santé social - AME'!H181+'Sport Loisir Culture - AME'!H181+'Transport - AME'!H181</f>
        <v>71441.245547844053</v>
      </c>
      <c r="J158" s="107">
        <f>'Bureaux - AME'!I181+'CaHoREs - AME'!I181+'Commerce - AME'!I181+'Enseignement - AME'!I181+'Santé social - AME'!I181+'Sport Loisir Culture - AME'!I181+'Transport - AME'!I181</f>
        <v>81560.511200861423</v>
      </c>
      <c r="K158" s="107">
        <f>'Bureaux - AME'!J181+'CaHoREs - AME'!J181+'Commerce - AME'!J181+'Enseignement - AME'!J181+'Santé social - AME'!J181+'Sport Loisir Culture - AME'!J181+'Transport - AME'!J181</f>
        <v>82050.115232573749</v>
      </c>
      <c r="L158" s="107">
        <f>'Bureaux - AME'!K181+'CaHoREs - AME'!K181+'Commerce - AME'!K181+'Enseignement - AME'!K181+'Santé social - AME'!K181+'Sport Loisir Culture - AME'!K181+'Transport - AME'!K181</f>
        <v>77571.216481423311</v>
      </c>
      <c r="M158" s="379">
        <f t="shared" si="32"/>
        <v>7.2656357508900593E-2</v>
      </c>
      <c r="N158" s="379">
        <f t="shared" si="33"/>
        <v>8.1374781601028887E-2</v>
      </c>
      <c r="O158" s="379">
        <f t="shared" si="34"/>
        <v>8.0377074995355902E-2</v>
      </c>
      <c r="P158" s="379">
        <f>L158/$L$164</f>
        <v>7.6845786884672362E-2</v>
      </c>
      <c r="X158" s="124" t="s">
        <v>22</v>
      </c>
      <c r="Y158" s="107">
        <f>'Bureaux - AMS'!H184+'CaHoREs - AMS'!H184+'Commerce - AMS'!H184+'Enseignement - AMS'!H184+'Santé social - AMS'!H184+'Sport Loisir Culture - AMS'!H184+'Transport - AMS'!H184</f>
        <v>14072.698497935504</v>
      </c>
      <c r="Z158" s="107">
        <f>'Bureaux - AMS'!I184+'CaHoREs - AMS'!I184+'Commerce - AMS'!I184+'Enseignement - AMS'!I184+'Santé social - AMS'!I184+'Sport Loisir Culture - AMS'!I184+'Transport - AMS'!I184</f>
        <v>10239.909292832006</v>
      </c>
      <c r="AA158" s="107">
        <f>'Bureaux - AMS'!J184+'CaHoREs - AMS'!J184+'Commerce - AMS'!J184+'Enseignement - AMS'!J184+'Santé social - AMS'!J184+'Sport Loisir Culture - AMS'!J184+'Transport - AMS'!J184</f>
        <v>6168.4832918836091</v>
      </c>
      <c r="AB158" s="107">
        <f>'Bureaux - AMS'!K184+'CaHoREs - AMS'!K184+'Commerce - AMS'!K184+'Enseignement - AMS'!K184+'Santé social - AMS'!K184+'Sport Loisir Culture - AMS'!K184+'Transport - AMS'!K184</f>
        <v>723.61470960254644</v>
      </c>
      <c r="AD158" s="156">
        <f t="shared" si="31"/>
        <v>-0.2723563789607073</v>
      </c>
    </row>
    <row r="159" spans="1:30">
      <c r="H159" s="124" t="s">
        <v>22</v>
      </c>
      <c r="I159" s="107">
        <f>'Bureaux - AME'!H182+'CaHoREs - AME'!H182+'Commerce - AME'!H182+'Enseignement - AME'!H182+'Santé social - AME'!H182+'Sport Loisir Culture - AME'!H182+'Transport - AME'!H182</f>
        <v>14072.698497935502</v>
      </c>
      <c r="J159" s="107">
        <f>'Bureaux - AME'!I182+'CaHoREs - AME'!I182+'Commerce - AME'!I182+'Enseignement - AME'!I182+'Santé social - AME'!I182+'Sport Loisir Culture - AME'!I182+'Transport - AME'!I182</f>
        <v>14397.688968434337</v>
      </c>
      <c r="K159" s="107">
        <f>'Bureaux - AME'!J182+'CaHoREs - AME'!J182+'Commerce - AME'!J182+'Enseignement - AME'!J182+'Santé social - AME'!J182+'Sport Loisir Culture - AME'!J182+'Transport - AME'!J182</f>
        <v>14836.842407550766</v>
      </c>
      <c r="L159" s="107">
        <f>'Bureaux - AME'!K182+'CaHoREs - AME'!K182+'Commerce - AME'!K182+'Enseignement - AME'!K182+'Santé social - AME'!K182+'Sport Loisir Culture - AME'!K182+'Transport - AME'!K182</f>
        <v>14844.114596695159</v>
      </c>
      <c r="M159" s="379">
        <f t="shared" si="32"/>
        <v>1.4312054686899648E-2</v>
      </c>
      <c r="N159" s="379">
        <f t="shared" si="33"/>
        <v>1.4364902550457687E-2</v>
      </c>
      <c r="O159" s="379">
        <f t="shared" si="34"/>
        <v>1.4534312249357422E-2</v>
      </c>
      <c r="P159" s="379">
        <f>L159/$L$164</f>
        <v>1.4705295579094937E-2</v>
      </c>
      <c r="X159" s="124" t="s">
        <v>42</v>
      </c>
      <c r="Y159" s="107">
        <f>'Bureaux - AMS'!H185+'CaHoREs - AMS'!H185+'Commerce - AMS'!H185+'Enseignement - AMS'!H185+'Santé social - AMS'!H185+'Sport Loisir Culture - AMS'!H185+'Transport - AMS'!H185</f>
        <v>12713.837338469146</v>
      </c>
      <c r="Z159" s="107">
        <f>'Bureaux - AMS'!I185+'CaHoREs - AMS'!I185+'Commerce - AMS'!I185+'Enseignement - AMS'!I185+'Santé social - AMS'!I185+'Sport Loisir Culture - AMS'!I185+'Transport - AMS'!I185</f>
        <v>21889.569103846479</v>
      </c>
      <c r="AA159" s="107">
        <f>'Bureaux - AMS'!J185+'CaHoREs - AMS'!J185+'Commerce - AMS'!J185+'Enseignement - AMS'!J185+'Santé social - AMS'!J185+'Sport Loisir Culture - AMS'!J185+'Transport - AMS'!J185</f>
        <v>32419.239495909082</v>
      </c>
      <c r="AB159" s="107">
        <f>'Bureaux - AMS'!K185+'CaHoREs - AMS'!K185+'Commerce - AMS'!K185+'Enseignement - AMS'!K185+'Santé social - AMS'!K185+'Sport Loisir Culture - AMS'!K185+'Transport - AMS'!K185</f>
        <v>45971.32954744211</v>
      </c>
      <c r="AD159" s="156">
        <f t="shared" si="31"/>
        <v>0.72171221961552723</v>
      </c>
    </row>
    <row r="160" spans="1:30">
      <c r="H160" s="124" t="s">
        <v>42</v>
      </c>
      <c r="I160" s="107">
        <f>'Bureaux - AME'!H183+'CaHoREs - AME'!H183+'Commerce - AME'!H183+'Enseignement - AME'!H183+'Santé social - AME'!H183+'Sport Loisir Culture - AME'!H183+'Transport - AME'!H183</f>
        <v>12713.837338469146</v>
      </c>
      <c r="J160" s="107">
        <f>'Bureaux - AME'!I183+'CaHoREs - AME'!I183+'Commerce - AME'!I183+'Enseignement - AME'!I183+'Santé social - AME'!I183+'Sport Loisir Culture - AME'!I183+'Transport - AME'!I183</f>
        <v>14667.798089274911</v>
      </c>
      <c r="K160" s="107">
        <f>'Bureaux - AME'!J183+'CaHoREs - AME'!J183+'Commerce - AME'!J183+'Enseignement - AME'!J183+'Santé social - AME'!J183+'Sport Loisir Culture - AME'!J183+'Transport - AME'!J183</f>
        <v>16053.693516742846</v>
      </c>
      <c r="L160" s="107">
        <f>'Bureaux - AME'!K183+'CaHoREs - AME'!K183+'Commerce - AME'!K183+'Enseignement - AME'!K183+'Santé social - AME'!K183+'Sport Loisir Culture - AME'!K183+'Transport - AME'!K183</f>
        <v>17005.877321405918</v>
      </c>
      <c r="M160" s="379">
        <f t="shared" si="32"/>
        <v>1.2930081270142411E-2</v>
      </c>
      <c r="N160" s="379">
        <f t="shared" si="33"/>
        <v>1.4634396578795943E-2</v>
      </c>
      <c r="O160" s="379">
        <f t="shared" si="34"/>
        <v>1.5726351195122175E-2</v>
      </c>
      <c r="P160" s="379">
        <f>L160/$L$164</f>
        <v>1.6846841956392428E-2</v>
      </c>
      <c r="X160" s="124" t="s">
        <v>46</v>
      </c>
      <c r="Y160" s="107">
        <f>'Bureaux - AMS'!H186+'CaHoREs - AMS'!H186+'Commerce - AMS'!H186+'Enseignement - AMS'!H186+'Santé social - AMS'!H186+'Sport Loisir Culture - AMS'!H186+'Transport - AMS'!H186</f>
        <v>230136.8893728843</v>
      </c>
      <c r="Z160" s="107">
        <f>'Bureaux - AMS'!I186+'CaHoREs - AMS'!I186+'Commerce - AMS'!I186+'Enseignement - AMS'!I186+'Santé social - AMS'!I186+'Sport Loisir Culture - AMS'!I186+'Transport - AMS'!I186</f>
        <v>155916.86465285215</v>
      </c>
      <c r="AA160" s="107">
        <f>'Bureaux - AMS'!J186+'CaHoREs - AMS'!J186+'Commerce - AMS'!J186+'Enseignement - AMS'!J186+'Santé social - AMS'!J186+'Sport Loisir Culture - AMS'!J186+'Transport - AMS'!J186</f>
        <v>107652.1492993209</v>
      </c>
      <c r="AB160" s="107">
        <f>'Bureaux - AMS'!K186+'CaHoREs - AMS'!K186+'Commerce - AMS'!K186+'Enseignement - AMS'!K186+'Santé social - AMS'!K186+'Sport Loisir Culture - AMS'!K186+'Transport - AMS'!K186</f>
        <v>101949.30514995787</v>
      </c>
      <c r="AD160" s="156">
        <f t="shared" si="31"/>
        <v>-0.32250381467429823</v>
      </c>
    </row>
    <row r="161" spans="8:30">
      <c r="H161" s="124" t="s">
        <v>46</v>
      </c>
      <c r="I161" s="107">
        <f>'Bureaux - AME'!H184+'CaHoREs - AME'!H184+'Commerce - AME'!H184+'Enseignement - AME'!H184+'Santé social - AME'!H184+'Sport Loisir Culture - AME'!H184+'Transport - AME'!H184</f>
        <v>230136.8893728843</v>
      </c>
      <c r="J161" s="107">
        <f>'Bureaux - AME'!I184+'CaHoREs - AME'!I184+'Commerce - AME'!I184+'Enseignement - AME'!I184+'Santé social - AME'!I184+'Sport Loisir Culture - AME'!I184+'Transport - AME'!I184</f>
        <v>197786.28475220225</v>
      </c>
      <c r="K161" s="107">
        <f>'Bureaux - AME'!J184+'CaHoREs - AME'!J184+'Commerce - AME'!J184+'Enseignement - AME'!J184+'Santé social - AME'!J184+'Sport Loisir Culture - AME'!J184+'Transport - AME'!J184</f>
        <v>172616.25557423016</v>
      </c>
      <c r="L161" s="107">
        <f>'Bureaux - AME'!K184+'CaHoREs - AME'!K184+'Commerce - AME'!K184+'Enseignement - AME'!K184+'Santé social - AME'!K184+'Sport Loisir Culture - AME'!K184+'Transport - AME'!K184</f>
        <v>139920.91422536096</v>
      </c>
      <c r="M161" s="379">
        <f>(I161+I162)/I164</f>
        <v>0.29371476405963681</v>
      </c>
      <c r="N161" s="379">
        <f>(J161+J162)/$J$164</f>
        <v>0.34537485700740989</v>
      </c>
      <c r="O161" s="379">
        <f t="shared" ref="O161" si="35">(K161+K162)/K164</f>
        <v>0.36861182768859518</v>
      </c>
      <c r="P161" s="379">
        <f>(L161+L162)/$L$164</f>
        <v>0.39575063948557637</v>
      </c>
      <c r="X161" s="124" t="s">
        <v>47</v>
      </c>
      <c r="Y161" s="107">
        <f>'Bureaux - AMS'!H187+'CaHoREs - AMS'!H187+'Commerce - AMS'!H187+'Enseignement - AMS'!H187+'Santé social - AMS'!H187+'Sport Loisir Culture - AMS'!H187+'Transport - AMS'!H187</f>
        <v>58665.760521050746</v>
      </c>
      <c r="Z161" s="107">
        <f>'Bureaux - AMS'!I187+'CaHoREs - AMS'!I187+'Commerce - AMS'!I187+'Enseignement - AMS'!I187+'Santé social - AMS'!I187+'Sport Loisir Culture - AMS'!I187+'Transport - AMS'!I187</f>
        <v>234717.75133310686</v>
      </c>
      <c r="AA161" s="107">
        <f>'Bureaux - AMS'!J187+'CaHoREs - AMS'!J187+'Commerce - AMS'!J187+'Enseignement - AMS'!J187+'Santé social - AMS'!J187+'Sport Loisir Culture - AMS'!J187+'Transport - AMS'!J187</f>
        <v>446701.41047538118</v>
      </c>
      <c r="AB161" s="107">
        <f>'Bureaux - AMS'!K187+'CaHoREs - AMS'!K187+'Commerce - AMS'!K187+'Enseignement - AMS'!K187+'Santé social - AMS'!K187+'Sport Loisir Culture - AMS'!K187+'Transport - AMS'!K187</f>
        <v>557837.93006101123</v>
      </c>
      <c r="AD161" s="156">
        <f t="shared" si="31"/>
        <v>3.0009325584193913</v>
      </c>
    </row>
    <row r="162" spans="8:30">
      <c r="H162" s="124" t="s">
        <v>47</v>
      </c>
      <c r="I162" s="107">
        <f>'Bureaux - AME'!H185+'CaHoREs - AME'!H185+'Commerce - AME'!H185+'Enseignement - AME'!H185+'Santé social - AME'!H185+'Sport Loisir Culture - AME'!H185+'Transport - AME'!H185</f>
        <v>58665.760521050746</v>
      </c>
      <c r="J162" s="107">
        <f>'Bureaux - AME'!I185+'CaHoREs - AME'!I185+'Commerce - AME'!I185+'Enseignement - AME'!I185+'Santé social - AME'!I185+'Sport Loisir Culture - AME'!I185+'Transport - AME'!I185</f>
        <v>148376.85497280321</v>
      </c>
      <c r="K162" s="107">
        <f>'Bureaux - AME'!J185+'CaHoREs - AME'!J185+'Commerce - AME'!J185+'Enseignement - AME'!J185+'Santé social - AME'!J185+'Sport Loisir Culture - AME'!J185+'Transport - AME'!J185</f>
        <v>203668.18796500482</v>
      </c>
      <c r="L162" s="107">
        <f>'Bureaux - AME'!K185+'CaHoREs - AME'!K185+'Commerce - AME'!K185+'Enseignement - AME'!K185+'Santé social - AME'!K185+'Sport Loisir Culture - AME'!K185+'Transport - AME'!K185</f>
        <v>259565.63894468066</v>
      </c>
      <c r="M162" s="156"/>
      <c r="X162" s="415" t="s">
        <v>421</v>
      </c>
      <c r="Y162" s="414"/>
      <c r="Z162" s="417">
        <f>Z161-Z163-Z164</f>
        <v>209426.76493146844</v>
      </c>
      <c r="AA162" s="417">
        <f t="shared" ref="AA162:AB162" si="36">AA161-AA163-AA164</f>
        <v>365922.3686654112</v>
      </c>
      <c r="AB162" s="417">
        <f t="shared" si="36"/>
        <v>410265.81835493754</v>
      </c>
      <c r="AD162" s="156"/>
    </row>
    <row r="163" spans="8:30">
      <c r="X163" s="415" t="s">
        <v>418</v>
      </c>
      <c r="Y163" s="414"/>
      <c r="Z163" s="416">
        <f>AG65*1000/(Z65*$AF$57)*Z161</f>
        <v>22943.808888307354</v>
      </c>
      <c r="AA163" s="416">
        <f t="shared" ref="AA163:AB163" si="37">AH65*1000/(AA65*$AF$57)*AA161</f>
        <v>58443.97128620094</v>
      </c>
      <c r="AB163" s="416">
        <f t="shared" si="37"/>
        <v>102945.07730119278</v>
      </c>
      <c r="AD163" s="156">
        <f>Z166/Y166-1</f>
        <v>1.4764987692642562E-2</v>
      </c>
    </row>
    <row r="164" spans="8:30">
      <c r="H164" s="12" t="s">
        <v>17</v>
      </c>
      <c r="I164" s="254">
        <f>SUM(I156:I162)</f>
        <v>983275.90313197742</v>
      </c>
      <c r="J164" s="254">
        <f t="shared" ref="J164:L164" si="38">SUM(J156:J162)</f>
        <v>1002282.3975214232</v>
      </c>
      <c r="K164" s="254">
        <f t="shared" si="38"/>
        <v>1020814.8932679439</v>
      </c>
      <c r="L164" s="254">
        <f t="shared" si="38"/>
        <v>1009440.06986147</v>
      </c>
      <c r="X164" s="415" t="s">
        <v>417</v>
      </c>
      <c r="Y164" s="414"/>
      <c r="Z164" s="417">
        <f>Z161*AG55</f>
        <v>2347.1775133310689</v>
      </c>
      <c r="AA164" s="417">
        <f t="shared" ref="AA164:AB164" si="39">AA161*AH55</f>
        <v>22335.07052376906</v>
      </c>
      <c r="AB164" s="417">
        <f t="shared" si="39"/>
        <v>44627.034404880898</v>
      </c>
    </row>
    <row r="166" spans="8:30">
      <c r="X166" s="12" t="s">
        <v>17</v>
      </c>
      <c r="Y166" s="254">
        <f>SUM(Y155:Y161)</f>
        <v>983275.90313197742</v>
      </c>
      <c r="Z166" s="254">
        <f>SUM(Z155:Z161)</f>
        <v>997793.95974019298</v>
      </c>
      <c r="AA166" s="254">
        <f>SUM(AA155:AA161)</f>
        <v>997679.88411930716</v>
      </c>
      <c r="AB166" s="254">
        <f>SUM(AB155:AB161)</f>
        <v>964626.57144855754</v>
      </c>
    </row>
    <row r="169" spans="8:30">
      <c r="X169" s="8" t="s">
        <v>407</v>
      </c>
      <c r="Y169" s="9">
        <v>2020</v>
      </c>
      <c r="Z169" s="9">
        <v>2030</v>
      </c>
      <c r="AA169" s="9">
        <v>2040</v>
      </c>
      <c r="AB169" s="9">
        <v>2050</v>
      </c>
    </row>
    <row r="170" spans="8:30">
      <c r="X170" s="124" t="s">
        <v>15</v>
      </c>
      <c r="Y170" s="397">
        <f t="shared" ref="Y170:AB175" si="40">Y155/(10^3)</f>
        <v>141.90109343289433</v>
      </c>
      <c r="Z170" s="397">
        <f t="shared" si="40"/>
        <v>12.854882597958662</v>
      </c>
      <c r="AA170" s="397">
        <f t="shared" si="40"/>
        <v>0</v>
      </c>
      <c r="AB170" s="397">
        <f t="shared" si="40"/>
        <v>0</v>
      </c>
    </row>
    <row r="171" spans="8:30">
      <c r="X171" s="124" t="s">
        <v>16</v>
      </c>
      <c r="Y171" s="397">
        <f t="shared" si="40"/>
        <v>454.34437842089932</v>
      </c>
      <c r="Z171" s="397">
        <f t="shared" si="40"/>
        <v>374.396920570335</v>
      </c>
      <c r="AA171" s="397">
        <f t="shared" si="40"/>
        <v>177.32329245553069</v>
      </c>
      <c r="AB171" s="397">
        <f t="shared" si="40"/>
        <v>21.762121059560357</v>
      </c>
    </row>
    <row r="172" spans="8:30">
      <c r="X172" s="124" t="s">
        <v>21</v>
      </c>
      <c r="Y172" s="397">
        <f t="shared" si="40"/>
        <v>71.441245547844048</v>
      </c>
      <c r="Z172" s="397">
        <f t="shared" si="40"/>
        <v>187.77806218926173</v>
      </c>
      <c r="AA172" s="397">
        <f t="shared" si="40"/>
        <v>227.41530910128168</v>
      </c>
      <c r="AB172" s="397">
        <f t="shared" si="40"/>
        <v>236.38227092098336</v>
      </c>
    </row>
    <row r="173" spans="8:30">
      <c r="X173" s="124" t="s">
        <v>22</v>
      </c>
      <c r="Y173" s="397">
        <f t="shared" si="40"/>
        <v>14.072698497935503</v>
      </c>
      <c r="Z173" s="397">
        <f t="shared" si="40"/>
        <v>10.239909292832007</v>
      </c>
      <c r="AA173" s="397">
        <f t="shared" si="40"/>
        <v>6.168483291883609</v>
      </c>
      <c r="AB173" s="397">
        <f t="shared" si="40"/>
        <v>0.72361470960254648</v>
      </c>
    </row>
    <row r="174" spans="8:30">
      <c r="X174" s="124" t="s">
        <v>42</v>
      </c>
      <c r="Y174" s="397">
        <f t="shared" si="40"/>
        <v>12.713837338469146</v>
      </c>
      <c r="Z174" s="397">
        <f t="shared" si="40"/>
        <v>21.88956910384648</v>
      </c>
      <c r="AA174" s="397">
        <f t="shared" si="40"/>
        <v>32.419239495909082</v>
      </c>
      <c r="AB174" s="397">
        <f t="shared" si="40"/>
        <v>45.97132954744211</v>
      </c>
    </row>
    <row r="175" spans="8:30">
      <c r="X175" s="124" t="s">
        <v>46</v>
      </c>
      <c r="Y175" s="397">
        <f t="shared" si="40"/>
        <v>230.1368893728843</v>
      </c>
      <c r="Z175" s="397">
        <f t="shared" si="40"/>
        <v>155.91686465285215</v>
      </c>
      <c r="AA175" s="397">
        <f t="shared" si="40"/>
        <v>107.6521492993209</v>
      </c>
      <c r="AB175" s="397">
        <f t="shared" si="40"/>
        <v>101.94930514995787</v>
      </c>
    </row>
    <row r="176" spans="8:30">
      <c r="X176" s="124" t="s">
        <v>47</v>
      </c>
      <c r="Y176" s="397">
        <f>Y161/(10^3)</f>
        <v>58.66576052105075</v>
      </c>
      <c r="Z176" s="397">
        <f>Z161/(10^3)</f>
        <v>234.71775133310686</v>
      </c>
      <c r="AA176" s="397">
        <f t="shared" ref="AA176:AB176" si="41">AA161/(10^3)</f>
        <v>446.70141047538118</v>
      </c>
      <c r="AB176" s="397">
        <f t="shared" si="41"/>
        <v>557.83793006101121</v>
      </c>
    </row>
    <row r="177" spans="24:28">
      <c r="X177" s="415" t="s">
        <v>421</v>
      </c>
      <c r="Y177" s="413"/>
      <c r="Z177" s="418">
        <f t="shared" ref="Z177:AB179" si="42">Z162/(10^3)</f>
        <v>209.42676493146843</v>
      </c>
      <c r="AA177" s="418">
        <f t="shared" si="42"/>
        <v>365.92236866541117</v>
      </c>
      <c r="AB177" s="418">
        <f t="shared" si="42"/>
        <v>410.26581835493755</v>
      </c>
    </row>
    <row r="178" spans="24:28">
      <c r="X178" s="415" t="s">
        <v>418</v>
      </c>
      <c r="Y178" s="413"/>
      <c r="Z178" s="418">
        <f t="shared" si="42"/>
        <v>22.943808888307355</v>
      </c>
      <c r="AA178" s="418">
        <f t="shared" si="42"/>
        <v>58.443971286200942</v>
      </c>
      <c r="AB178" s="418">
        <f t="shared" si="42"/>
        <v>102.94507730119278</v>
      </c>
    </row>
    <row r="179" spans="24:28">
      <c r="X179" s="415" t="s">
        <v>417</v>
      </c>
      <c r="Y179" s="413"/>
      <c r="Z179" s="418">
        <f t="shared" si="42"/>
        <v>2.3471775133310691</v>
      </c>
      <c r="AA179" s="418">
        <f t="shared" si="42"/>
        <v>22.335070523769058</v>
      </c>
      <c r="AB179" s="418">
        <f t="shared" si="42"/>
        <v>44.627034404880895</v>
      </c>
    </row>
    <row r="181" spans="24:28">
      <c r="X181" s="12" t="s">
        <v>17</v>
      </c>
      <c r="Y181" s="254">
        <f>SUM(Y170:Y176)</f>
        <v>983.27590313197732</v>
      </c>
      <c r="Z181" s="254">
        <f>SUM(Z170:Z177)</f>
        <v>1207.2207246716612</v>
      </c>
      <c r="AA181" s="254">
        <f>SUM(AA170:AA176)</f>
        <v>997.67988411930708</v>
      </c>
      <c r="AB181" s="254">
        <f>SUM(AB170:AB176)</f>
        <v>964.62657144855746</v>
      </c>
    </row>
  </sheetData>
  <mergeCells count="36">
    <mergeCell ref="A142:E142"/>
    <mergeCell ref="X142:AB142"/>
    <mergeCell ref="A149:N150"/>
    <mergeCell ref="P149:AC150"/>
    <mergeCell ref="AE62:AH63"/>
    <mergeCell ref="A122:E122"/>
    <mergeCell ref="X122:AB122"/>
    <mergeCell ref="A127:N128"/>
    <mergeCell ref="P127:AC128"/>
    <mergeCell ref="A130:E130"/>
    <mergeCell ref="X130:AB130"/>
    <mergeCell ref="A91:E91"/>
    <mergeCell ref="X91:AB91"/>
    <mergeCell ref="A106:N107"/>
    <mergeCell ref="P106:AC107"/>
    <mergeCell ref="AD37:AK37"/>
    <mergeCell ref="A112:E112"/>
    <mergeCell ref="X112:AB112"/>
    <mergeCell ref="A55:E55"/>
    <mergeCell ref="X55:AB55"/>
    <mergeCell ref="A67:E67"/>
    <mergeCell ref="A79:E79"/>
    <mergeCell ref="X79:AB79"/>
    <mergeCell ref="AE52:AH53"/>
    <mergeCell ref="A49:N50"/>
    <mergeCell ref="P49:AC50"/>
    <mergeCell ref="A1:N2"/>
    <mergeCell ref="P1:AC2"/>
    <mergeCell ref="A3:N4"/>
    <mergeCell ref="P3:AC4"/>
    <mergeCell ref="B7:F7"/>
    <mergeCell ref="Y7:AC7"/>
    <mergeCell ref="A27:E27"/>
    <mergeCell ref="X27:AB27"/>
    <mergeCell ref="A33:E33"/>
    <mergeCell ref="X33:AB3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2:T50"/>
  <sheetViews>
    <sheetView zoomScaleNormal="100" workbookViewId="0">
      <selection activeCell="E17" sqref="E17"/>
    </sheetView>
  </sheetViews>
  <sheetFormatPr baseColWidth="10" defaultRowHeight="15"/>
  <cols>
    <col min="2" max="2" width="29.28515625" customWidth="1"/>
    <col min="3" max="3" width="11" bestFit="1" customWidth="1"/>
    <col min="4" max="6" width="12.42578125" bestFit="1" customWidth="1"/>
    <col min="8" max="8" width="22.85546875" customWidth="1"/>
    <col min="13" max="13" width="15.5703125" customWidth="1"/>
    <col min="18" max="18" width="11.42578125" bestFit="1" customWidth="1"/>
  </cols>
  <sheetData>
    <row r="2" spans="2:20">
      <c r="B2" s="16" t="s">
        <v>322</v>
      </c>
      <c r="H2" s="114" t="s">
        <v>54</v>
      </c>
      <c r="I2" s="109"/>
      <c r="J2" s="109"/>
      <c r="K2" s="110"/>
      <c r="M2" s="16" t="s">
        <v>118</v>
      </c>
    </row>
    <row r="3" spans="2:20">
      <c r="C3" t="s">
        <v>49</v>
      </c>
      <c r="D3">
        <v>2030</v>
      </c>
      <c r="E3">
        <v>2040</v>
      </c>
      <c r="F3">
        <v>2050</v>
      </c>
      <c r="I3" t="s">
        <v>5</v>
      </c>
      <c r="J3" t="s">
        <v>6</v>
      </c>
      <c r="K3" t="s">
        <v>7</v>
      </c>
      <c r="M3" t="s">
        <v>49</v>
      </c>
      <c r="N3">
        <v>2030</v>
      </c>
      <c r="O3">
        <v>2040</v>
      </c>
      <c r="P3">
        <v>2050</v>
      </c>
    </row>
    <row r="4" spans="2:20">
      <c r="B4" t="s">
        <v>50</v>
      </c>
      <c r="C4" s="340">
        <v>287333.79208712652</v>
      </c>
      <c r="D4" s="340">
        <v>275542.16930259287</v>
      </c>
      <c r="E4" s="340">
        <v>276002.30290954426</v>
      </c>
      <c r="F4" s="340">
        <v>269746.67371113005</v>
      </c>
      <c r="H4" t="s">
        <v>50</v>
      </c>
      <c r="I4" s="342">
        <v>2.16E-3</v>
      </c>
      <c r="J4" s="342">
        <v>2.16E-3</v>
      </c>
      <c r="K4" s="342">
        <v>2.16E-3</v>
      </c>
      <c r="M4" t="s">
        <v>50</v>
      </c>
      <c r="N4" s="187">
        <f>IF(D4&gt;C4,D4-C4,0)+C4*I4*10</f>
        <v>6206.4099090819327</v>
      </c>
      <c r="O4" s="187">
        <f t="shared" ref="O4:P11" si="0">IF(E4&gt;D4,E4-D4,0)+D4*J4*10</f>
        <v>6411.8444638873989</v>
      </c>
      <c r="P4" s="187">
        <f t="shared" si="0"/>
        <v>5961.6497428461562</v>
      </c>
      <c r="R4" s="116"/>
      <c r="S4" s="186"/>
      <c r="T4" s="115"/>
    </row>
    <row r="5" spans="2:20">
      <c r="B5" t="s">
        <v>39</v>
      </c>
      <c r="C5" s="340">
        <v>67243.869415029592</v>
      </c>
      <c r="D5" s="340">
        <v>69861.541094581538</v>
      </c>
      <c r="E5" s="340">
        <v>70897.601389922653</v>
      </c>
      <c r="F5" s="340">
        <v>70213.18201763797</v>
      </c>
      <c r="H5" t="s">
        <v>39</v>
      </c>
      <c r="I5" s="342">
        <v>2.8800000000000002E-3</v>
      </c>
      <c r="J5" s="342">
        <v>2.8800000000000002E-3</v>
      </c>
      <c r="K5" s="342">
        <v>2.8800000000000002E-3</v>
      </c>
      <c r="M5" s="344" t="s">
        <v>39</v>
      </c>
      <c r="N5" s="187">
        <f t="shared" ref="N5:N11" si="1">IF(D5&gt;C5,D5-C5,0)+C5*I5*10</f>
        <v>4554.2951187047984</v>
      </c>
      <c r="O5" s="187">
        <f t="shared" si="0"/>
        <v>3048.0726788650627</v>
      </c>
      <c r="P5" s="187">
        <f t="shared" si="0"/>
        <v>2041.8509200297726</v>
      </c>
      <c r="R5" s="115"/>
      <c r="S5" s="115"/>
      <c r="T5" s="115"/>
    </row>
    <row r="6" spans="2:20">
      <c r="B6" t="s">
        <v>3</v>
      </c>
      <c r="C6" s="340">
        <v>184229.64520786435</v>
      </c>
      <c r="D6" s="340">
        <v>188845.72076800707</v>
      </c>
      <c r="E6" s="340">
        <v>189052.81684560882</v>
      </c>
      <c r="F6" s="340">
        <v>184659.28455413607</v>
      </c>
      <c r="H6" t="s">
        <v>3</v>
      </c>
      <c r="I6" s="342">
        <v>4.64E-3</v>
      </c>
      <c r="J6" s="342">
        <v>4.64E-3</v>
      </c>
      <c r="K6" s="342">
        <v>4.64E-3</v>
      </c>
      <c r="M6" s="344" t="s">
        <v>3</v>
      </c>
      <c r="N6" s="187">
        <f t="shared" si="1"/>
        <v>13164.331097787628</v>
      </c>
      <c r="O6" s="187">
        <f t="shared" si="0"/>
        <v>8969.5375212372728</v>
      </c>
      <c r="P6" s="187">
        <f t="shared" si="0"/>
        <v>8772.0507016362499</v>
      </c>
      <c r="R6" s="115"/>
      <c r="S6" s="115"/>
      <c r="T6" s="115"/>
    </row>
    <row r="7" spans="2:20">
      <c r="B7" t="s">
        <v>51</v>
      </c>
      <c r="C7" s="340">
        <v>167106.71056882737</v>
      </c>
      <c r="D7" s="340">
        <v>169584.88458817467</v>
      </c>
      <c r="E7" s="340">
        <v>168013.17910700393</v>
      </c>
      <c r="F7" s="340">
        <v>162344.01055748833</v>
      </c>
      <c r="H7" t="s">
        <v>51</v>
      </c>
      <c r="I7" s="342">
        <v>2.0122074695686078E-3</v>
      </c>
      <c r="J7" s="342">
        <v>2.0122074695686078E-3</v>
      </c>
      <c r="K7" s="342">
        <v>2.0122074695686078E-3</v>
      </c>
      <c r="M7" s="344" t="s">
        <v>51</v>
      </c>
      <c r="N7" s="187">
        <f t="shared" si="1"/>
        <v>5840.7077315636325</v>
      </c>
      <c r="O7" s="187">
        <f t="shared" si="0"/>
        <v>3412.3997149425531</v>
      </c>
      <c r="P7" s="187">
        <f t="shared" si="0"/>
        <v>3380.7737398508161</v>
      </c>
      <c r="R7" s="115"/>
      <c r="S7" s="115"/>
      <c r="T7" s="115"/>
    </row>
    <row r="8" spans="2:20">
      <c r="C8" s="340">
        <v>0</v>
      </c>
      <c r="D8" s="340">
        <v>0</v>
      </c>
      <c r="E8" s="340">
        <v>0</v>
      </c>
      <c r="F8" s="340">
        <v>0</v>
      </c>
      <c r="I8" s="342">
        <v>2E-3</v>
      </c>
      <c r="J8" s="342">
        <v>2E-3</v>
      </c>
      <c r="K8" s="342">
        <v>2E-3</v>
      </c>
      <c r="M8" t="s">
        <v>1</v>
      </c>
      <c r="N8" s="187">
        <f t="shared" si="1"/>
        <v>0</v>
      </c>
      <c r="O8" s="187">
        <f t="shared" si="0"/>
        <v>0</v>
      </c>
      <c r="P8" s="187">
        <f t="shared" si="0"/>
        <v>0</v>
      </c>
      <c r="R8" s="115"/>
      <c r="S8" s="115"/>
      <c r="T8" s="115"/>
    </row>
    <row r="9" spans="2:20">
      <c r="B9" t="s">
        <v>52</v>
      </c>
      <c r="C9" s="340">
        <v>179200</v>
      </c>
      <c r="D9" s="340">
        <v>197026.5997265706</v>
      </c>
      <c r="E9" s="340">
        <v>210960.15652501237</v>
      </c>
      <c r="F9" s="340">
        <v>219828.9365343824</v>
      </c>
      <c r="H9" t="s">
        <v>52</v>
      </c>
      <c r="I9" s="342">
        <v>2.5858544720225763E-3</v>
      </c>
      <c r="J9" s="342">
        <v>2.5858544720225763E-3</v>
      </c>
      <c r="K9" s="342">
        <v>2.5858544720225763E-3</v>
      </c>
      <c r="M9" s="344" t="s">
        <v>52</v>
      </c>
      <c r="N9" s="187">
        <f t="shared" si="1"/>
        <v>22460.450940435054</v>
      </c>
      <c r="O9" s="187">
        <f t="shared" si="0"/>
        <v>19028.37793854532</v>
      </c>
      <c r="P9" s="187">
        <f t="shared" si="0"/>
        <v>14323.902651057895</v>
      </c>
      <c r="R9" s="115"/>
      <c r="S9" s="115"/>
      <c r="T9" s="115"/>
    </row>
    <row r="10" spans="2:20">
      <c r="B10" t="s">
        <v>44</v>
      </c>
      <c r="C10" s="340">
        <v>56508.434021496723</v>
      </c>
      <c r="D10" s="340">
        <v>58708.196299912575</v>
      </c>
      <c r="E10" s="340">
        <v>59578.850314187497</v>
      </c>
      <c r="F10" s="340">
        <v>59003.698002486381</v>
      </c>
      <c r="H10" t="s">
        <v>44</v>
      </c>
      <c r="I10" s="342">
        <v>2.0122074695686078E-3</v>
      </c>
      <c r="J10" s="342">
        <v>2.0122074695686078E-3</v>
      </c>
      <c r="K10" s="342">
        <v>2.0122074695686078E-3</v>
      </c>
      <c r="M10" s="344" t="s">
        <v>44</v>
      </c>
      <c r="N10" s="187">
        <f t="shared" si="1"/>
        <v>3336.8292087326572</v>
      </c>
      <c r="O10" s="187">
        <f t="shared" si="0"/>
        <v>2051.9847254707638</v>
      </c>
      <c r="P10" s="187">
        <f t="shared" si="0"/>
        <v>1198.8500763051807</v>
      </c>
      <c r="R10" s="115"/>
      <c r="S10" s="115"/>
      <c r="T10" s="115"/>
    </row>
    <row r="11" spans="2:20">
      <c r="B11" t="s">
        <v>4</v>
      </c>
      <c r="C11" s="340">
        <v>41814.604215450461</v>
      </c>
      <c r="D11" s="340">
        <v>43442.364577824766</v>
      </c>
      <c r="E11" s="340">
        <v>44086.623326910783</v>
      </c>
      <c r="F11" s="340">
        <v>43661.027277509813</v>
      </c>
      <c r="H11" t="s">
        <v>4</v>
      </c>
      <c r="I11" s="342">
        <v>2.5999999999999999E-3</v>
      </c>
      <c r="J11" s="342">
        <v>2.5999999999999999E-3</v>
      </c>
      <c r="K11" s="342">
        <v>2.5999999999999999E-3</v>
      </c>
      <c r="M11" s="344" t="s">
        <v>4</v>
      </c>
      <c r="N11" s="187">
        <f t="shared" si="1"/>
        <v>2714.940071976017</v>
      </c>
      <c r="O11" s="187">
        <f t="shared" si="0"/>
        <v>1773.7602281094607</v>
      </c>
      <c r="P11" s="187">
        <f t="shared" si="0"/>
        <v>1146.2522064996804</v>
      </c>
      <c r="R11" s="115"/>
      <c r="S11" s="115"/>
      <c r="T11" s="115"/>
    </row>
    <row r="12" spans="2:20" ht="30">
      <c r="B12" s="16" t="s">
        <v>53</v>
      </c>
      <c r="C12" s="341">
        <f>SUM(C4:C11)</f>
        <v>983437.0555157949</v>
      </c>
      <c r="D12" s="341">
        <f>SUM(D4:D11)</f>
        <v>1003011.4763576639</v>
      </c>
      <c r="E12" s="341">
        <f>SUM(E4:E11)</f>
        <v>1018591.5304181903</v>
      </c>
      <c r="F12" s="341">
        <f>SUM(F4:F11)</f>
        <v>1009456.812654771</v>
      </c>
      <c r="H12" s="343" t="s">
        <v>119</v>
      </c>
      <c r="I12" s="108">
        <f>SUMPRODUCT(C4:C11,I4:I11)</f>
        <v>2691.1920451879</v>
      </c>
      <c r="J12" s="108">
        <f>SUMPRODUCT(D4:D11,J4:J11)</f>
        <v>2754.4217729360867</v>
      </c>
      <c r="K12" s="108">
        <f>SUMPRODUCT(E4:E11,K4:K11)</f>
        <v>2795.6550028855713</v>
      </c>
      <c r="M12" s="345" t="s">
        <v>53</v>
      </c>
      <c r="N12" s="108">
        <f>SUM(N4:N11)</f>
        <v>58277.964078281715</v>
      </c>
      <c r="O12" s="108">
        <f>SUM(O4:O11)</f>
        <v>44695.977271057833</v>
      </c>
      <c r="P12" s="108">
        <f>SUM(P4:P11)</f>
        <v>36825.330038225744</v>
      </c>
      <c r="R12" s="116"/>
      <c r="S12" s="116"/>
      <c r="T12" s="116"/>
    </row>
    <row r="13" spans="2:20">
      <c r="D13" s="254">
        <f>(D12-C12)/10</f>
        <v>1957.4420841868966</v>
      </c>
      <c r="E13" s="254">
        <f>(E12-D12)/10</f>
        <v>1558.0054060526425</v>
      </c>
      <c r="F13" s="254">
        <f>(F12-E12)/10</f>
        <v>-913.47177634192633</v>
      </c>
      <c r="M13" s="344" t="s">
        <v>211</v>
      </c>
      <c r="N13" s="187">
        <f>N12/10</f>
        <v>5827.7964078281711</v>
      </c>
      <c r="O13" s="187">
        <f>O12/10</f>
        <v>4469.5977271057836</v>
      </c>
      <c r="P13" s="187">
        <f>P12/10</f>
        <v>3682.5330038225743</v>
      </c>
    </row>
    <row r="14" spans="2:20">
      <c r="C14" s="107"/>
      <c r="N14" s="346">
        <f>N13/D12</f>
        <v>5.8102988302698513E-3</v>
      </c>
      <c r="O14" s="346">
        <f>O13/E12</f>
        <v>4.3880177614188066E-3</v>
      </c>
      <c r="P14" s="346">
        <f>P13/F12</f>
        <v>3.6480342275742126E-3</v>
      </c>
    </row>
    <row r="15" spans="2:20">
      <c r="C15" s="186"/>
      <c r="N15" s="107"/>
      <c r="O15" s="107"/>
      <c r="P15" s="107"/>
    </row>
    <row r="16" spans="2:20">
      <c r="N16" s="107"/>
      <c r="O16" s="107"/>
      <c r="P16" s="107"/>
    </row>
    <row r="17" spans="2:16">
      <c r="B17" t="s">
        <v>399</v>
      </c>
      <c r="C17" s="118"/>
      <c r="D17" s="118"/>
      <c r="E17" s="118"/>
      <c r="F17" s="118"/>
      <c r="G17" s="118"/>
      <c r="N17" s="107"/>
      <c r="O17" s="107"/>
      <c r="P17" s="107"/>
    </row>
    <row r="18" spans="2:16">
      <c r="B18" s="16" t="s">
        <v>398</v>
      </c>
      <c r="C18" s="118"/>
      <c r="D18" s="118"/>
      <c r="E18" s="118"/>
      <c r="F18" s="118"/>
      <c r="G18" s="118"/>
      <c r="H18" s="114" t="s">
        <v>54</v>
      </c>
      <c r="M18" s="16" t="s">
        <v>55</v>
      </c>
      <c r="N18" s="107"/>
      <c r="O18" s="107"/>
      <c r="P18" s="107"/>
    </row>
    <row r="19" spans="2:16">
      <c r="C19" s="118" t="s">
        <v>49</v>
      </c>
      <c r="D19" s="118">
        <v>2030</v>
      </c>
      <c r="E19" s="118">
        <v>2040</v>
      </c>
      <c r="F19" s="118">
        <v>2050</v>
      </c>
      <c r="G19" s="118"/>
      <c r="I19" t="s">
        <v>5</v>
      </c>
      <c r="J19" t="s">
        <v>6</v>
      </c>
      <c r="K19" t="s">
        <v>7</v>
      </c>
      <c r="M19" t="s">
        <v>49</v>
      </c>
      <c r="N19" s="118">
        <v>2030</v>
      </c>
      <c r="O19" s="118">
        <v>2040</v>
      </c>
      <c r="P19" s="118">
        <v>2050</v>
      </c>
    </row>
    <row r="20" spans="2:16">
      <c r="B20" t="s">
        <v>50</v>
      </c>
      <c r="C20" s="315">
        <v>287333.79208712652</v>
      </c>
      <c r="D20" s="316">
        <v>274114.5318987302</v>
      </c>
      <c r="E20" s="316">
        <v>260363.23380433657</v>
      </c>
      <c r="F20" s="316">
        <v>238873.30956649425</v>
      </c>
      <c r="G20" s="118"/>
      <c r="H20" t="s">
        <v>50</v>
      </c>
      <c r="I20" s="113">
        <v>2.16E-3</v>
      </c>
      <c r="J20" s="113">
        <v>2.16E-3</v>
      </c>
      <c r="K20" s="113">
        <v>2.16E-3</v>
      </c>
      <c r="M20" s="111" t="s">
        <v>50</v>
      </c>
      <c r="N20" s="107">
        <f>IF(D20&gt;C20,D20-C20,0)+C20*I20*10</f>
        <v>6206.4099090819327</v>
      </c>
      <c r="O20" s="107">
        <f t="shared" ref="O20:P20" si="2">IF(E20&gt;D20,E20-D20,0)+D20*J20*10</f>
        <v>5920.8738890125724</v>
      </c>
      <c r="P20" s="107">
        <f t="shared" si="2"/>
        <v>5623.8458501736704</v>
      </c>
    </row>
    <row r="21" spans="2:16">
      <c r="B21" t="s">
        <v>39</v>
      </c>
      <c r="C21" s="315">
        <v>67243.869415029592</v>
      </c>
      <c r="D21" s="316">
        <v>69499.574904758236</v>
      </c>
      <c r="E21" s="316">
        <v>70400.361355721587</v>
      </c>
      <c r="F21" s="316">
        <v>68894.249503047919</v>
      </c>
      <c r="G21" s="118"/>
      <c r="H21" t="s">
        <v>39</v>
      </c>
      <c r="I21" s="113">
        <v>2.8800000000000002E-3</v>
      </c>
      <c r="J21" s="113">
        <v>2.8800000000000002E-3</v>
      </c>
      <c r="K21" s="113">
        <v>2.8800000000000002E-3</v>
      </c>
      <c r="M21" s="112" t="s">
        <v>39</v>
      </c>
      <c r="N21" s="107">
        <f t="shared" ref="N21:N27" si="3">IF(D21&gt;C21,D21-C21,0)+C21*I21*10</f>
        <v>4192.3289288814958</v>
      </c>
      <c r="O21" s="107">
        <f t="shared" ref="O21:O27" si="4">IF(E21&gt;D21,E21-D21,0)+D21*J21*10</f>
        <v>2902.374208220388</v>
      </c>
      <c r="P21" s="107">
        <f t="shared" ref="P21:P27" si="5">IF(F21&gt;E21,F21-E21,0)+E21*K21*10</f>
        <v>2027.5304070447819</v>
      </c>
    </row>
    <row r="22" spans="2:16">
      <c r="B22" t="s">
        <v>3</v>
      </c>
      <c r="C22" s="315">
        <v>184229.64520786435</v>
      </c>
      <c r="D22" s="316">
        <v>187867.27447352451</v>
      </c>
      <c r="E22" s="316">
        <v>187726.8956963571</v>
      </c>
      <c r="F22" s="316">
        <v>181190.51804162841</v>
      </c>
      <c r="G22" s="118"/>
      <c r="H22" t="s">
        <v>3</v>
      </c>
      <c r="I22" s="113">
        <v>4.64E-3</v>
      </c>
      <c r="J22" s="113">
        <v>4.64E-3</v>
      </c>
      <c r="K22" s="113">
        <v>4.64E-3</v>
      </c>
      <c r="M22" s="112" t="s">
        <v>3</v>
      </c>
      <c r="N22" s="107">
        <f t="shared" si="3"/>
        <v>12185.884803305064</v>
      </c>
      <c r="O22" s="107">
        <f t="shared" si="4"/>
        <v>8717.0415355715377</v>
      </c>
      <c r="P22" s="107">
        <f t="shared" si="5"/>
        <v>8710.5279603109702</v>
      </c>
    </row>
    <row r="23" spans="2:16">
      <c r="B23" t="s">
        <v>51</v>
      </c>
      <c r="C23" s="315">
        <v>167106.71056882737</v>
      </c>
      <c r="D23" s="316">
        <v>168706.2324204118</v>
      </c>
      <c r="E23" s="316">
        <v>166834.81937003729</v>
      </c>
      <c r="F23" s="316">
        <v>159294.42944009311</v>
      </c>
      <c r="G23" s="118"/>
      <c r="H23" t="s">
        <v>51</v>
      </c>
      <c r="I23" s="113">
        <v>2.0122074695686078E-3</v>
      </c>
      <c r="J23" s="113">
        <v>2.0122074695686078E-3</v>
      </c>
      <c r="K23" s="113">
        <v>2.0122074695686078E-3</v>
      </c>
      <c r="M23" s="112" t="s">
        <v>51</v>
      </c>
      <c r="N23" s="107">
        <f t="shared" si="3"/>
        <v>4962.05556380077</v>
      </c>
      <c r="O23" s="107">
        <f t="shared" si="4"/>
        <v>3394.7194103913025</v>
      </c>
      <c r="P23" s="107">
        <f t="shared" si="5"/>
        <v>3357.062697205185</v>
      </c>
    </row>
    <row r="24" spans="2:16">
      <c r="C24" s="315">
        <v>0</v>
      </c>
      <c r="D24" s="316">
        <v>0</v>
      </c>
      <c r="E24" s="316">
        <v>0</v>
      </c>
      <c r="F24" s="316">
        <v>0</v>
      </c>
      <c r="G24" s="118"/>
      <c r="I24" s="113">
        <v>2E-3</v>
      </c>
      <c r="J24" s="113">
        <v>2E-3</v>
      </c>
      <c r="K24" s="113">
        <v>2E-3</v>
      </c>
      <c r="M24" t="s">
        <v>1</v>
      </c>
      <c r="N24" s="107">
        <f t="shared" si="3"/>
        <v>0</v>
      </c>
      <c r="O24" s="107">
        <f t="shared" si="4"/>
        <v>0</v>
      </c>
      <c r="P24" s="107">
        <f t="shared" si="5"/>
        <v>0</v>
      </c>
    </row>
    <row r="25" spans="2:16">
      <c r="B25" t="s">
        <v>52</v>
      </c>
      <c r="C25" s="315">
        <v>179200</v>
      </c>
      <c r="D25" s="316">
        <v>196005.76671201803</v>
      </c>
      <c r="E25" s="316">
        <v>209480.58833950156</v>
      </c>
      <c r="F25" s="316">
        <v>215699.51918408886</v>
      </c>
      <c r="G25" s="118"/>
      <c r="H25" t="s">
        <v>52</v>
      </c>
      <c r="I25" s="113">
        <v>2.5858544720225763E-3</v>
      </c>
      <c r="J25" s="113">
        <v>2.5858544720225763E-3</v>
      </c>
      <c r="K25" s="113">
        <v>2.5858544720225763E-3</v>
      </c>
      <c r="M25" s="112" t="s">
        <v>52</v>
      </c>
      <c r="N25" s="107">
        <f t="shared" si="3"/>
        <v>21439.617925882485</v>
      </c>
      <c r="O25" s="107">
        <f t="shared" si="4"/>
        <v>18543.245511428384</v>
      </c>
      <c r="P25" s="107">
        <f t="shared" si="5"/>
        <v>11635.794006183507</v>
      </c>
    </row>
    <row r="26" spans="2:16">
      <c r="B26" t="s">
        <v>44</v>
      </c>
      <c r="C26" s="315">
        <v>56508.434021496723</v>
      </c>
      <c r="D26" s="316">
        <v>58404.017751985768</v>
      </c>
      <c r="E26" s="316">
        <v>59160.994293855387</v>
      </c>
      <c r="F26" s="316">
        <v>57895.332115337398</v>
      </c>
      <c r="G26" s="118"/>
      <c r="H26" t="s">
        <v>44</v>
      </c>
      <c r="I26" s="113">
        <v>2.0122074695686078E-3</v>
      </c>
      <c r="J26" s="113">
        <v>2.0122074695686078E-3</v>
      </c>
      <c r="K26" s="113">
        <v>2.0122074695686078E-3</v>
      </c>
      <c r="M26" s="112" t="s">
        <v>44</v>
      </c>
      <c r="N26" s="107">
        <f t="shared" si="3"/>
        <v>3032.6506608058498</v>
      </c>
      <c r="O26" s="107">
        <f t="shared" si="4"/>
        <v>1932.1865496032522</v>
      </c>
      <c r="P26" s="107">
        <f t="shared" si="5"/>
        <v>1190.4419462520159</v>
      </c>
    </row>
    <row r="27" spans="2:16">
      <c r="B27" s="158" t="s">
        <v>4</v>
      </c>
      <c r="C27" s="315">
        <v>41814.604215450461</v>
      </c>
      <c r="D27" s="315">
        <v>43217.281263933044</v>
      </c>
      <c r="E27" s="315">
        <v>43777.42197649672</v>
      </c>
      <c r="F27" s="315">
        <v>42840.868628636097</v>
      </c>
      <c r="G27" s="118"/>
      <c r="H27" s="394" t="s">
        <v>4</v>
      </c>
      <c r="I27" s="113">
        <v>2.5999999999999999E-3</v>
      </c>
      <c r="J27" s="113">
        <v>2.5999999999999999E-3</v>
      </c>
      <c r="K27" s="113">
        <v>2.5999999999999999E-3</v>
      </c>
      <c r="M27" s="112" t="s">
        <v>4</v>
      </c>
      <c r="N27" s="107">
        <f t="shared" si="3"/>
        <v>2489.8567580842946</v>
      </c>
      <c r="O27" s="107">
        <f t="shared" si="4"/>
        <v>1683.7900254259353</v>
      </c>
      <c r="P27" s="107">
        <f t="shared" si="5"/>
        <v>1138.2129713889146</v>
      </c>
    </row>
    <row r="28" spans="2:16" ht="30">
      <c r="B28" s="16" t="s">
        <v>53</v>
      </c>
      <c r="C28" s="119">
        <v>983437.0555157949</v>
      </c>
      <c r="D28" s="119">
        <v>997814.67942536168</v>
      </c>
      <c r="E28" s="119">
        <v>997744.31483630615</v>
      </c>
      <c r="F28" s="119">
        <v>964688.22647932591</v>
      </c>
      <c r="G28" s="118"/>
      <c r="H28" s="253" t="s">
        <v>119</v>
      </c>
      <c r="I28" s="108">
        <v>2691.1920451879</v>
      </c>
      <c r="J28" s="108">
        <v>2754.4217729360867</v>
      </c>
      <c r="K28" s="108">
        <v>2795.6550028855713</v>
      </c>
      <c r="M28" s="117" t="s">
        <v>53</v>
      </c>
      <c r="N28" s="108">
        <f>SUM(N20:N27)</f>
        <v>54508.804549841887</v>
      </c>
      <c r="O28" s="108">
        <f>SUM(O20:O27)</f>
        <v>43094.231129653381</v>
      </c>
      <c r="P28" s="108">
        <f>SUM(P20:P27)</f>
        <v>33683.415838559042</v>
      </c>
    </row>
    <row r="29" spans="2:16">
      <c r="C29" s="118"/>
      <c r="D29" s="107"/>
      <c r="E29" s="107"/>
      <c r="F29" s="107"/>
      <c r="G29" s="118"/>
      <c r="M29" s="112" t="s">
        <v>211</v>
      </c>
      <c r="N29" s="107">
        <f>N28/10</f>
        <v>5450.8804549841889</v>
      </c>
      <c r="O29" s="107">
        <f t="shared" ref="O29:P29" si="6">O28/10</f>
        <v>4309.4231129653381</v>
      </c>
      <c r="P29" s="107">
        <f t="shared" si="6"/>
        <v>3368.341583855904</v>
      </c>
    </row>
    <row r="30" spans="2:16">
      <c r="C30" s="118"/>
      <c r="D30" s="118"/>
      <c r="E30" s="118"/>
      <c r="F30" s="118"/>
      <c r="G30" s="118"/>
      <c r="N30" s="186">
        <f>N29/D28</f>
        <v>5.4628184645703287E-3</v>
      </c>
      <c r="O30" s="186">
        <f t="shared" ref="O30:P30" si="7">O29/E28</f>
        <v>4.3191657911599915E-3</v>
      </c>
      <c r="P30" s="186">
        <f t="shared" si="7"/>
        <v>3.4916374963430636E-3</v>
      </c>
    </row>
    <row r="31" spans="2:16">
      <c r="C31" s="118"/>
      <c r="D31" s="118"/>
      <c r="E31" s="118"/>
      <c r="F31" s="118"/>
      <c r="G31" s="118"/>
    </row>
    <row r="34" spans="2:3">
      <c r="B34" t="s">
        <v>116</v>
      </c>
    </row>
    <row r="35" spans="2:3">
      <c r="B35" t="s">
        <v>117</v>
      </c>
    </row>
    <row r="41" spans="2:3">
      <c r="B41" s="16" t="s">
        <v>222</v>
      </c>
      <c r="C41" s="16">
        <v>2020</v>
      </c>
    </row>
    <row r="42" spans="2:3">
      <c r="B42" t="s">
        <v>50</v>
      </c>
      <c r="C42" s="107">
        <v>239113.67300849396</v>
      </c>
    </row>
    <row r="43" spans="2:3">
      <c r="B43" t="s">
        <v>39</v>
      </c>
      <c r="C43" s="107">
        <v>67389.90174661066</v>
      </c>
    </row>
    <row r="44" spans="2:3">
      <c r="B44" t="s">
        <v>3</v>
      </c>
      <c r="C44" s="107">
        <v>215959</v>
      </c>
    </row>
    <row r="45" spans="2:3">
      <c r="B45" t="s">
        <v>51</v>
      </c>
      <c r="C45" s="107">
        <v>190850</v>
      </c>
    </row>
    <row r="46" spans="2:3">
      <c r="B46" t="s">
        <v>221</v>
      </c>
      <c r="C46" s="107">
        <v>72592</v>
      </c>
    </row>
    <row r="47" spans="2:3">
      <c r="B47" t="s">
        <v>52</v>
      </c>
      <c r="C47" s="107">
        <v>118445.13907375958</v>
      </c>
    </row>
    <row r="48" spans="2:3">
      <c r="B48" t="s">
        <v>44</v>
      </c>
      <c r="C48" s="107">
        <v>74481</v>
      </c>
    </row>
    <row r="49" spans="2:3">
      <c r="B49" t="s">
        <v>4</v>
      </c>
      <c r="C49" s="107">
        <v>25839.303197908266</v>
      </c>
    </row>
    <row r="50" spans="2:3">
      <c r="C50" s="254">
        <f>SUM(C42:C49)</f>
        <v>1004670.0170267724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  <pageSetUpPr fitToPage="1"/>
  </sheetPr>
  <dimension ref="A1:GB1595"/>
  <sheetViews>
    <sheetView showGridLines="0" topLeftCell="A90" zoomScale="121" zoomScaleNormal="121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7" si="0">H34</f>
        <v>287333.79208712652</v>
      </c>
      <c r="I7" s="10">
        <f t="shared" si="0"/>
        <v>275542.16930259287</v>
      </c>
      <c r="J7" s="10">
        <f t="shared" si="0"/>
        <v>276002.30290954426</v>
      </c>
      <c r="K7" s="10">
        <f t="shared" si="0"/>
        <v>269746.67371113005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6206.4099090819327</v>
      </c>
      <c r="J8" s="76">
        <f t="shared" ref="J8:K8" si="1">J35</f>
        <v>6411.8444638873989</v>
      </c>
      <c r="K8" s="76">
        <f t="shared" si="1"/>
        <v>5961.6497428461562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>H36</f>
        <v>287333.79208712652</v>
      </c>
      <c r="I9" s="96">
        <f t="shared" ref="I9:K9" si="2">I36</f>
        <v>269335.75939351093</v>
      </c>
      <c r="J9" s="96">
        <f t="shared" si="2"/>
        <v>269590.45844565687</v>
      </c>
      <c r="K9" s="96">
        <f t="shared" si="2"/>
        <v>263785.0239682839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3705.16846907939</v>
      </c>
      <c r="I13" s="86">
        <f t="shared" ref="I13:K13" si="3">I133+I167</f>
        <v>2535.2488876939278</v>
      </c>
      <c r="J13" s="86">
        <f t="shared" si="3"/>
        <v>1849.6380122881747</v>
      </c>
      <c r="K13" s="86">
        <f t="shared" si="3"/>
        <v>1270.1720577734352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4" si="4">H134+H168</f>
        <v>17519.297184247305</v>
      </c>
      <c r="I14" s="86">
        <f t="shared" si="4"/>
        <v>14064.468612966739</v>
      </c>
      <c r="J14" s="86">
        <f t="shared" si="4"/>
        <v>12178.540690198633</v>
      </c>
      <c r="K14" s="86">
        <f t="shared" si="4"/>
        <v>10558.976644641007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ref="H15:J15" si="5">H135+H169</f>
        <v>2766.1150896935142</v>
      </c>
      <c r="I15" s="86">
        <f>I135+I169</f>
        <v>2535.3244043351169</v>
      </c>
      <c r="J15" s="86">
        <f t="shared" si="5"/>
        <v>2323.5713690795424</v>
      </c>
      <c r="K15" s="86">
        <f>K135+K169</f>
        <v>2055.4151584710185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ref="H16:K16" si="6">H136+H170</f>
        <v>394.01187233155542</v>
      </c>
      <c r="I16" s="86">
        <f t="shared" si="6"/>
        <v>302.77797812911427</v>
      </c>
      <c r="J16" s="86">
        <f t="shared" si="6"/>
        <v>255.44488197166822</v>
      </c>
      <c r="K16" s="86">
        <f t="shared" si="6"/>
        <v>212.45280019903859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ref="H17:K17" si="7">H137+H171</f>
        <v>411.65001129323497</v>
      </c>
      <c r="I17" s="86">
        <f t="shared" si="7"/>
        <v>427.87867337585004</v>
      </c>
      <c r="J17" s="86">
        <f t="shared" si="7"/>
        <v>464.91367483614022</v>
      </c>
      <c r="K17" s="86">
        <f t="shared" si="7"/>
        <v>489.59611720793072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ref="H18:K18" si="8">H138+H172</f>
        <v>6418.4622476422319</v>
      </c>
      <c r="I18" s="86">
        <f t="shared" si="8"/>
        <v>4703.0267969750648</v>
      </c>
      <c r="J18" s="86">
        <f t="shared" si="8"/>
        <v>3735.1156579025806</v>
      </c>
      <c r="K18" s="86">
        <f t="shared" si="8"/>
        <v>2905.3549191243555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ref="H19:K19" si="9">H139+H173</f>
        <v>1152.0826387608718</v>
      </c>
      <c r="I19" s="86">
        <f t="shared" si="9"/>
        <v>1595.5654718999112</v>
      </c>
      <c r="J19" s="86">
        <f t="shared" si="9"/>
        <v>2205.5392330518689</v>
      </c>
      <c r="K19" s="86">
        <f t="shared" si="9"/>
        <v>2444.3126962431202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32366.787513048101</v>
      </c>
      <c r="I20" s="13">
        <f t="shared" ref="I20:K20" si="10">SUM(I13:I19)</f>
        <v>26164.290825375723</v>
      </c>
      <c r="J20" s="13">
        <f t="shared" si="10"/>
        <v>23012.763519328611</v>
      </c>
      <c r="K20" s="13">
        <f t="shared" si="10"/>
        <v>19936.280393659905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-0.32041259699421187</v>
      </c>
      <c r="J23" s="177">
        <f t="shared" ref="J23:K23" si="11">J118/$G118-1</f>
        <v>-0.46050719450621191</v>
      </c>
      <c r="K23" s="177">
        <f t="shared" si="11"/>
        <v>-0.56392916588473696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-0.15599986982439595</v>
      </c>
      <c r="J24" s="177">
        <f t="shared" ref="J24:K24" si="12">J129/$G129-1</f>
        <v>-0.22698864069543323</v>
      </c>
      <c r="K24" s="177">
        <f t="shared" si="12"/>
        <v>-0.31365816772371424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287333.79208712652</v>
      </c>
      <c r="H34" s="125">
        <f>'Init. parc'!C4</f>
        <v>287333.79208712652</v>
      </c>
      <c r="I34" s="125">
        <f>'Init. parc'!D4</f>
        <v>275542.16930259287</v>
      </c>
      <c r="J34" s="125">
        <f>'Init. parc'!E4</f>
        <v>276002.30290954426</v>
      </c>
      <c r="K34" s="125">
        <f>'Init. parc'!F4</f>
        <v>269746.67371113005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115</v>
      </c>
      <c r="F35" s="55"/>
      <c r="G35" s="184"/>
      <c r="H35" s="125">
        <v>0</v>
      </c>
      <c r="I35" s="125">
        <f>'Init. parc'!N4</f>
        <v>6206.4099090819327</v>
      </c>
      <c r="J35" s="125">
        <f>'Init. parc'!O4</f>
        <v>6411.8444638873989</v>
      </c>
      <c r="K35" s="125">
        <f>'Init. parc'!P4</f>
        <v>5961.6497428461562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114</v>
      </c>
      <c r="F36" s="55"/>
      <c r="G36" s="184">
        <f>G34-G35</f>
        <v>287333.79208712652</v>
      </c>
      <c r="H36" s="125">
        <f>H34-H35</f>
        <v>287333.79208712652</v>
      </c>
      <c r="I36" s="125">
        <f>I34-I35</f>
        <v>269335.75939351093</v>
      </c>
      <c r="J36" s="125">
        <f>J34-J35</f>
        <v>269590.45844565687</v>
      </c>
      <c r="K36" s="125">
        <f>K34-K35</f>
        <v>263785.0239682839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0.09</v>
      </c>
      <c r="H45" s="55">
        <f>'Init. énergie'!B3</f>
        <v>0.09</v>
      </c>
      <c r="I45" s="311">
        <f>H45+((K45-H45)/3)</f>
        <v>7.3333333333333334E-2</v>
      </c>
      <c r="J45" s="311">
        <f>H45+((K45-H45)/3*2)</f>
        <v>5.6666666666666664E-2</v>
      </c>
      <c r="K45" s="311">
        <v>0.04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13">H46</f>
        <v>0.42499999999999999</v>
      </c>
      <c r="H46" s="55">
        <f>'Init. énergie'!B4</f>
        <v>0.42499999999999999</v>
      </c>
      <c r="I46" s="311">
        <f t="shared" ref="I46:I50" si="14">H46+((K46-H46)/3)</f>
        <v>0.39666666666666667</v>
      </c>
      <c r="J46" s="311">
        <f t="shared" ref="J46:J50" si="15">H46+((K46-H46)/3*2)</f>
        <v>0.36833333333333335</v>
      </c>
      <c r="K46" s="311">
        <v>0.34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13"/>
        <v>0.08</v>
      </c>
      <c r="H47" s="55">
        <f>'Init. énergie'!B5</f>
        <v>0.08</v>
      </c>
      <c r="I47" s="311">
        <v>0.1</v>
      </c>
      <c r="J47" s="311">
        <v>0.1</v>
      </c>
      <c r="K47" s="311">
        <v>0.09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13"/>
        <v>1.2999999999999999E-2</v>
      </c>
      <c r="H48" s="55">
        <f>'Init. énergie'!B6</f>
        <v>1.2999999999999999E-2</v>
      </c>
      <c r="I48" s="311">
        <f t="shared" si="14"/>
        <v>1.2E-2</v>
      </c>
      <c r="J48" s="311">
        <f t="shared" si="15"/>
        <v>1.0999999999999999E-2</v>
      </c>
      <c r="K48" s="311">
        <v>0.01</v>
      </c>
      <c r="L48" s="64"/>
      <c r="M48" s="494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13"/>
        <v>1.2E-2</v>
      </c>
      <c r="H49" s="55">
        <f>'Init. énergie'!B7</f>
        <v>1.2E-2</v>
      </c>
      <c r="I49" s="311">
        <f t="shared" si="14"/>
        <v>1.4666666666666666E-2</v>
      </c>
      <c r="J49" s="311">
        <f t="shared" si="15"/>
        <v>1.7333333333333333E-2</v>
      </c>
      <c r="K49" s="311">
        <v>0.02</v>
      </c>
      <c r="L49" s="64"/>
      <c r="M49" s="494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13"/>
        <v>0.30599999999999999</v>
      </c>
      <c r="H50" s="55">
        <f>'Init. énergie'!B8</f>
        <v>0.30599999999999999</v>
      </c>
      <c r="I50" s="311">
        <f t="shared" si="14"/>
        <v>0.27733333333333327</v>
      </c>
      <c r="J50" s="311">
        <f t="shared" si="15"/>
        <v>0.24866666666666656</v>
      </c>
      <c r="K50" s="311">
        <f>1-K45-K46-K47-K48-K49-K51</f>
        <v>0.21999999999999986</v>
      </c>
      <c r="L50" s="64"/>
      <c r="M50" s="494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13"/>
        <v>7.2999999999999995E-2</v>
      </c>
      <c r="H51" s="55">
        <f>'Init. énergie'!B9</f>
        <v>7.2999999999999995E-2</v>
      </c>
      <c r="I51" s="311">
        <v>0.13</v>
      </c>
      <c r="J51" s="311">
        <v>0.2</v>
      </c>
      <c r="K51" s="312">
        <v>0.28000000000000003</v>
      </c>
      <c r="L51" s="64"/>
      <c r="M51" s="495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I52" si="16">SUM(G45:G51)</f>
        <v>0.99899999999999989</v>
      </c>
      <c r="H52" s="149">
        <f t="shared" si="16"/>
        <v>0.99899999999999989</v>
      </c>
      <c r="I52" s="155">
        <f t="shared" si="16"/>
        <v>1.004</v>
      </c>
      <c r="J52" s="155">
        <f t="shared" ref="J52" si="17">SUM(J45:J51)</f>
        <v>1.002</v>
      </c>
      <c r="K52" s="155">
        <f>SUM(K45:K51)</f>
        <v>0.99999999999999989</v>
      </c>
      <c r="L52" s="63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-2.4813089055302266E-2</v>
      </c>
      <c r="J55" s="142">
        <f>(I$81*(J45-I45)+I$82*(J46-I46)+I$83*(J47-I47)+I$84*(J48-I48)+I$85*(J49-I49)+I$86*(J50-I50)+I$87*(J51-I51))/(I$81*I45+I$82*I46+I$83*I47+I$84*I48+I$85*I49+I$86*I50+I$87*I51)</f>
        <v>-4.0853406869973262E-2</v>
      </c>
      <c r="K55" s="142">
        <f>(J$81*(K45-J45)+J$82*(K46-J46)+J$83*(K47-J47)+J$84*(K48-J48)+J$85*(K49-J49)+J$86*(K50-J50)+J$87*(K51-J51))/(J$81*J45+J$82*J46+J$83*J47+J$84*J48+J$85*J49+J$86*J50+J$87*J51)</f>
        <v>-4.8801585861532798E-2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/>
      <c r="G58" s="4">
        <v>2010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0.09</v>
      </c>
      <c r="H59" s="55">
        <f>H45</f>
        <v>0.09</v>
      </c>
      <c r="I59" s="311">
        <f>H59+((K59-H59)/3)</f>
        <v>7.6666666666666661E-2</v>
      </c>
      <c r="J59" s="311">
        <f>H59+((K59-H59)/3*2)</f>
        <v>6.3333333333333339E-2</v>
      </c>
      <c r="K59" s="311">
        <v>0.05</v>
      </c>
      <c r="L59" s="64"/>
      <c r="M59" s="493" t="s">
        <v>385</v>
      </c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8">H60</f>
        <v>0.42499999999999999</v>
      </c>
      <c r="H60" s="55">
        <f t="shared" ref="H60:H65" si="19">H46</f>
        <v>0.42499999999999999</v>
      </c>
      <c r="I60" s="311">
        <f>H60</f>
        <v>0.42499999999999999</v>
      </c>
      <c r="J60" s="311">
        <v>0.41</v>
      </c>
      <c r="K60" s="311">
        <v>0.4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8"/>
        <v>0.08</v>
      </c>
      <c r="H61" s="55">
        <f t="shared" si="19"/>
        <v>0.08</v>
      </c>
      <c r="I61" s="311">
        <v>0.08</v>
      </c>
      <c r="J61" s="311">
        <v>0.08</v>
      </c>
      <c r="K61" s="311">
        <v>0.08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8"/>
        <v>1.2999999999999999E-2</v>
      </c>
      <c r="H62" s="55">
        <f t="shared" si="19"/>
        <v>1.2999999999999999E-2</v>
      </c>
      <c r="I62" s="311">
        <f t="shared" ref="I62:I64" si="20">H62+((K62-H62)/3)</f>
        <v>1.2E-2</v>
      </c>
      <c r="J62" s="311">
        <f t="shared" ref="J62:J64" si="21">H62+((K62-H62)/3*2)</f>
        <v>1.0999999999999999E-2</v>
      </c>
      <c r="K62" s="311">
        <v>0.01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8"/>
        <v>1.2E-2</v>
      </c>
      <c r="H63" s="55">
        <f t="shared" si="19"/>
        <v>1.2E-2</v>
      </c>
      <c r="I63" s="311">
        <f t="shared" si="20"/>
        <v>1.4666666666666666E-2</v>
      </c>
      <c r="J63" s="311">
        <f t="shared" si="21"/>
        <v>1.7333333333333333E-2</v>
      </c>
      <c r="K63" s="311">
        <v>0.02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8"/>
        <v>0.30599999999999999</v>
      </c>
      <c r="H64" s="55">
        <f t="shared" si="19"/>
        <v>0.30599999999999999</v>
      </c>
      <c r="I64" s="311">
        <f t="shared" si="20"/>
        <v>0.27733333333333332</v>
      </c>
      <c r="J64" s="311">
        <f t="shared" si="21"/>
        <v>0.24866666666666659</v>
      </c>
      <c r="K64" s="311">
        <f>1-K59-K60-K61-K62-K63-K65</f>
        <v>0.21999999999999989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8"/>
        <v>7.2999999999999995E-2</v>
      </c>
      <c r="H65" s="55">
        <f t="shared" si="19"/>
        <v>7.2999999999999995E-2</v>
      </c>
      <c r="I65" s="311">
        <v>0.11</v>
      </c>
      <c r="J65" s="311">
        <v>0.18</v>
      </c>
      <c r="K65" s="312">
        <v>0.22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22">SUM(G59:G65)</f>
        <v>0.99899999999999989</v>
      </c>
      <c r="H66" s="149">
        <v>1</v>
      </c>
      <c r="I66" s="47">
        <f t="shared" ref="I66:J66" si="23">SUM(I59:I65)</f>
        <v>0.9956666666666667</v>
      </c>
      <c r="J66" s="47">
        <f t="shared" si="23"/>
        <v>1.0103333333333333</v>
      </c>
      <c r="K66" s="47">
        <f>SUM(K59:K65)</f>
        <v>0.99999999999999989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-1.5605695341046333E-2</v>
      </c>
      <c r="J69" s="142">
        <f>(I$101*(J59-I59)+I$102*(J60-I60)+I$103*(J61-I61)+I$104*(J62-I62)+I$105*(J63-I63)+I$106*(J64-I64)+I$107*(J65-I65))/(I$101*I59+I$102*I60+I$103*I61+I$104*I62+I$105*I63+I$106*I64+I$107*I65)</f>
        <v>-1.9328269804650772E-2</v>
      </c>
      <c r="K69" s="142">
        <f>(J$101*(K59-J59)+J$102*(K60-J60)+J$103*(K61-J61)+J$104*(K62-J62)+J$105*(K63-J63)+J$106*(K64-J64)+J$107*(K65-J65))/(J$101*J59+J$102*J60+J$103*J61+J$104*J62+J$105*J63+J$106*J64+J$107*J65)</f>
        <v>-2.7801021001807764E-2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20" t="s">
        <v>84</v>
      </c>
      <c r="I72" s="121" t="s">
        <v>83</v>
      </c>
      <c r="J72" s="88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bord'!E12</f>
        <v>0.76</v>
      </c>
      <c r="I73" s="92">
        <f>'Tableau de bord'!E24</f>
        <v>0.47000000000000003</v>
      </c>
      <c r="J73" s="92">
        <f>'Tableau de bord'!E27</f>
        <v>0.35720000000000002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291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bord'!F52</f>
        <v>0.27500000000000002</v>
      </c>
      <c r="I77" s="92">
        <f>'Tableau de bord'!U52</f>
        <v>0.42499999999999999</v>
      </c>
      <c r="J77" s="92">
        <f>'Tableau de bord'!AJ52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146.17507749392706</v>
      </c>
      <c r="H81" s="54">
        <f>'Init. énergie'!D3</f>
        <v>143.27774761989451</v>
      </c>
      <c r="I81" s="81">
        <f>G81*(1-H$77)/(1+I$55)</f>
        <v>108.67345530759181</v>
      </c>
      <c r="J81" s="81">
        <f>G81*(1-I$77)/(1+I$55)/(1+J$55)</f>
        <v>89.860395436779271</v>
      </c>
      <c r="K81" s="81">
        <f>G81*(1-J$77)/(1+I$55)/(1+J$55)/(1+K$55)</f>
        <v>78.041026430267834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24">H82/0.998^10</f>
        <v>146.36445916822422</v>
      </c>
      <c r="H82" s="54">
        <f>'Init. énergie'!D4</f>
        <v>143.46337556823548</v>
      </c>
      <c r="I82" s="81">
        <f t="shared" ref="I82:I87" si="25">G82*(1-H$77)/(1+I$55)</f>
        <v>108.81425058727046</v>
      </c>
      <c r="J82" s="81">
        <f t="shared" ref="J82:J87" si="26">G82*(1-I$77)/(1+I$55)/(1+J$55)</f>
        <v>89.976816870806061</v>
      </c>
      <c r="K82" s="81">
        <f t="shared" ref="K82:K87" si="27">G82*(1-J$77)/(1+I$55)/(1+J$55)/(1+K$55)</f>
        <v>78.142134912661803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24"/>
        <v>122.76883692018096</v>
      </c>
      <c r="H83" s="54">
        <f>'Init. énergie'!D5</f>
        <v>120.33544112585447</v>
      </c>
      <c r="I83" s="81">
        <f t="shared" si="25"/>
        <v>91.272150772518657</v>
      </c>
      <c r="J83" s="81">
        <f t="shared" si="26"/>
        <v>75.471526487949092</v>
      </c>
      <c r="K83" s="81">
        <f t="shared" si="27"/>
        <v>65.54473040932119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24"/>
        <v>107.61525484242637</v>
      </c>
      <c r="H84" s="54">
        <f>'Init. énergie'!D6</f>
        <v>105.48221754152573</v>
      </c>
      <c r="I84" s="81">
        <f t="shared" si="25"/>
        <v>80.006262271483294</v>
      </c>
      <c r="J84" s="81">
        <f t="shared" si="26"/>
        <v>66.155937940733907</v>
      </c>
      <c r="K84" s="81">
        <f t="shared" si="27"/>
        <v>57.454424457594158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24"/>
        <v>121.80209780605912</v>
      </c>
      <c r="H85" s="54">
        <f>'Init. énergie'!D7</f>
        <v>119.38786370580362</v>
      </c>
      <c r="I85" s="81">
        <f t="shared" si="25"/>
        <v>90.553431263599748</v>
      </c>
      <c r="J85" s="81">
        <f t="shared" si="26"/>
        <v>74.877228468282922</v>
      </c>
      <c r="K85" s="81">
        <f t="shared" si="27"/>
        <v>65.028600614490131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24"/>
        <v>74.476189319820151</v>
      </c>
      <c r="H86" s="54">
        <f>'Init. énergie'!D8</f>
        <v>73</v>
      </c>
      <c r="I86" s="81">
        <f t="shared" si="25"/>
        <v>55.369116064696279</v>
      </c>
      <c r="J86" s="81">
        <f t="shared" si="26"/>
        <v>45.78386369031697</v>
      </c>
      <c r="K86" s="81">
        <f t="shared" si="27"/>
        <v>39.761896205426581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24"/>
        <v>56.036197154038852</v>
      </c>
      <c r="H87" s="54">
        <f>'Init. énergie'!D9</f>
        <v>54.925506119527036</v>
      </c>
      <c r="I87" s="81">
        <f t="shared" si="25"/>
        <v>41.659955112935322</v>
      </c>
      <c r="J87" s="81">
        <f t="shared" si="26"/>
        <v>34.447971031480769</v>
      </c>
      <c r="K87" s="81">
        <f t="shared" si="27"/>
        <v>29.917017443221326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8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8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8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8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8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8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146.17507749392706</v>
      </c>
      <c r="H101" s="54">
        <f>H81</f>
        <v>143.27774761989451</v>
      </c>
      <c r="I101" s="81">
        <f>$H101*(1+$G91)^(I$100-$H$100)</f>
        <v>133.14691587291546</v>
      </c>
      <c r="J101" s="81">
        <f>$H101*(1+$G91)^(J$100-$H$100)</f>
        <v>123.73241135462705</v>
      </c>
      <c r="K101" s="81">
        <f>$H101*(1+$G91)^(K$100-$H$100)</f>
        <v>114.98358425547968</v>
      </c>
      <c r="L101" s="67"/>
      <c r="M101" s="79">
        <f>(K101-G101)/H101</f>
        <v>-0.21769949455930973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G107" si="29">G82</f>
        <v>146.36445916822422</v>
      </c>
      <c r="H102" s="54">
        <f t="shared" ref="H102:H107" si="30">H82</f>
        <v>143.46337556823548</v>
      </c>
      <c r="I102" s="81">
        <f t="shared" ref="I102:K102" si="31">$H102*(1+$G92)^(I$100-$H$100)</f>
        <v>134.70944283347063</v>
      </c>
      <c r="J102" s="81">
        <f t="shared" si="31"/>
        <v>126.48966272143102</v>
      </c>
      <c r="K102" s="81">
        <f t="shared" si="31"/>
        <v>118.77144199282533</v>
      </c>
      <c r="L102" s="67"/>
      <c r="M102" s="79">
        <f t="shared" ref="M102:M107" si="32">(K102-G102)/H102</f>
        <v>-0.19233492217862125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9"/>
        <v>122.76883692018096</v>
      </c>
      <c r="H103" s="54">
        <f t="shared" si="30"/>
        <v>120.33544112585447</v>
      </c>
      <c r="I103" s="81">
        <f t="shared" ref="I103:K103" si="33">$H103*(1+$G93)^(I$100-$H$100)</f>
        <v>115.54050530459669</v>
      </c>
      <c r="J103" s="81">
        <f t="shared" si="33"/>
        <v>110.9366304817852</v>
      </c>
      <c r="K103" s="81">
        <f t="shared" si="33"/>
        <v>106.51620356175239</v>
      </c>
      <c r="L103" s="67"/>
      <c r="M103" s="79">
        <f t="shared" si="32"/>
        <v>-0.13506106934390616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9"/>
        <v>107.61525484242637</v>
      </c>
      <c r="H104" s="54">
        <f t="shared" si="30"/>
        <v>105.48221754152573</v>
      </c>
      <c r="I104" s="81">
        <f t="shared" ref="I104:K104" si="34">$H104*(1+$G94)^(I$100-$H$100)</f>
        <v>101.27912941833024</v>
      </c>
      <c r="J104" s="81">
        <f t="shared" si="34"/>
        <v>97.243519285103957</v>
      </c>
      <c r="K104" s="81">
        <f t="shared" si="34"/>
        <v>93.368713744501363</v>
      </c>
      <c r="L104" s="67"/>
      <c r="M104" s="79">
        <f t="shared" si="32"/>
        <v>-0.13506106934390619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9"/>
        <v>121.80209780605912</v>
      </c>
      <c r="H105" s="54">
        <f t="shared" si="30"/>
        <v>119.38786370580362</v>
      </c>
      <c r="I105" s="81">
        <f t="shared" ref="I105" si="35">$H105*(1+$G95)^(I$100-$H$100)</f>
        <v>114.63068544684259</v>
      </c>
      <c r="J105" s="81">
        <f>$H105*(1+$G95)^(J$100-$H$100)</f>
        <v>110.06306368286415</v>
      </c>
      <c r="K105" s="81">
        <f>$H105*(1+$G95)^(K$100-$H$100)</f>
        <v>105.67744526726877</v>
      </c>
      <c r="L105" s="67"/>
      <c r="M105" s="79">
        <f t="shared" si="32"/>
        <v>-0.13506106934390613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9"/>
        <v>74.476189319820151</v>
      </c>
      <c r="H106" s="54">
        <f t="shared" si="30"/>
        <v>73</v>
      </c>
      <c r="I106" s="81">
        <f t="shared" ref="I106:K106" si="36">$H106*(1+$G96)^(I$100-$H$100)</f>
        <v>66.308216709212786</v>
      </c>
      <c r="J106" s="81">
        <f t="shared" si="36"/>
        <v>60.229857577478427</v>
      </c>
      <c r="K106" s="81">
        <f t="shared" si="36"/>
        <v>54.708691076883021</v>
      </c>
      <c r="L106" s="67"/>
      <c r="M106" s="79">
        <f t="shared" si="32"/>
        <v>-0.27078764716352233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9"/>
        <v>56.036197154038852</v>
      </c>
      <c r="H107" s="54">
        <f t="shared" si="30"/>
        <v>54.925506119527036</v>
      </c>
      <c r="I107" s="81">
        <f t="shared" ref="I107:K107" si="37">$H107*(1+$G97)^(I$100-$H$100)</f>
        <v>49.890580310093036</v>
      </c>
      <c r="J107" s="81">
        <f t="shared" si="37"/>
        <v>45.317197410274424</v>
      </c>
      <c r="K107" s="81">
        <f t="shared" si="37"/>
        <v>41.163048582666477</v>
      </c>
      <c r="L107" s="67"/>
      <c r="M107" s="79">
        <f t="shared" si="32"/>
        <v>-0.27078764716352238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38">G$36*G45*$J$73*G81/1000</f>
        <v>1350.2494122188027</v>
      </c>
      <c r="H111" s="54">
        <f t="shared" si="38"/>
        <v>1323.486177155158</v>
      </c>
      <c r="I111" s="125">
        <f t="shared" si="38"/>
        <v>766.70866262584013</v>
      </c>
      <c r="J111" s="125">
        <f t="shared" si="38"/>
        <v>490.35652596024755</v>
      </c>
      <c r="K111" s="125">
        <f t="shared" si="38"/>
        <v>294.13353994374381</v>
      </c>
      <c r="L111" s="46"/>
      <c r="M111" s="79">
        <f>(K111-G111)/H111</f>
        <v>-0.79798028155094647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38"/>
        <v>6384.4386356321411</v>
      </c>
      <c r="H112" s="54">
        <f t="shared" si="38"/>
        <v>6257.8929542131382</v>
      </c>
      <c r="I112" s="125">
        <f t="shared" si="38"/>
        <v>4152.5698869838916</v>
      </c>
      <c r="J112" s="125">
        <f t="shared" si="38"/>
        <v>3191.4468470930515</v>
      </c>
      <c r="K112" s="125">
        <f t="shared" si="38"/>
        <v>2503.3742174042231</v>
      </c>
      <c r="L112" s="46"/>
      <c r="M112" s="79">
        <f t="shared" ref="M112:M118" si="39">(K112-G112)/H112</f>
        <v>-0.62018708958819502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38"/>
        <v>1008.0365589735889</v>
      </c>
      <c r="H113" s="54">
        <f t="shared" si="38"/>
        <v>988.05631003852329</v>
      </c>
      <c r="I113" s="125">
        <f t="shared" si="38"/>
        <v>878.09954630148968</v>
      </c>
      <c r="J113" s="125">
        <f t="shared" si="38"/>
        <v>726.77353035813621</v>
      </c>
      <c r="K113" s="125">
        <f t="shared" si="38"/>
        <v>555.82986333029851</v>
      </c>
      <c r="L113" s="46"/>
      <c r="M113" s="79">
        <f t="shared" si="39"/>
        <v>-0.45767300005974282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38"/>
        <v>143.58707396511457</v>
      </c>
      <c r="H114" s="54">
        <f t="shared" si="38"/>
        <v>140.74104079683161</v>
      </c>
      <c r="I114" s="125">
        <f t="shared" si="38"/>
        <v>92.365693597333618</v>
      </c>
      <c r="J114" s="125">
        <f t="shared" si="38"/>
        <v>70.077319870984709</v>
      </c>
      <c r="K114" s="125">
        <f t="shared" si="38"/>
        <v>54.135862968955905</v>
      </c>
      <c r="L114" s="46"/>
      <c r="M114" s="79">
        <f t="shared" si="39"/>
        <v>-0.63557303889266392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38"/>
        <v>150.01482130356655</v>
      </c>
      <c r="H115" s="54">
        <f t="shared" si="38"/>
        <v>147.04138403394353</v>
      </c>
      <c r="I115" s="125">
        <f t="shared" si="38"/>
        <v>127.77379716837866</v>
      </c>
      <c r="J115" s="125">
        <f t="shared" si="38"/>
        <v>124.98209991255588</v>
      </c>
      <c r="K115" s="125">
        <f t="shared" si="38"/>
        <v>122.54511102194797</v>
      </c>
      <c r="L115" s="46"/>
      <c r="M115" s="79">
        <f t="shared" si="39"/>
        <v>-0.18681618417898851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38"/>
        <v>2339.0366590755425</v>
      </c>
      <c r="H116" s="54">
        <f t="shared" si="38"/>
        <v>2292.6747148578056</v>
      </c>
      <c r="I116" s="125">
        <f t="shared" si="38"/>
        <v>1477.3218802704735</v>
      </c>
      <c r="J116" s="125">
        <f t="shared" si="38"/>
        <v>1096.341818778878</v>
      </c>
      <c r="K116" s="125">
        <f t="shared" si="38"/>
        <v>824.23557216092968</v>
      </c>
      <c r="L116" s="46"/>
      <c r="M116" s="79">
        <f t="shared" si="39"/>
        <v>-0.66071347893264598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38"/>
        <v>419.84566121520197</v>
      </c>
      <c r="H117" s="54">
        <f t="shared" si="38"/>
        <v>411.52391856538338</v>
      </c>
      <c r="I117" s="125">
        <f t="shared" si="38"/>
        <v>521.03586456746859</v>
      </c>
      <c r="J117" s="125">
        <f t="shared" si="38"/>
        <v>663.45215699914809</v>
      </c>
      <c r="K117" s="125">
        <f t="shared" si="38"/>
        <v>789.29238291058368</v>
      </c>
      <c r="L117" s="46"/>
      <c r="M117" s="79">
        <f t="shared" si="39"/>
        <v>0.89775273083351437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11795.208822383958</v>
      </c>
      <c r="H118" s="146">
        <f>SUM(H111:H117)</f>
        <v>11561.416499660781</v>
      </c>
      <c r="I118" s="144">
        <f t="shared" ref="I118:J118" si="40">SUM(I111:I117)</f>
        <v>8015.8753315148751</v>
      </c>
      <c r="J118" s="144">
        <f t="shared" si="40"/>
        <v>6363.4302989730022</v>
      </c>
      <c r="K118" s="144">
        <f>SUM(K111:K117)</f>
        <v>5143.5465497406822</v>
      </c>
      <c r="L118" s="21"/>
      <c r="M118" s="79">
        <f t="shared" si="39"/>
        <v>-0.57533281262191704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41">G$36*G45*(1-$J$73)*G101/1000</f>
        <v>2429.8441270275653</v>
      </c>
      <c r="H122" s="147">
        <f t="shared" si="41"/>
        <v>2381.6822919242318</v>
      </c>
      <c r="I122" s="143">
        <f>I$36*I59*(1-$J$73)*I101/1000</f>
        <v>1767.2890173421508</v>
      </c>
      <c r="J122" s="143">
        <f t="shared" ref="J122:K122" si="42">J$36*J59*(1-$J$73)*J101/1000</f>
        <v>1357.9888631450813</v>
      </c>
      <c r="K122" s="143">
        <f t="shared" si="42"/>
        <v>974.83665357533971</v>
      </c>
      <c r="L122" s="46"/>
      <c r="M122" s="79">
        <f>(K122-G122)/H122</f>
        <v>-0.61091585489208211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41"/>
        <v>11489.129773192441</v>
      </c>
      <c r="H123" s="147">
        <f t="shared" si="41"/>
        <v>11261.404230034166</v>
      </c>
      <c r="I123" s="143">
        <f t="shared" ref="I123:K128" si="43">I$36*I60*(1-$J$73)*I102/1000</f>
        <v>9911.8987259828464</v>
      </c>
      <c r="J123" s="143">
        <f t="shared" si="43"/>
        <v>8987.093843105582</v>
      </c>
      <c r="K123" s="143">
        <f t="shared" si="43"/>
        <v>8055.602427236784</v>
      </c>
      <c r="L123" s="46"/>
      <c r="M123" s="79">
        <f t="shared" ref="M123:M129" si="44">(K123-G123)/H123</f>
        <v>-0.30489335750851027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41"/>
        <v>1814.0142780185408</v>
      </c>
      <c r="H124" s="147">
        <f t="shared" si="41"/>
        <v>1778.058779654991</v>
      </c>
      <c r="I124" s="143">
        <f t="shared" si="43"/>
        <v>1600.2732130315555</v>
      </c>
      <c r="J124" s="143">
        <f t="shared" si="43"/>
        <v>1537.9610723677267</v>
      </c>
      <c r="K124" s="143">
        <f t="shared" si="43"/>
        <v>1444.8796336141688</v>
      </c>
      <c r="L124" s="46"/>
      <c r="M124" s="79">
        <f t="shared" si="44"/>
        <v>-0.20760542262612811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41"/>
        <v>258.3924164187448</v>
      </c>
      <c r="H125" s="147">
        <f t="shared" si="41"/>
        <v>253.27083153472384</v>
      </c>
      <c r="I125" s="143">
        <f t="shared" si="43"/>
        <v>210.41228453178067</v>
      </c>
      <c r="J125" s="143">
        <f t="shared" si="43"/>
        <v>185.36756210068353</v>
      </c>
      <c r="K125" s="143">
        <f t="shared" si="43"/>
        <v>158.31693723008269</v>
      </c>
      <c r="L125" s="46"/>
      <c r="M125" s="79">
        <f t="shared" si="44"/>
        <v>-0.39513227236726473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41"/>
        <v>269.95948245781801</v>
      </c>
      <c r="H126" s="147">
        <f t="shared" si="41"/>
        <v>264.60862725929144</v>
      </c>
      <c r="I126" s="143">
        <f t="shared" si="43"/>
        <v>291.0731844087515</v>
      </c>
      <c r="J126" s="143">
        <f t="shared" si="43"/>
        <v>330.60093065298611</v>
      </c>
      <c r="K126" s="143">
        <f t="shared" si="43"/>
        <v>358.37549427522191</v>
      </c>
      <c r="L126" s="46"/>
      <c r="M126" s="79">
        <f t="shared" si="44"/>
        <v>0.33413880995937661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41"/>
        <v>4209.2182655480365</v>
      </c>
      <c r="H127" s="147">
        <f t="shared" si="41"/>
        <v>4125.7875327844267</v>
      </c>
      <c r="I127" s="143">
        <f t="shared" si="43"/>
        <v>3183.7525501803389</v>
      </c>
      <c r="J127" s="143">
        <f t="shared" si="43"/>
        <v>2595.4328331337697</v>
      </c>
      <c r="K127" s="143">
        <f t="shared" si="43"/>
        <v>2040.8214422544393</v>
      </c>
      <c r="L127" s="46"/>
      <c r="M127" s="79">
        <f t="shared" si="44"/>
        <v>-0.52557161658544771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41"/>
        <v>755.53412942086175</v>
      </c>
      <c r="H128" s="147">
        <f t="shared" si="41"/>
        <v>740.55872019548826</v>
      </c>
      <c r="I128" s="143">
        <f t="shared" si="43"/>
        <v>950.12583408088619</v>
      </c>
      <c r="J128" s="143">
        <f t="shared" si="43"/>
        <v>1413.5654900642619</v>
      </c>
      <c r="K128" s="143">
        <f t="shared" si="43"/>
        <v>1535.5226111699765</v>
      </c>
      <c r="L128" s="46"/>
      <c r="M128" s="79">
        <f t="shared" si="44"/>
        <v>1.0532432614434923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21226.092472084008</v>
      </c>
      <c r="H129" s="148">
        <f>SUM(H122:H128)</f>
        <v>20805.371013387321</v>
      </c>
      <c r="I129" s="145">
        <f t="shared" ref="I129" si="45">SUM(I122:I128)</f>
        <v>17914.824809558311</v>
      </c>
      <c r="J129" s="145">
        <f t="shared" ref="J129" si="46">SUM(J122:J128)</f>
        <v>16408.010594570093</v>
      </c>
      <c r="K129" s="145">
        <f t="shared" ref="K129" si="47">SUM(K122:K128)</f>
        <v>14568.355199356014</v>
      </c>
      <c r="L129" s="21"/>
      <c r="M129" s="79">
        <f t="shared" si="44"/>
        <v>-0.32000089152190747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3705.16846907939</v>
      </c>
      <c r="I133" s="143">
        <f t="shared" ref="I133:K133" si="48">I111+I122</f>
        <v>2533.9976799679907</v>
      </c>
      <c r="J133" s="143">
        <f t="shared" si="48"/>
        <v>1848.3453891053289</v>
      </c>
      <c r="K133" s="143">
        <f t="shared" si="48"/>
        <v>1268.9701935190835</v>
      </c>
      <c r="L133" s="46"/>
      <c r="M133" s="79">
        <f>(K133-G133)/H133</f>
        <v>0.34248650340975723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4" si="49">H112+H123</f>
        <v>17519.297184247305</v>
      </c>
      <c r="I134" s="143">
        <f t="shared" si="49"/>
        <v>14064.468612966739</v>
      </c>
      <c r="J134" s="143">
        <f t="shared" si="49"/>
        <v>12178.540690198633</v>
      </c>
      <c r="K134" s="143">
        <f t="shared" si="49"/>
        <v>10558.976644641007</v>
      </c>
      <c r="L134" s="46"/>
      <c r="M134" s="79">
        <f t="shared" ref="M134:M140" si="50">(K134-G134)/H134</f>
        <v>0.60270549289701203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ref="H135:J135" si="51">H113+H124</f>
        <v>2766.1150896935142</v>
      </c>
      <c r="I135" s="143">
        <f>I113+I124</f>
        <v>2478.372759333045</v>
      </c>
      <c r="J135" s="143">
        <f t="shared" si="51"/>
        <v>2264.7346027258627</v>
      </c>
      <c r="K135" s="143">
        <f>K113+K124</f>
        <v>2000.7094969444674</v>
      </c>
      <c r="L135" s="46"/>
      <c r="M135" s="79">
        <f t="shared" si="50"/>
        <v>0.72329221021897039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ref="H136:K136" si="52">H114+H125</f>
        <v>394.01187233155542</v>
      </c>
      <c r="I136" s="143">
        <f t="shared" si="52"/>
        <v>302.77797812911427</v>
      </c>
      <c r="J136" s="143">
        <f t="shared" si="52"/>
        <v>255.44488197166822</v>
      </c>
      <c r="K136" s="143">
        <f t="shared" si="52"/>
        <v>212.45280019903859</v>
      </c>
      <c r="L136" s="46"/>
      <c r="M136" s="79">
        <f t="shared" si="50"/>
        <v>0.53920405733424848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ref="H137:K137" si="53">H115+H126</f>
        <v>411.65001129323497</v>
      </c>
      <c r="I137" s="143">
        <f t="shared" si="53"/>
        <v>418.84698157713018</v>
      </c>
      <c r="J137" s="143">
        <f t="shared" si="53"/>
        <v>455.583030565542</v>
      </c>
      <c r="K137" s="143">
        <f t="shared" si="53"/>
        <v>480.92060529716991</v>
      </c>
      <c r="L137" s="46"/>
      <c r="M137" s="79">
        <f t="shared" si="50"/>
        <v>1.1682754575575383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ref="H138:K138" si="54">H116+H127</f>
        <v>6418.4622476422319</v>
      </c>
      <c r="I138" s="143">
        <f t="shared" si="54"/>
        <v>4661.0744304508125</v>
      </c>
      <c r="J138" s="143">
        <f t="shared" si="54"/>
        <v>3691.7746519126476</v>
      </c>
      <c r="K138" s="143">
        <f t="shared" si="54"/>
        <v>2865.0570144153689</v>
      </c>
      <c r="L138" s="46"/>
      <c r="M138" s="79">
        <f t="shared" si="50"/>
        <v>0.44637748168851871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ref="H139:K139" si="55">H117+H128</f>
        <v>1152.0826387608718</v>
      </c>
      <c r="I139" s="143">
        <f t="shared" si="55"/>
        <v>1471.1616986483548</v>
      </c>
      <c r="J139" s="143">
        <f t="shared" si="55"/>
        <v>2077.0176470634101</v>
      </c>
      <c r="K139" s="143">
        <f t="shared" si="55"/>
        <v>2324.8149940805602</v>
      </c>
      <c r="L139" s="46"/>
      <c r="M139" s="79">
        <f t="shared" si="50"/>
        <v>2.0179238154139938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32366.787513048101</v>
      </c>
      <c r="I140" s="145">
        <f t="shared" ref="I140:K140" si="56">SUM(I133:I139)</f>
        <v>25930.700141073183</v>
      </c>
      <c r="J140" s="145">
        <f t="shared" si="56"/>
        <v>22771.440893543095</v>
      </c>
      <c r="K140" s="145">
        <f t="shared" si="56"/>
        <v>19711.901749096694</v>
      </c>
      <c r="L140" s="21"/>
      <c r="M140" s="79">
        <f t="shared" si="50"/>
        <v>0.60901631776555487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énergie'!C3</f>
        <v>2.5832473286687414E-3</v>
      </c>
      <c r="I146" s="311">
        <f>H146</f>
        <v>2.5832473286687414E-3</v>
      </c>
      <c r="J146" s="311">
        <f>I146</f>
        <v>2.5832473286687414E-3</v>
      </c>
      <c r="K146" s="311">
        <f>J146</f>
        <v>2.5832473286687414E-3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énergie'!C4</f>
        <v>0.18262447255667691</v>
      </c>
      <c r="I147" s="311">
        <v>0</v>
      </c>
      <c r="J147" s="311">
        <v>0</v>
      </c>
      <c r="K147" s="311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</f>
        <v>0.13911656645249823</v>
      </c>
      <c r="I148" s="311">
        <v>0.14000000000000001</v>
      </c>
      <c r="J148" s="311">
        <v>0.14000000000000001</v>
      </c>
      <c r="K148" s="311">
        <v>0.14000000000000001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</f>
        <v>2.2541262662018457E-2</v>
      </c>
      <c r="I149" s="311">
        <v>0</v>
      </c>
      <c r="J149" s="311">
        <f t="shared" ref="J149:K149" si="57">I149</f>
        <v>0</v>
      </c>
      <c r="K149" s="311">
        <f t="shared" si="57"/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énergie'!C7</f>
        <v>2.2378153328661055E-2</v>
      </c>
      <c r="I150" s="311">
        <f t="shared" ref="I150:K150" si="58">H150</f>
        <v>2.2378153328661055E-2</v>
      </c>
      <c r="J150" s="311">
        <f t="shared" si="58"/>
        <v>2.2378153328661055E-2</v>
      </c>
      <c r="K150" s="311">
        <f t="shared" si="58"/>
        <v>2.2378153328661055E-2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énergie'!C8</f>
        <v>0.17192765066376023</v>
      </c>
      <c r="I151" s="311">
        <v>0.17</v>
      </c>
      <c r="J151" s="311">
        <v>0.17</v>
      </c>
      <c r="K151" s="311">
        <v>0.17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énergie'!C9</f>
        <v>0.45882864700771653</v>
      </c>
      <c r="I152" s="311">
        <v>0.67</v>
      </c>
      <c r="J152" s="311">
        <v>0.67</v>
      </c>
      <c r="K152" s="311">
        <v>0.67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59">SUM(I146:I152)</f>
        <v>1.0049614006573298</v>
      </c>
      <c r="J153" s="15">
        <f t="shared" si="59"/>
        <v>1.0049614006573298</v>
      </c>
      <c r="K153" s="15">
        <f t="shared" si="59"/>
        <v>1.0049614006573298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313">
        <f>J157</f>
        <v>78.041026430267834</v>
      </c>
      <c r="J157" s="313">
        <f>K157</f>
        <v>78.041026430267834</v>
      </c>
      <c r="K157" s="313">
        <f t="shared" ref="K157:K163" si="60">K81</f>
        <v>78.041026430267834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313">
        <f t="shared" ref="I158:I163" si="61">J158</f>
        <v>78.142134912661803</v>
      </c>
      <c r="J158" s="313">
        <f>K158</f>
        <v>78.142134912661803</v>
      </c>
      <c r="K158" s="313">
        <f t="shared" si="60"/>
        <v>78.142134912661803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313">
        <f t="shared" si="61"/>
        <v>65.54473040932119</v>
      </c>
      <c r="J159" s="313">
        <f t="shared" ref="J159:J163" si="62">K159</f>
        <v>65.54473040932119</v>
      </c>
      <c r="K159" s="313">
        <f t="shared" si="60"/>
        <v>65.54473040932119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313">
        <f t="shared" si="61"/>
        <v>57.454424457594158</v>
      </c>
      <c r="J160" s="313">
        <f t="shared" si="62"/>
        <v>57.454424457594158</v>
      </c>
      <c r="K160" s="313">
        <f t="shared" si="60"/>
        <v>57.454424457594158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313">
        <f t="shared" si="61"/>
        <v>65.028600614490131</v>
      </c>
      <c r="J161" s="313">
        <f t="shared" si="62"/>
        <v>65.028600614490131</v>
      </c>
      <c r="K161" s="313">
        <f t="shared" si="60"/>
        <v>65.028600614490131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313">
        <f t="shared" si="61"/>
        <v>39.761896205426581</v>
      </c>
      <c r="J162" s="313">
        <f t="shared" si="62"/>
        <v>39.761896205426581</v>
      </c>
      <c r="K162" s="313">
        <f t="shared" si="60"/>
        <v>39.761896205426581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313">
        <f t="shared" si="61"/>
        <v>29.917017443221326</v>
      </c>
      <c r="J163" s="313">
        <f t="shared" si="62"/>
        <v>29.917017443221326</v>
      </c>
      <c r="K163" s="313">
        <f t="shared" si="60"/>
        <v>29.917017443221326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63">I$35*I146*I157/1000</f>
        <v>1.2512077259370982</v>
      </c>
      <c r="J167" s="10">
        <f t="shared" si="63"/>
        <v>1.2926231828457555</v>
      </c>
      <c r="K167" s="10">
        <f t="shared" si="63"/>
        <v>1.2018642543517426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68" si="64">H$35*H147*H158/1000</f>
        <v>0</v>
      </c>
      <c r="I168" s="10">
        <f t="shared" si="64"/>
        <v>0</v>
      </c>
      <c r="J168" s="10">
        <f t="shared" si="64"/>
        <v>0</v>
      </c>
      <c r="K168" s="10">
        <f t="shared" si="64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ref="H169:K169" si="65">H$35*H148*H159/1000</f>
        <v>0</v>
      </c>
      <c r="I169" s="10">
        <f t="shared" si="65"/>
        <v>56.951645002072091</v>
      </c>
      <c r="J169" s="10">
        <f t="shared" si="65"/>
        <v>58.836766353679742</v>
      </c>
      <c r="K169" s="10">
        <f t="shared" si="65"/>
        <v>54.705661526551047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ref="H170:K170" si="66">H$35*H149*H160/1000</f>
        <v>0</v>
      </c>
      <c r="I170" s="10">
        <f t="shared" si="66"/>
        <v>0</v>
      </c>
      <c r="J170" s="10">
        <f t="shared" si="66"/>
        <v>0</v>
      </c>
      <c r="K170" s="10">
        <f t="shared" si="66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ref="H171:K171" si="67">H$35*H150*H161/1000</f>
        <v>0</v>
      </c>
      <c r="I171" s="10">
        <f t="shared" si="67"/>
        <v>9.0316917987198799</v>
      </c>
      <c r="J171" s="10">
        <f t="shared" si="67"/>
        <v>9.3306442705982082</v>
      </c>
      <c r="K171" s="10">
        <f t="shared" si="67"/>
        <v>8.6755119107607914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ref="H172:K172" si="68">H$35*H151*H162/1000</f>
        <v>0</v>
      </c>
      <c r="I172" s="10">
        <f t="shared" si="68"/>
        <v>41.952366524251964</v>
      </c>
      <c r="J172" s="10">
        <f t="shared" si="68"/>
        <v>43.341005989933073</v>
      </c>
      <c r="K172" s="10">
        <f t="shared" si="68"/>
        <v>40.297904708986678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ref="H173:K173" si="69">H$35*H152*H163/1000</f>
        <v>0</v>
      </c>
      <c r="I173" s="10">
        <f t="shared" si="69"/>
        <v>124.40377325155654</v>
      </c>
      <c r="J173" s="10">
        <f t="shared" si="69"/>
        <v>128.52158598845875</v>
      </c>
      <c r="K173" s="10">
        <f t="shared" si="69"/>
        <v>119.49770216255995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70">SUM(I167:I173)</f>
        <v>233.59068430253757</v>
      </c>
      <c r="J174" s="11">
        <f t="shared" si="70"/>
        <v>241.32262578551553</v>
      </c>
      <c r="K174" s="11">
        <f t="shared" si="70"/>
        <v>224.3786445632102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D176" s="328"/>
      <c r="E176" s="328"/>
      <c r="F176" s="328"/>
      <c r="G176" s="328"/>
      <c r="H176" s="328"/>
      <c r="I176" s="328"/>
      <c r="J176" s="328"/>
      <c r="K176" s="328"/>
      <c r="L176" s="328"/>
      <c r="M176" s="329"/>
      <c r="N176" s="328"/>
      <c r="O176" s="42"/>
    </row>
    <row r="177" spans="1:15" s="17" customFormat="1">
      <c r="A177" s="56"/>
      <c r="C177" s="40"/>
      <c r="D177" s="328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  <c r="N177" s="328"/>
      <c r="O177" s="42"/>
    </row>
    <row r="178" spans="1:15" s="17" customFormat="1">
      <c r="A178" s="56"/>
      <c r="C178" s="40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  <c r="O178" s="42"/>
    </row>
    <row r="179" spans="1:15" s="17" customFormat="1">
      <c r="A179" s="56"/>
      <c r="E179" s="6" t="s">
        <v>15</v>
      </c>
      <c r="F179" s="82"/>
      <c r="G179" s="82"/>
      <c r="H179" s="10">
        <f>H$36*($J$73*H45+(1-$J$73)*H59)+H$35*H146</f>
        <v>25860.041287841384</v>
      </c>
      <c r="I179" s="10">
        <f t="shared" ref="I179:K179" si="71">I$36*($J$73*I45+(1-$J$73)*I59)+I$35*I146</f>
        <v>20344.418467802891</v>
      </c>
      <c r="J179" s="10">
        <f t="shared" si="71"/>
        <v>16448.641003262859</v>
      </c>
      <c r="K179" s="10">
        <f t="shared" si="71"/>
        <v>12262.411508572153</v>
      </c>
      <c r="M179" s="65"/>
    </row>
    <row r="180" spans="1:15" s="17" customFormat="1">
      <c r="A180" s="56"/>
      <c r="E180" s="6" t="s">
        <v>16</v>
      </c>
      <c r="F180" s="82"/>
      <c r="G180" s="82"/>
      <c r="H180" s="10">
        <f t="shared" ref="H180:K185" si="72">H$36*($J$73*H46+(1-$J$73)*H60)+H$35*H147</f>
        <v>122116.86163702876</v>
      </c>
      <c r="I180" s="10">
        <f t="shared" si="72"/>
        <v>111741.84030000688</v>
      </c>
      <c r="J180" s="10">
        <f t="shared" si="72"/>
        <v>106519.68330618646</v>
      </c>
      <c r="K180" s="10">
        <f t="shared" si="72"/>
        <v>99860.568953625305</v>
      </c>
      <c r="M180" s="65"/>
    </row>
    <row r="181" spans="1:15" s="17" customFormat="1">
      <c r="A181" s="56"/>
      <c r="E181" s="6" t="s">
        <v>68</v>
      </c>
      <c r="F181" s="82"/>
      <c r="G181" s="82"/>
      <c r="H181" s="10">
        <f t="shared" si="72"/>
        <v>22986.703366970123</v>
      </c>
      <c r="I181" s="10">
        <f t="shared" si="72"/>
        <v>24339.892803859588</v>
      </c>
      <c r="J181" s="10">
        <f t="shared" si="72"/>
        <v>24390.849135732558</v>
      </c>
      <c r="K181" s="10">
        <f t="shared" si="72"/>
        <v>22879.672987075886</v>
      </c>
      <c r="M181" s="65"/>
    </row>
    <row r="182" spans="1:15" s="17" customFormat="1">
      <c r="A182" s="56"/>
      <c r="E182" s="6" t="s">
        <v>22</v>
      </c>
      <c r="F182" s="82"/>
      <c r="G182" s="82"/>
      <c r="H182" s="10">
        <f t="shared" si="72"/>
        <v>3735.3392971326452</v>
      </c>
      <c r="I182" s="10">
        <f t="shared" si="72"/>
        <v>3232.0291127221312</v>
      </c>
      <c r="J182" s="10">
        <f t="shared" si="72"/>
        <v>2965.4950429022256</v>
      </c>
      <c r="K182" s="10">
        <f t="shared" si="72"/>
        <v>2637.8502396828389</v>
      </c>
      <c r="M182" s="65"/>
    </row>
    <row r="183" spans="1:15" s="17" customFormat="1">
      <c r="A183" s="56"/>
      <c r="E183" s="6" t="s">
        <v>42</v>
      </c>
      <c r="F183" s="82"/>
      <c r="G183" s="82"/>
      <c r="H183" s="10">
        <f t="shared" si="72"/>
        <v>3448.0055050455185</v>
      </c>
      <c r="I183" s="10">
        <f t="shared" si="72"/>
        <v>4089.1457970041174</v>
      </c>
      <c r="J183" s="10">
        <f t="shared" si="72"/>
        <v>4816.3865182571171</v>
      </c>
      <c r="K183" s="10">
        <f t="shared" si="72"/>
        <v>5409.1111914028616</v>
      </c>
      <c r="M183" s="65"/>
    </row>
    <row r="184" spans="1:15" s="17" customFormat="1">
      <c r="A184" s="56"/>
      <c r="E184" s="6" t="s">
        <v>25</v>
      </c>
      <c r="F184" s="82"/>
      <c r="G184" s="82"/>
      <c r="H184" s="10">
        <f t="shared" si="72"/>
        <v>87924.140378660712</v>
      </c>
      <c r="I184" s="10">
        <f t="shared" si="72"/>
        <v>75750.87362301095</v>
      </c>
      <c r="J184" s="10">
        <f t="shared" si="72"/>
        <v>68128.174225680836</v>
      </c>
      <c r="K184" s="10">
        <f t="shared" si="72"/>
        <v>59046.185729306279</v>
      </c>
      <c r="M184" s="65"/>
    </row>
    <row r="185" spans="1:15" s="17" customFormat="1">
      <c r="A185" s="56"/>
      <c r="E185" s="6" t="s">
        <v>26</v>
      </c>
      <c r="F185" s="82"/>
      <c r="G185" s="82"/>
      <c r="H185" s="10">
        <f t="shared" si="72"/>
        <v>20975.366822360236</v>
      </c>
      <c r="I185" s="10">
        <f t="shared" si="72"/>
        <v>35709.362837478344</v>
      </c>
      <c r="J185" s="10">
        <f t="shared" si="72"/>
        <v>54748.172546158567</v>
      </c>
      <c r="K185" s="10">
        <f t="shared" si="72"/>
        <v>67680.451234417647</v>
      </c>
      <c r="M185" s="65"/>
    </row>
    <row r="186" spans="1:15" s="17" customFormat="1">
      <c r="A186" s="56"/>
      <c r="E186" s="7" t="s">
        <v>17</v>
      </c>
      <c r="F186" s="82"/>
      <c r="G186" s="82"/>
      <c r="H186" s="10">
        <f>H$36*($J$73*H52+(1-$J$73)*H66)+H$35*H153</f>
        <v>287231.15645659296</v>
      </c>
      <c r="I186" s="10">
        <f t="shared" ref="I186:K186" si="73">I$36*($J$73*I52+(1-$J$73)*I66)+I$35*I153</f>
        <v>275207.56294188491</v>
      </c>
      <c r="J186" s="10">
        <f t="shared" si="73"/>
        <v>278017.40177818068</v>
      </c>
      <c r="K186" s="10">
        <f t="shared" si="73"/>
        <v>269776.2518440829</v>
      </c>
      <c r="M186" s="65"/>
    </row>
    <row r="187" spans="1:15" s="17" customFormat="1">
      <c r="A187" s="56"/>
      <c r="M187" s="65"/>
    </row>
    <row r="188" spans="1:15" s="17" customFormat="1">
      <c r="A188" s="56"/>
      <c r="M188" s="65"/>
    </row>
    <row r="189" spans="1:15" s="17" customFormat="1">
      <c r="A189" s="56"/>
    </row>
    <row r="190" spans="1:15" s="17" customFormat="1">
      <c r="A190" s="56"/>
      <c r="M190" s="65"/>
    </row>
    <row r="191" spans="1:15" s="17" customFormat="1">
      <c r="A191" s="56"/>
      <c r="M191" s="65"/>
    </row>
    <row r="192" spans="1:15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  <row r="1594" spans="1:13" s="17" customFormat="1">
      <c r="A1594" s="56"/>
      <c r="M1594" s="65"/>
    </row>
    <row r="1595" spans="1:13" s="17" customFormat="1">
      <c r="A1595" s="56"/>
      <c r="M1595" s="65"/>
    </row>
  </sheetData>
  <mergeCells count="31">
    <mergeCell ref="E177:M177"/>
    <mergeCell ref="F68:K68"/>
    <mergeCell ref="F165:K165"/>
    <mergeCell ref="M45:M51"/>
    <mergeCell ref="M146:M153"/>
    <mergeCell ref="M157:M163"/>
    <mergeCell ref="F155:K155"/>
    <mergeCell ref="E142:M142"/>
    <mergeCell ref="F144:K144"/>
    <mergeCell ref="F89:G89"/>
    <mergeCell ref="F99:K99"/>
    <mergeCell ref="F109:K109"/>
    <mergeCell ref="M91:M97"/>
    <mergeCell ref="F79:K79"/>
    <mergeCell ref="M81:M87"/>
    <mergeCell ref="F120:K120"/>
    <mergeCell ref="F131:K131"/>
    <mergeCell ref="F57:K57"/>
    <mergeCell ref="M59:M65"/>
    <mergeCell ref="F54:K54"/>
    <mergeCell ref="C1:O1"/>
    <mergeCell ref="C3:O3"/>
    <mergeCell ref="F5:K5"/>
    <mergeCell ref="F11:K11"/>
    <mergeCell ref="C27:O27"/>
    <mergeCell ref="D29:N29"/>
    <mergeCell ref="E41:M41"/>
    <mergeCell ref="F43:K43"/>
    <mergeCell ref="D39:N39"/>
    <mergeCell ref="F32:K32"/>
    <mergeCell ref="F22:K22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  <pageSetUpPr fitToPage="1"/>
  </sheetPr>
  <dimension ref="A1:GB1593"/>
  <sheetViews>
    <sheetView showGridLines="0" zoomScale="115" zoomScaleNormal="115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67243.869415029592</v>
      </c>
      <c r="I7" s="10">
        <f t="shared" si="0"/>
        <v>69861.541094581538</v>
      </c>
      <c r="J7" s="10">
        <f t="shared" si="0"/>
        <v>70897.601389922653</v>
      </c>
      <c r="K7" s="10">
        <f t="shared" si="0"/>
        <v>70213.18201763797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4554.2951187047984</v>
      </c>
      <c r="J8" s="76">
        <f t="shared" si="0"/>
        <v>3048.0726788650627</v>
      </c>
      <c r="K8" s="76">
        <f t="shared" si="0"/>
        <v>2041.8509200297726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67243.869415029592</v>
      </c>
      <c r="I9" s="96">
        <f t="shared" si="1"/>
        <v>65307.245975876736</v>
      </c>
      <c r="J9" s="96">
        <f t="shared" si="1"/>
        <v>67849.528711057588</v>
      </c>
      <c r="K9" s="96">
        <f t="shared" si="1"/>
        <v>68171.331097608199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1146.8355656667195</v>
      </c>
      <c r="I13" s="86">
        <f t="shared" ref="I13:K13" si="2">I133+I167</f>
        <v>835.17618964683982</v>
      </c>
      <c r="J13" s="86">
        <f t="shared" si="2"/>
        <v>675.50310556953502</v>
      </c>
      <c r="K13" s="86">
        <f t="shared" si="2"/>
        <v>510.20016314096335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3676.1473473989763</v>
      </c>
      <c r="I14" s="86">
        <f t="shared" si="3"/>
        <v>3015.526438822641</v>
      </c>
      <c r="J14" s="86">
        <f t="shared" si="3"/>
        <v>2811.9835045819577</v>
      </c>
      <c r="K14" s="86">
        <f t="shared" si="3"/>
        <v>2529.5396658581626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623.71893019819117</v>
      </c>
      <c r="I15" s="86">
        <f t="shared" si="3"/>
        <v>712.05599625033801</v>
      </c>
      <c r="J15" s="86">
        <f t="shared" si="3"/>
        <v>753.2093097672365</v>
      </c>
      <c r="K15" s="86">
        <f t="shared" si="3"/>
        <v>632.38683333557231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125.59756428433398</v>
      </c>
      <c r="I16" s="86">
        <f t="shared" si="3"/>
        <v>98.05625594622849</v>
      </c>
      <c r="J16" s="86">
        <f t="shared" si="3"/>
        <v>86.136962440908079</v>
      </c>
      <c r="K16" s="86">
        <f t="shared" si="3"/>
        <v>72.036390049353869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213.99844443112971</v>
      </c>
      <c r="I17" s="86">
        <f t="shared" si="3"/>
        <v>288.4087099110024</v>
      </c>
      <c r="J17" s="86">
        <f t="shared" si="3"/>
        <v>378.06855077986063</v>
      </c>
      <c r="K17" s="86">
        <f t="shared" si="3"/>
        <v>452.31176105738109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1168.4294749555543</v>
      </c>
      <c r="I18" s="86">
        <f t="shared" si="3"/>
        <v>836.42399986477778</v>
      </c>
      <c r="J18" s="86">
        <f t="shared" si="3"/>
        <v>682.92741153911754</v>
      </c>
      <c r="K18" s="86">
        <f t="shared" si="3"/>
        <v>544.06695270796627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330.973842841916</v>
      </c>
      <c r="I19" s="86">
        <f t="shared" si="3"/>
        <v>472.41984610914938</v>
      </c>
      <c r="J19" s="86">
        <f t="shared" si="3"/>
        <v>531.33972995010924</v>
      </c>
      <c r="K19" s="86">
        <f t="shared" si="3"/>
        <v>567.53440965474181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7285.7011697768203</v>
      </c>
      <c r="I20" s="13">
        <f t="shared" ref="I20:K20" si="4">SUM(I13:I19)</f>
        <v>6258.0674365509767</v>
      </c>
      <c r="J20" s="13">
        <f t="shared" si="4"/>
        <v>5919.1685746287249</v>
      </c>
      <c r="K20" s="13">
        <f t="shared" si="4"/>
        <v>5308.0761758041408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-0.34444000000000008</v>
      </c>
      <c r="J23" s="177">
        <f t="shared" ref="J23:K23" si="5">J118/$G118-1</f>
        <v>-0.41982102832205159</v>
      </c>
      <c r="K23" s="177">
        <f t="shared" si="5"/>
        <v>-0.51844855816511992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-0.11265685957717353</v>
      </c>
      <c r="J24" s="177">
        <f t="shared" ref="J24:K24" si="6">J129/$G129-1</f>
        <v>-0.13867982860471872</v>
      </c>
      <c r="K24" s="177">
        <f t="shared" si="6"/>
        <v>-0.20913738211667943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67243.869415029592</v>
      </c>
      <c r="H34" s="125">
        <f>'Init. parc'!C5</f>
        <v>67243.869415029592</v>
      </c>
      <c r="I34" s="125">
        <f>'Init. parc'!D5</f>
        <v>69861.541094581538</v>
      </c>
      <c r="J34" s="125">
        <f>'Init. parc'!E5</f>
        <v>70897.601389922653</v>
      </c>
      <c r="K34" s="125">
        <f>'Init. parc'!F5</f>
        <v>70213.18201763797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parc'!N5</f>
        <v>4554.2951187047984</v>
      </c>
      <c r="J35" s="125">
        <f>'Init. parc'!O5</f>
        <v>3048.0726788650627</v>
      </c>
      <c r="K35" s="125">
        <f>'Init. parc'!P5</f>
        <v>2041.8509200297726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67243.869415029592</v>
      </c>
      <c r="H36" s="125">
        <f>H34-H35</f>
        <v>67243.869415029592</v>
      </c>
      <c r="I36" s="125">
        <f>I34-I35</f>
        <v>65307.245975876736</v>
      </c>
      <c r="J36" s="125">
        <f>J34-J35</f>
        <v>67849.528711057588</v>
      </c>
      <c r="K36" s="125">
        <f>K34-K35</f>
        <v>68171.331097608199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0.08</v>
      </c>
      <c r="H45" s="55">
        <f>'Init. énergie'!B12</f>
        <v>0.08</v>
      </c>
      <c r="I45" s="47">
        <f>H45+((K45-H45)/3)</f>
        <v>6.6666666666666666E-2</v>
      </c>
      <c r="J45" s="47">
        <f>H45+((K45-H45)/3*2)</f>
        <v>5.333333333333333E-2</v>
      </c>
      <c r="K45" s="47">
        <v>0.04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0.34499999999999997</v>
      </c>
      <c r="H46" s="55">
        <f>'Init. énergie'!B13</f>
        <v>0.34499999999999997</v>
      </c>
      <c r="I46" s="47">
        <f t="shared" ref="I46:I49" si="8">H46+((K46-H46)/3)</f>
        <v>0.32333333333333331</v>
      </c>
      <c r="J46" s="47">
        <f t="shared" ref="J46:J49" si="9">H46+((K46-H46)/3*2)</f>
        <v>0.30166666666666669</v>
      </c>
      <c r="K46" s="47">
        <v>0.28000000000000003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6.6000000000000003E-2</v>
      </c>
      <c r="H47" s="55">
        <f>'Init. énergie'!B14</f>
        <v>6.6000000000000003E-2</v>
      </c>
      <c r="I47" s="47">
        <v>0.1</v>
      </c>
      <c r="J47" s="47">
        <v>0.1</v>
      </c>
      <c r="K47" s="47">
        <v>0.09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1.4E-2</v>
      </c>
      <c r="H48" s="55">
        <f>'Init. énergie'!B15</f>
        <v>1.4E-2</v>
      </c>
      <c r="I48" s="47">
        <f t="shared" si="8"/>
        <v>1.2666666666666666E-2</v>
      </c>
      <c r="J48" s="47">
        <f t="shared" si="9"/>
        <v>1.1333333333333334E-2</v>
      </c>
      <c r="K48" s="47">
        <v>0.01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2.7E-2</v>
      </c>
      <c r="H49" s="55">
        <f>'Init. énergie'!B16</f>
        <v>2.7E-2</v>
      </c>
      <c r="I49" s="47">
        <f t="shared" si="8"/>
        <v>2.8000000000000001E-2</v>
      </c>
      <c r="J49" s="47">
        <f t="shared" si="9"/>
        <v>2.8999999999999998E-2</v>
      </c>
      <c r="K49" s="47">
        <v>0.03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0.36199999999999999</v>
      </c>
      <c r="H50" s="55">
        <f>'Init. énergie'!B17</f>
        <v>0.36199999999999999</v>
      </c>
      <c r="I50" s="47">
        <v>0.31</v>
      </c>
      <c r="J50" s="47">
        <v>0.27</v>
      </c>
      <c r="K50" s="47">
        <f>1-K45-K46-K47-K48-K49-K51</f>
        <v>0.22999999999999993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0.107</v>
      </c>
      <c r="H51" s="55">
        <f>'Init. énergie'!B18</f>
        <v>0.107</v>
      </c>
      <c r="I51" s="47">
        <v>0.16</v>
      </c>
      <c r="J51" s="47">
        <v>0.24</v>
      </c>
      <c r="K51" s="123">
        <v>0.32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1.0010000000000001</v>
      </c>
      <c r="H52" s="149">
        <f t="shared" si="10"/>
        <v>1.0010000000000001</v>
      </c>
      <c r="I52" s="155">
        <f t="shared" si="10"/>
        <v>1.0006666666666666</v>
      </c>
      <c r="J52" s="155">
        <f t="shared" si="10"/>
        <v>1.0053333333333334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-1.4910693073135771E-2</v>
      </c>
      <c r="J55" s="142">
        <f>(I$81*(J45-I45)+I$82*(J46-I46)+I$83*(J47-I47)+I$84*(J48-I48)+I$85*(J49-I49)+I$86*(J50-I50)+I$87*(J51-I51))/(I$81*I45+I$82*I46+I$83*I47+I$84*I48+I$85*I49+I$86*I50+I$87*I51)</f>
        <v>-4.2872025906026109E-2</v>
      </c>
      <c r="K55" s="142">
        <f>(J$81*(K45-J45)+J$82*(K46-J46)+J$83*(K47-J47)+J$84*(K48-J48)+J$85*(K49-J49)+J$86*(K50-J50)+J$87*(K51-J51))/(J$81*J45+J$82*J46+J$83*J47+J$84*J48+J$85*J49+J$86*J50+J$87*J51)</f>
        <v>-5.85495010507011E-2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0.08</v>
      </c>
      <c r="H59" s="55">
        <f>H45</f>
        <v>0.08</v>
      </c>
      <c r="I59" s="47">
        <f>H59+((K59-H59)/3)</f>
        <v>7.0000000000000007E-2</v>
      </c>
      <c r="J59" s="47">
        <f>H59+((K59-H59)/3*2)</f>
        <v>0.06</v>
      </c>
      <c r="K59" s="47">
        <v>0.05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0.34499999999999997</v>
      </c>
      <c r="H60" s="55">
        <f t="shared" ref="H60:H65" si="12">H46</f>
        <v>0.34499999999999997</v>
      </c>
      <c r="I60" s="47">
        <f t="shared" ref="I60:I65" si="13">H60+((K60-H60)/3)</f>
        <v>0.33666666666666667</v>
      </c>
      <c r="J60" s="47">
        <f t="shared" ref="J60:J65" si="14">H60+((K60-H60)/3*2)</f>
        <v>0.32833333333333331</v>
      </c>
      <c r="K60" s="47">
        <v>0.32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6.6000000000000003E-2</v>
      </c>
      <c r="H61" s="55">
        <f t="shared" si="12"/>
        <v>6.6000000000000003E-2</v>
      </c>
      <c r="I61" s="47">
        <v>0.08</v>
      </c>
      <c r="J61" s="47">
        <v>0.09</v>
      </c>
      <c r="K61" s="47">
        <v>0.08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1.4E-2</v>
      </c>
      <c r="H62" s="55">
        <f t="shared" si="12"/>
        <v>1.4E-2</v>
      </c>
      <c r="I62" s="47">
        <f t="shared" si="13"/>
        <v>1.2666666666666666E-2</v>
      </c>
      <c r="J62" s="47">
        <f t="shared" si="14"/>
        <v>1.1333333333333334E-2</v>
      </c>
      <c r="K62" s="47">
        <v>0.01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2.7E-2</v>
      </c>
      <c r="H63" s="55">
        <f t="shared" si="12"/>
        <v>2.7E-2</v>
      </c>
      <c r="I63" s="47">
        <f t="shared" si="13"/>
        <v>4.4666666666666667E-2</v>
      </c>
      <c r="J63" s="47">
        <f t="shared" si="14"/>
        <v>6.2333333333333338E-2</v>
      </c>
      <c r="K63" s="47">
        <v>0.08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0.36199999999999999</v>
      </c>
      <c r="H64" s="55">
        <f t="shared" si="12"/>
        <v>0.36199999999999999</v>
      </c>
      <c r="I64" s="47">
        <v>0.31</v>
      </c>
      <c r="J64" s="47">
        <v>0.27</v>
      </c>
      <c r="K64" s="47">
        <f>1-K59-K60-K61-K62-K63-K65</f>
        <v>0.23999999999999991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0.107</v>
      </c>
      <c r="H65" s="55">
        <f t="shared" si="12"/>
        <v>0.107</v>
      </c>
      <c r="I65" s="47">
        <f t="shared" si="13"/>
        <v>0.14466666666666667</v>
      </c>
      <c r="J65" s="47">
        <f t="shared" si="14"/>
        <v>0.18233333333333335</v>
      </c>
      <c r="K65" s="123">
        <v>0.22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1.0010000000000001</v>
      </c>
      <c r="H66" s="149">
        <v>1</v>
      </c>
      <c r="I66" s="47">
        <f t="shared" ref="I66:J66" si="16">SUM(I59:I65)</f>
        <v>0.99866666666666681</v>
      </c>
      <c r="J66" s="47">
        <f t="shared" si="16"/>
        <v>1.0043333333333333</v>
      </c>
      <c r="K66" s="47">
        <f>SUM(K59:K65)</f>
        <v>0.99999999999999989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-3.1725039777285129E-3</v>
      </c>
      <c r="J69" s="142">
        <f>(I$101*(J59-I59)+I$102*(J60-I60)+I$103*(J61-I61)+I$104*(J62-I62)+I$105*(J63-I63)+I$106*(J64-I64)+I$107*(J65-I65))/(I$101*I59+I$102*I60+I$103*I61+I$104*I62+I$105*I63+I$106*I64+I$107*I65)</f>
        <v>-2.1118087407888619E-3</v>
      </c>
      <c r="K69" s="142">
        <f>(J$101*(K59-J59)+J$102*(K60-J60)+J$103*(K61-J61)+J$104*(K62-J62)+J$105*(K63-J63)+J$106*(K64-J64)+J$107*(K65-J65))/(J$101*J59+J$102*J60+J$103*J61+J$104*J62+J$105*J63+J$106*J64+J$107*J65)</f>
        <v>-2.4414781629375548E-2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bord'!F12</f>
        <v>0.61</v>
      </c>
      <c r="I73" s="92">
        <f>'Tableau de bord'!F24</f>
        <v>0.45</v>
      </c>
      <c r="J73" s="92">
        <f>'Tableau de bord'!F27</f>
        <v>0.27450000000000002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217.49689276641024</v>
      </c>
      <c r="H81" s="54">
        <f>'Init. énergie'!D12</f>
        <v>213.18589628380153</v>
      </c>
      <c r="I81" s="81">
        <f>G81*(1-H$77)/(1+I$55)</f>
        <v>149.03258170096709</v>
      </c>
      <c r="J81" s="81">
        <f>G81*(1-I$77)/(1+I$55)/(1+J$55)</f>
        <v>132.64023635753276</v>
      </c>
      <c r="K81" s="81">
        <f>G81*(1-J$77)/(1+I$55)/(1+J$55)/(1+K$55)</f>
        <v>116.38675563633571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161.66488825773737</v>
      </c>
      <c r="H82" s="54">
        <f>'Init. énergie'!D13</f>
        <v>158.46053551606883</v>
      </c>
      <c r="I82" s="81">
        <f t="shared" ref="I82:I87" si="18">G82*(1-H$77)/(1+I$55)</f>
        <v>110.77553964563985</v>
      </c>
      <c r="J82" s="81">
        <f t="shared" ref="J82:J87" si="19">G82*(1-I$77)/(1+I$55)/(1+J$55)</f>
        <v>98.591150965316515</v>
      </c>
      <c r="K82" s="81">
        <f t="shared" ref="K82:K87" si="20">G82*(1-J$77)/(1+I$55)/(1+J$55)/(1+K$55)</f>
        <v>86.509980006181721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143.37944032379974</v>
      </c>
      <c r="H83" s="54">
        <f>'Init. énergie'!D14</f>
        <v>140.53752265291996</v>
      </c>
      <c r="I83" s="81">
        <f t="shared" si="18"/>
        <v>98.24603874798747</v>
      </c>
      <c r="J83" s="81">
        <f t="shared" si="19"/>
        <v>87.439791030875114</v>
      </c>
      <c r="K83" s="81">
        <f t="shared" si="20"/>
        <v>76.725086377040114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136.11157911972029</v>
      </c>
      <c r="H84" s="54">
        <f>'Init. énergie'!D15</f>
        <v>133.41371741069062</v>
      </c>
      <c r="I84" s="81">
        <f t="shared" si="18"/>
        <v>93.265976251869191</v>
      </c>
      <c r="J84" s="81">
        <f t="shared" si="19"/>
        <v>83.0074940188981</v>
      </c>
      <c r="K84" s="81">
        <f t="shared" si="20"/>
        <v>72.835914558542143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120.25101292640954</v>
      </c>
      <c r="H85" s="54">
        <f>'Init. énergie'!D16</f>
        <v>117.86752281231102</v>
      </c>
      <c r="I85" s="81">
        <f t="shared" si="18"/>
        <v>82.398045694503395</v>
      </c>
      <c r="J85" s="81">
        <f t="shared" si="19"/>
        <v>73.334945497000646</v>
      </c>
      <c r="K85" s="81">
        <f t="shared" si="20"/>
        <v>64.348621621546812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48.970645032210513</v>
      </c>
      <c r="H86" s="54">
        <f>'Init. énergie'!D17</f>
        <v>48</v>
      </c>
      <c r="I86" s="81">
        <f t="shared" si="18"/>
        <v>33.55552147841577</v>
      </c>
      <c r="J86" s="81">
        <f t="shared" si="19"/>
        <v>29.864693003358568</v>
      </c>
      <c r="K86" s="81">
        <f t="shared" si="20"/>
        <v>26.205130676689123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46.930133085061122</v>
      </c>
      <c r="H87" s="54">
        <f>'Init. énergie'!D18</f>
        <v>45.999932951694888</v>
      </c>
      <c r="I87" s="81">
        <f t="shared" si="18"/>
        <v>32.15732787846423</v>
      </c>
      <c r="J87" s="81">
        <f t="shared" si="19"/>
        <v>28.620289078696779</v>
      </c>
      <c r="K87" s="81">
        <f t="shared" si="20"/>
        <v>25.113213627460471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217.49689276641024</v>
      </c>
      <c r="H101" s="54">
        <f>H81</f>
        <v>213.18589628380153</v>
      </c>
      <c r="I101" s="81">
        <f>$H101*(1+$G91)^(I$100-$H$100)</f>
        <v>198.1120241581049</v>
      </c>
      <c r="J101" s="81">
        <f>$H101*(1+$G91)^(J$100-$H$100)</f>
        <v>184.10398999271766</v>
      </c>
      <c r="K101" s="81">
        <f>$H101*(1+$G91)^(K$100-$H$100)</f>
        <v>171.08643089825321</v>
      </c>
      <c r="L101" s="67"/>
      <c r="M101" s="79">
        <f>(K101-G101)/H101</f>
        <v>-0.21769949455930979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161.66488825773737</v>
      </c>
      <c r="H102" s="54">
        <f t="shared" si="22"/>
        <v>158.46053551606883</v>
      </c>
      <c r="I102" s="81">
        <f t="shared" ref="I102:K107" si="23">$H102*(1+$G92)^(I$100-$H$100)</f>
        <v>148.79149724390919</v>
      </c>
      <c r="J102" s="81">
        <f t="shared" si="23"/>
        <v>139.71245004305325</v>
      </c>
      <c r="K102" s="81">
        <f t="shared" si="23"/>
        <v>131.18739349087164</v>
      </c>
      <c r="L102" s="67"/>
      <c r="M102" s="79">
        <f t="shared" ref="M102:M107" si="24">(K102-G102)/H102</f>
        <v>-0.19233492217862116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143.37944032379974</v>
      </c>
      <c r="H103" s="54">
        <f t="shared" si="22"/>
        <v>140.53752265291996</v>
      </c>
      <c r="I103" s="81">
        <f t="shared" si="23"/>
        <v>134.93760632490702</v>
      </c>
      <c r="J103" s="81">
        <f t="shared" si="23"/>
        <v>129.5608265819767</v>
      </c>
      <c r="K103" s="81">
        <f t="shared" si="23"/>
        <v>124.39829223135293</v>
      </c>
      <c r="L103" s="67"/>
      <c r="M103" s="79">
        <f t="shared" si="24"/>
        <v>-0.13506106934390624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136.11157911972029</v>
      </c>
      <c r="H104" s="54">
        <f t="shared" si="22"/>
        <v>133.41371741069062</v>
      </c>
      <c r="I104" s="81">
        <f t="shared" si="23"/>
        <v>128.09765917651976</v>
      </c>
      <c r="J104" s="81">
        <f t="shared" si="23"/>
        <v>122.99342680027097</v>
      </c>
      <c r="K104" s="81">
        <f t="shared" si="23"/>
        <v>118.0925797810867</v>
      </c>
      <c r="L104" s="67"/>
      <c r="M104" s="79">
        <f t="shared" si="24"/>
        <v>-0.13506106934390619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120.25101292640954</v>
      </c>
      <c r="H105" s="54">
        <f t="shared" si="22"/>
        <v>117.86752281231102</v>
      </c>
      <c r="I105" s="81">
        <f t="shared" si="23"/>
        <v>113.17092468620633</v>
      </c>
      <c r="J105" s="81">
        <f>$H105*(1+$G95)^(J$100-$H$100)</f>
        <v>108.66146915402257</v>
      </c>
      <c r="K105" s="81">
        <f>$H105*(1+$G95)^(K$100-$H$100)</f>
        <v>104.33169925446155</v>
      </c>
      <c r="L105" s="67"/>
      <c r="M105" s="79">
        <f t="shared" si="24"/>
        <v>-0.13506106934390624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48.970645032210513</v>
      </c>
      <c r="H106" s="54">
        <f t="shared" si="22"/>
        <v>48</v>
      </c>
      <c r="I106" s="81">
        <f t="shared" si="23"/>
        <v>43.599923315646762</v>
      </c>
      <c r="J106" s="81">
        <f t="shared" si="23"/>
        <v>39.603194023547459</v>
      </c>
      <c r="K106" s="81">
        <f t="shared" si="23"/>
        <v>35.972837968361439</v>
      </c>
      <c r="L106" s="67"/>
      <c r="M106" s="79">
        <f t="shared" si="24"/>
        <v>-0.27078764716352238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46.930133085061122</v>
      </c>
      <c r="H107" s="54">
        <f t="shared" si="22"/>
        <v>45.999932951694888</v>
      </c>
      <c r="I107" s="81">
        <f t="shared" si="23"/>
        <v>41.783198942058114</v>
      </c>
      <c r="J107" s="81">
        <f t="shared" si="23"/>
        <v>37.953005619919722</v>
      </c>
      <c r="K107" s="81">
        <f t="shared" si="23"/>
        <v>34.473919471391881</v>
      </c>
      <c r="L107" s="67"/>
      <c r="M107" s="79">
        <f t="shared" si="24"/>
        <v>-0.27078764716352238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321.17230511168776</v>
      </c>
      <c r="H111" s="54">
        <f t="shared" si="25"/>
        <v>314.80636277551451</v>
      </c>
      <c r="I111" s="125">
        <f t="shared" si="25"/>
        <v>178.11220672963955</v>
      </c>
      <c r="J111" s="125">
        <f t="shared" si="25"/>
        <v>131.75381496573479</v>
      </c>
      <c r="K111" s="125">
        <f t="shared" si="25"/>
        <v>87.117955791394436</v>
      </c>
      <c r="L111" s="46"/>
      <c r="M111" s="79">
        <f>(K111-G111)/H111</f>
        <v>-0.7434867175387917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1029.508285965959</v>
      </c>
      <c r="H112" s="54">
        <f t="shared" si="25"/>
        <v>1009.102446861019</v>
      </c>
      <c r="I112" s="125">
        <f t="shared" si="25"/>
        <v>642.09320287473929</v>
      </c>
      <c r="J112" s="125">
        <f t="shared" si="25"/>
        <v>553.92943722827397</v>
      </c>
      <c r="K112" s="125">
        <f t="shared" si="25"/>
        <v>453.28188768052894</v>
      </c>
      <c r="L112" s="46"/>
      <c r="M112" s="79">
        <f t="shared" ref="M112:M118" si="26">(K112-G112)/H112</f>
        <v>-0.57102864042979795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174.67303295315139</v>
      </c>
      <c r="H113" s="54">
        <f t="shared" si="25"/>
        <v>171.21084633940347</v>
      </c>
      <c r="I113" s="125">
        <f t="shared" si="25"/>
        <v>176.1240921025007</v>
      </c>
      <c r="J113" s="125">
        <f t="shared" si="25"/>
        <v>162.85394940044964</v>
      </c>
      <c r="K113" s="125">
        <f t="shared" si="25"/>
        <v>129.21829854880872</v>
      </c>
      <c r="L113" s="46"/>
      <c r="M113" s="79">
        <f t="shared" si="26"/>
        <v>-0.26548980614367451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35.173707936204373</v>
      </c>
      <c r="H114" s="54">
        <f t="shared" si="25"/>
        <v>34.47653139604968</v>
      </c>
      <c r="I114" s="125">
        <f t="shared" si="25"/>
        <v>21.178212469711841</v>
      </c>
      <c r="J114" s="125">
        <f t="shared" si="25"/>
        <v>17.521212193706674</v>
      </c>
      <c r="K114" s="125">
        <f t="shared" si="25"/>
        <v>13.629806823474727</v>
      </c>
      <c r="L114" s="46"/>
      <c r="M114" s="79">
        <f t="shared" si="26"/>
        <v>-0.62488598012496543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59.93045188505689</v>
      </c>
      <c r="H115" s="54">
        <f t="shared" si="25"/>
        <v>58.74257299634511</v>
      </c>
      <c r="I115" s="125">
        <f t="shared" si="25"/>
        <v>41.359822021255546</v>
      </c>
      <c r="J115" s="125">
        <f t="shared" si="25"/>
        <v>39.609390131324815</v>
      </c>
      <c r="K115" s="125">
        <f t="shared" si="25"/>
        <v>36.12473135160316</v>
      </c>
      <c r="L115" s="46"/>
      <c r="M115" s="79">
        <f t="shared" si="26"/>
        <v>-0.40525498491417616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327.21969833029254</v>
      </c>
      <c r="H116" s="54">
        <f t="shared" si="25"/>
        <v>320.73389087529961</v>
      </c>
      <c r="I116" s="125">
        <f t="shared" si="25"/>
        <v>186.47877385440447</v>
      </c>
      <c r="J116" s="125">
        <f t="shared" si="25"/>
        <v>150.17962067271253</v>
      </c>
      <c r="K116" s="125">
        <f t="shared" si="25"/>
        <v>112.78680352482503</v>
      </c>
      <c r="L116" s="46"/>
      <c r="M116" s="79">
        <f t="shared" si="26"/>
        <v>-0.66856949298457025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92.689514712960374</v>
      </c>
      <c r="H117" s="54">
        <f t="shared" si="25"/>
        <v>90.852319860105936</v>
      </c>
      <c r="I117" s="125">
        <f t="shared" si="25"/>
        <v>92.236678432439561</v>
      </c>
      <c r="J117" s="125">
        <f t="shared" si="25"/>
        <v>127.9306015121435</v>
      </c>
      <c r="K117" s="125">
        <f t="shared" si="25"/>
        <v>150.3821855066069</v>
      </c>
      <c r="L117" s="46"/>
      <c r="M117" s="79">
        <f t="shared" si="26"/>
        <v>0.63501593445804672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2040.3669968953122</v>
      </c>
      <c r="H118" s="146">
        <f>SUM(H111:H117)</f>
        <v>1999.9249711037373</v>
      </c>
      <c r="I118" s="144">
        <f t="shared" ref="I118:J118" si="27">SUM(I111:I117)</f>
        <v>1337.5829884846908</v>
      </c>
      <c r="J118" s="144">
        <f t="shared" si="27"/>
        <v>1183.7780261043461</v>
      </c>
      <c r="K118" s="144">
        <f>SUM(K111:K117)</f>
        <v>982.54166922724198</v>
      </c>
      <c r="L118" s="21"/>
      <c r="M118" s="79">
        <f t="shared" si="26"/>
        <v>-0.52893250644511314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848.8543073170473</v>
      </c>
      <c r="H122" s="147">
        <f t="shared" si="28"/>
        <v>832.02920289120505</v>
      </c>
      <c r="I122" s="143">
        <f>I$36*I59*(1-$J$73)*I101/1000</f>
        <v>657.06398291720029</v>
      </c>
      <c r="J122" s="143">
        <f t="shared" ref="J122:K122" si="29">J$36*J59*(1-$J$73)*J101/1000</f>
        <v>543.7492906038002</v>
      </c>
      <c r="K122" s="143">
        <f t="shared" si="29"/>
        <v>423.08220734956893</v>
      </c>
      <c r="L122" s="46"/>
      <c r="M122" s="79">
        <f>(K122-G122)/H122</f>
        <v>-0.51172735102081712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2720.9772731085732</v>
      </c>
      <c r="H123" s="147">
        <f t="shared" si="28"/>
        <v>2667.0449005379573</v>
      </c>
      <c r="I123" s="143">
        <f t="shared" ref="I123:K128" si="30">I$36*I60*(1-$J$73)*I102/1000</f>
        <v>2373.4332359479017</v>
      </c>
      <c r="J123" s="143">
        <f t="shared" si="30"/>
        <v>2258.0540673536839</v>
      </c>
      <c r="K123" s="143">
        <f t="shared" si="30"/>
        <v>2076.2577781776336</v>
      </c>
      <c r="L123" s="46"/>
      <c r="M123" s="79">
        <f t="shared" ref="M123:M129" si="31">(K123-G123)/H123</f>
        <v>-0.24173552338803753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461.65859893446748</v>
      </c>
      <c r="H124" s="147">
        <f t="shared" si="28"/>
        <v>452.50808385878764</v>
      </c>
      <c r="I124" s="143">
        <f t="shared" si="30"/>
        <v>511.47189610199632</v>
      </c>
      <c r="J124" s="143">
        <f t="shared" si="30"/>
        <v>573.98490559692755</v>
      </c>
      <c r="K124" s="143">
        <f t="shared" si="30"/>
        <v>492.20225161218104</v>
      </c>
      <c r="L124" s="46"/>
      <c r="M124" s="79">
        <f t="shared" si="31"/>
        <v>6.7498579069021014E-2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92.963661594594797</v>
      </c>
      <c r="H125" s="147">
        <f t="shared" si="28"/>
        <v>91.121032888284304</v>
      </c>
      <c r="I125" s="143">
        <f t="shared" si="30"/>
        <v>76.878043476516652</v>
      </c>
      <c r="J125" s="143">
        <f t="shared" si="30"/>
        <v>68.615750247201404</v>
      </c>
      <c r="K125" s="143">
        <f t="shared" si="30"/>
        <v>58.406583225879139</v>
      </c>
      <c r="L125" s="46"/>
      <c r="M125" s="79">
        <f t="shared" si="31"/>
        <v>-0.3792437077736282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158.3954201916531</v>
      </c>
      <c r="H126" s="147">
        <f t="shared" si="28"/>
        <v>155.25587143478461</v>
      </c>
      <c r="I126" s="143">
        <f t="shared" si="30"/>
        <v>239.50643953325996</v>
      </c>
      <c r="J126" s="143">
        <f t="shared" si="30"/>
        <v>333.41119380230816</v>
      </c>
      <c r="K126" s="143">
        <f t="shared" si="30"/>
        <v>412.80548443596905</v>
      </c>
      <c r="L126" s="46"/>
      <c r="M126" s="79">
        <f t="shared" si="31"/>
        <v>1.6386501965639422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864.83749048680227</v>
      </c>
      <c r="H127" s="147">
        <f t="shared" si="28"/>
        <v>847.69558408025466</v>
      </c>
      <c r="I127" s="143">
        <f t="shared" si="30"/>
        <v>640.39245407640112</v>
      </c>
      <c r="J127" s="143">
        <f t="shared" si="30"/>
        <v>526.35436611450825</v>
      </c>
      <c r="K127" s="143">
        <f t="shared" si="30"/>
        <v>426.99730504286885</v>
      </c>
      <c r="L127" s="46"/>
      <c r="M127" s="79">
        <f t="shared" si="31"/>
        <v>-0.51650638940037397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244.97720555283334</v>
      </c>
      <c r="H128" s="147">
        <f t="shared" si="28"/>
        <v>240.12152298181007</v>
      </c>
      <c r="I128" s="143">
        <f t="shared" si="30"/>
        <v>286.39731896111186</v>
      </c>
      <c r="J128" s="143">
        <f t="shared" si="30"/>
        <v>340.64067016214727</v>
      </c>
      <c r="K128" s="143">
        <f t="shared" si="30"/>
        <v>375.10472470102462</v>
      </c>
      <c r="L128" s="46"/>
      <c r="M128" s="79">
        <f t="shared" si="31"/>
        <v>0.54192359573718363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5392.6639571859723</v>
      </c>
      <c r="H129" s="148">
        <f>SUM(H122:H128)</f>
        <v>5285.7761986730839</v>
      </c>
      <c r="I129" s="145">
        <f t="shared" ref="I129:K129" si="32">SUM(I122:I128)</f>
        <v>4785.1433710143874</v>
      </c>
      <c r="J129" s="145">
        <f t="shared" si="32"/>
        <v>4644.8102438805772</v>
      </c>
      <c r="K129" s="145">
        <f t="shared" si="32"/>
        <v>4264.8563345451248</v>
      </c>
      <c r="L129" s="21"/>
      <c r="M129" s="79">
        <f t="shared" si="31"/>
        <v>-0.21336651047086841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1146.8355656667195</v>
      </c>
      <c r="I133" s="143">
        <f t="shared" ref="I133:K133" si="33">I111+I122</f>
        <v>835.17618964683982</v>
      </c>
      <c r="J133" s="143">
        <f t="shared" si="33"/>
        <v>675.50310556953502</v>
      </c>
      <c r="K133" s="143">
        <f t="shared" si="33"/>
        <v>510.20016314096335</v>
      </c>
      <c r="L133" s="46"/>
      <c r="M133" s="79">
        <f>(K133-G133)/H133</f>
        <v>0.44487647437438471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3676.1473473989763</v>
      </c>
      <c r="I134" s="143">
        <f t="shared" si="34"/>
        <v>3015.526438822641</v>
      </c>
      <c r="J134" s="143">
        <f t="shared" si="34"/>
        <v>2811.9835045819577</v>
      </c>
      <c r="K134" s="143">
        <f t="shared" si="34"/>
        <v>2529.5396658581626</v>
      </c>
      <c r="L134" s="46"/>
      <c r="M134" s="79">
        <f t="shared" ref="M134:M140" si="35">(K134-G134)/H134</f>
        <v>0.688095287488385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623.71893019819117</v>
      </c>
      <c r="I135" s="143">
        <f t="shared" si="34"/>
        <v>687.59598820449696</v>
      </c>
      <c r="J135" s="143">
        <f t="shared" si="34"/>
        <v>736.83885499737721</v>
      </c>
      <c r="K135" s="143">
        <f t="shared" si="34"/>
        <v>621.42055016098971</v>
      </c>
      <c r="L135" s="46"/>
      <c r="M135" s="79">
        <f t="shared" si="35"/>
        <v>0.9963150388325217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125.59756428433398</v>
      </c>
      <c r="I136" s="143">
        <f t="shared" si="34"/>
        <v>98.05625594622849</v>
      </c>
      <c r="J136" s="143">
        <f t="shared" si="34"/>
        <v>86.136962440908079</v>
      </c>
      <c r="K136" s="143">
        <f t="shared" si="34"/>
        <v>72.036390049353869</v>
      </c>
      <c r="L136" s="46"/>
      <c r="M136" s="79">
        <f t="shared" si="35"/>
        <v>0.57354925997031536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213.99844443112971</v>
      </c>
      <c r="I137" s="143">
        <f t="shared" si="34"/>
        <v>280.86626155451552</v>
      </c>
      <c r="J137" s="143">
        <f t="shared" si="34"/>
        <v>373.02058393363296</v>
      </c>
      <c r="K137" s="143">
        <f t="shared" si="34"/>
        <v>448.93021578757219</v>
      </c>
      <c r="L137" s="46"/>
      <c r="M137" s="79">
        <f t="shared" si="35"/>
        <v>2.0978199957525843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1168.4294749555543</v>
      </c>
      <c r="I138" s="143">
        <f t="shared" si="34"/>
        <v>826.87122793080562</v>
      </c>
      <c r="J138" s="143">
        <f t="shared" si="34"/>
        <v>676.53398678722078</v>
      </c>
      <c r="K138" s="143">
        <f t="shared" si="34"/>
        <v>539.78410856769392</v>
      </c>
      <c r="L138" s="46"/>
      <c r="M138" s="79">
        <f t="shared" si="35"/>
        <v>0.46197406017014991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330.973842841916</v>
      </c>
      <c r="I139" s="143">
        <f t="shared" si="34"/>
        <v>378.63399739355145</v>
      </c>
      <c r="J139" s="143">
        <f t="shared" si="34"/>
        <v>468.57127167429076</v>
      </c>
      <c r="K139" s="143">
        <f t="shared" si="34"/>
        <v>525.48691020763158</v>
      </c>
      <c r="L139" s="46"/>
      <c r="M139" s="79">
        <f t="shared" si="35"/>
        <v>1.5876992142204465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7285.7011697768203</v>
      </c>
      <c r="I140" s="145">
        <f t="shared" ref="I140:K140" si="36">SUM(I133:I139)</f>
        <v>6122.7263594990782</v>
      </c>
      <c r="J140" s="145">
        <f t="shared" si="36"/>
        <v>5828.5882699849226</v>
      </c>
      <c r="K140" s="145">
        <f t="shared" si="36"/>
        <v>5247.3980037723668</v>
      </c>
      <c r="L140" s="21"/>
      <c r="M140" s="79">
        <f t="shared" si="35"/>
        <v>0.72023239513858739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énergie'!C12</f>
        <v>0</v>
      </c>
      <c r="I146" s="47">
        <f>H146</f>
        <v>0</v>
      </c>
      <c r="J146" s="47">
        <f>I146</f>
        <v>0</v>
      </c>
      <c r="K146" s="47">
        <f>J146</f>
        <v>0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énergie'!C13</f>
        <v>0.38923402073260943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énergie'!C14</f>
        <v>6.6076657693018501E-2</v>
      </c>
      <c r="I148" s="47">
        <v>7.0000000000000007E-2</v>
      </c>
      <c r="J148" s="47">
        <v>7.0000000000000007E-2</v>
      </c>
      <c r="K148" s="47">
        <v>7.0000000000000007E-2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énergie'!C15</f>
        <v>1.4740928196769911E-2</v>
      </c>
      <c r="I149" s="47">
        <v>0</v>
      </c>
      <c r="J149" s="47">
        <v>0</v>
      </c>
      <c r="K149" s="47"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énergie'!C16</f>
        <v>2.5736644706610589E-2</v>
      </c>
      <c r="I150" s="47">
        <f t="shared" ref="I150:K150" si="37">H150</f>
        <v>2.5736644706610589E-2</v>
      </c>
      <c r="J150" s="47">
        <f t="shared" si="37"/>
        <v>2.5736644706610589E-2</v>
      </c>
      <c r="K150" s="47">
        <f t="shared" si="37"/>
        <v>2.5736644706610589E-2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énergie'!C17</f>
        <v>8.0042733231366181E-2</v>
      </c>
      <c r="I151" s="47">
        <f t="shared" ref="I151:K151" si="38">H151</f>
        <v>8.0042733231366181E-2</v>
      </c>
      <c r="J151" s="47">
        <f t="shared" si="38"/>
        <v>8.0042733231366181E-2</v>
      </c>
      <c r="K151" s="47">
        <f t="shared" si="38"/>
        <v>8.0042733231366181E-2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énergie'!C18</f>
        <v>0.42416901543962537</v>
      </c>
      <c r="I152" s="47">
        <v>0.82</v>
      </c>
      <c r="J152" s="47">
        <v>0.82</v>
      </c>
      <c r="K152" s="47">
        <v>0.82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39">SUM(I146:I152)</f>
        <v>0.99577937793797666</v>
      </c>
      <c r="J153" s="15">
        <f t="shared" si="39"/>
        <v>0.99577937793797666</v>
      </c>
      <c r="K153" s="15">
        <f t="shared" si="39"/>
        <v>0.99577937793797666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116.38675563633571</v>
      </c>
      <c r="J157" s="45">
        <f>K157</f>
        <v>116.38675563633571</v>
      </c>
      <c r="K157" s="45">
        <f t="shared" ref="K157:K163" si="40">K81</f>
        <v>116.38675563633571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1">J158</f>
        <v>86.509980006181721</v>
      </c>
      <c r="J158" s="45">
        <f t="shared" si="41"/>
        <v>86.509980006181721</v>
      </c>
      <c r="K158" s="45">
        <f t="shared" si="40"/>
        <v>86.509980006181721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1"/>
        <v>76.725086377040114</v>
      </c>
      <c r="J159" s="45">
        <f t="shared" si="41"/>
        <v>76.725086377040114</v>
      </c>
      <c r="K159" s="45">
        <f t="shared" si="40"/>
        <v>76.725086377040114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1"/>
        <v>72.835914558542143</v>
      </c>
      <c r="J160" s="45">
        <f t="shared" si="41"/>
        <v>72.835914558542143</v>
      </c>
      <c r="K160" s="45">
        <f t="shared" si="40"/>
        <v>72.835914558542143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1"/>
        <v>64.348621621546812</v>
      </c>
      <c r="J161" s="45">
        <f t="shared" si="41"/>
        <v>64.348621621546812</v>
      </c>
      <c r="K161" s="45">
        <f t="shared" si="40"/>
        <v>64.348621621546812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1"/>
        <v>26.205130676689123</v>
      </c>
      <c r="J162" s="45">
        <f t="shared" si="41"/>
        <v>26.205130676689123</v>
      </c>
      <c r="K162" s="45">
        <f t="shared" si="40"/>
        <v>26.205130676689123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1"/>
        <v>25.113213627460471</v>
      </c>
      <c r="J163" s="45">
        <f t="shared" si="41"/>
        <v>25.113213627460471</v>
      </c>
      <c r="K163" s="45">
        <f t="shared" si="40"/>
        <v>25.113213627460471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2">I$35*I146*I157/1000</f>
        <v>0</v>
      </c>
      <c r="J167" s="10">
        <f t="shared" si="42"/>
        <v>0</v>
      </c>
      <c r="K167" s="10">
        <f t="shared" si="42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3">H$35*H147*H158/1000</f>
        <v>0</v>
      </c>
      <c r="I168" s="10">
        <f t="shared" si="43"/>
        <v>0</v>
      </c>
      <c r="J168" s="10">
        <f t="shared" si="43"/>
        <v>0</v>
      </c>
      <c r="K168" s="10">
        <f t="shared" si="43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3"/>
        <v>0</v>
      </c>
      <c r="I169" s="10">
        <f t="shared" si="43"/>
        <v>24.460008045841047</v>
      </c>
      <c r="J169" s="10">
        <f t="shared" si="43"/>
        <v>16.370454769859261</v>
      </c>
      <c r="K169" s="10">
        <f t="shared" si="43"/>
        <v>10.966283174582621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3"/>
        <v>0</v>
      </c>
      <c r="I170" s="10">
        <f t="shared" si="43"/>
        <v>0</v>
      </c>
      <c r="J170" s="10">
        <f t="shared" si="43"/>
        <v>0</v>
      </c>
      <c r="K170" s="10">
        <f t="shared" si="43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3"/>
        <v>0</v>
      </c>
      <c r="I171" s="10">
        <f t="shared" si="43"/>
        <v>7.5424483564869034</v>
      </c>
      <c r="J171" s="10">
        <f t="shared" si="43"/>
        <v>5.0479668462276894</v>
      </c>
      <c r="K171" s="10">
        <f t="shared" si="43"/>
        <v>3.3815452698088686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3"/>
        <v>0</v>
      </c>
      <c r="I172" s="10">
        <f t="shared" si="43"/>
        <v>9.5527719339721902</v>
      </c>
      <c r="J172" s="10">
        <f t="shared" si="43"/>
        <v>6.3934247518967036</v>
      </c>
      <c r="K172" s="10">
        <f t="shared" si="43"/>
        <v>4.2828441402723261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3"/>
        <v>0</v>
      </c>
      <c r="I173" s="10">
        <f t="shared" si="43"/>
        <v>93.785848715597908</v>
      </c>
      <c r="J173" s="10">
        <f t="shared" si="43"/>
        <v>62.76845827581851</v>
      </c>
      <c r="K173" s="10">
        <f t="shared" si="43"/>
        <v>42.047499447110191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4">SUM(I167:I173)</f>
        <v>135.34107705189805</v>
      </c>
      <c r="J174" s="11">
        <f t="shared" si="44"/>
        <v>90.580304643802165</v>
      </c>
      <c r="K174" s="11">
        <f t="shared" si="44"/>
        <v>60.678172031774004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5379.5095532023679</v>
      </c>
      <c r="I179" s="10">
        <f t="shared" ref="I179:K179" si="45">I$36*($J$73*I45+(1-$J$73)*I59)+I$35*I146</f>
        <v>4511.7510882434444</v>
      </c>
      <c r="J179" s="10">
        <f t="shared" si="45"/>
        <v>3946.8070851222201</v>
      </c>
      <c r="K179" s="10">
        <f t="shared" si="45"/>
        <v>3221.436251017476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6">H$36*($J$73*H46+(1-$J$73)*H60)+H$35*H147</f>
        <v>23199.134948185208</v>
      </c>
      <c r="I180" s="10">
        <f t="shared" si="46"/>
        <v>21747.748291606793</v>
      </c>
      <c r="J180" s="10">
        <f t="shared" si="46"/>
        <v>21780.603376632302</v>
      </c>
      <c r="K180" s="10">
        <f t="shared" si="46"/>
        <v>21066.304735782887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6"/>
        <v>4438.0953813919532</v>
      </c>
      <c r="I181" s="10">
        <f t="shared" si="46"/>
        <v>5901.9171167870381</v>
      </c>
      <c r="J181" s="10">
        <f t="shared" si="46"/>
        <v>6506.0696278275909</v>
      </c>
      <c r="K181" s="10">
        <f t="shared" si="46"/>
        <v>5783.7663560736746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6"/>
        <v>941.41417181041447</v>
      </c>
      <c r="I182" s="10">
        <f t="shared" si="46"/>
        <v>827.22511569443861</v>
      </c>
      <c r="J182" s="10">
        <f t="shared" si="46"/>
        <v>768.96132539198618</v>
      </c>
      <c r="K182" s="10">
        <f t="shared" si="46"/>
        <v>681.71331097608197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6"/>
        <v>1815.5844742057991</v>
      </c>
      <c r="I183" s="10">
        <f t="shared" si="46"/>
        <v>2735.4886119420144</v>
      </c>
      <c r="J183" s="10">
        <f t="shared" si="46"/>
        <v>3686.9112655256235</v>
      </c>
      <c r="K183" s="10">
        <f t="shared" si="46"/>
        <v>4570.6053601666554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6"/>
        <v>24342.280728240712</v>
      </c>
      <c r="I184" s="10">
        <f t="shared" si="46"/>
        <v>20609.784481765193</v>
      </c>
      <c r="J184" s="10">
        <f t="shared" si="46"/>
        <v>18563.348820289761</v>
      </c>
      <c r="K184" s="10">
        <f t="shared" si="46"/>
        <v>16337.424488053191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6"/>
        <v>7195.0940274081668</v>
      </c>
      <c r="I185" s="10">
        <f t="shared" si="46"/>
        <v>13457.181780160568</v>
      </c>
      <c r="J185" s="10">
        <f t="shared" si="46"/>
        <v>15944.674446383871</v>
      </c>
      <c r="K185" s="10">
        <f t="shared" si="46"/>
        <v>18543.313634527563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67262.327857184035</v>
      </c>
      <c r="I186" s="10">
        <f t="shared" si="46"/>
        <v>69791.096486199502</v>
      </c>
      <c r="J186" s="10">
        <f t="shared" si="46"/>
        <v>71197.375947173365</v>
      </c>
      <c r="K186" s="10">
        <f t="shared" si="46"/>
        <v>70204.564136597532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  <pageSetUpPr fitToPage="1"/>
  </sheetPr>
  <dimension ref="A1:GB1593"/>
  <sheetViews>
    <sheetView showGridLines="0" topLeftCell="A34" zoomScaleNormal="100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184229.64520786435</v>
      </c>
      <c r="I7" s="10">
        <f t="shared" si="0"/>
        <v>188845.72076800707</v>
      </c>
      <c r="J7" s="10">
        <f t="shared" si="0"/>
        <v>189052.81684560882</v>
      </c>
      <c r="K7" s="10">
        <f t="shared" si="0"/>
        <v>184659.28455413607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13164.331097787628</v>
      </c>
      <c r="J8" s="76">
        <f t="shared" si="0"/>
        <v>8969.5375212372728</v>
      </c>
      <c r="K8" s="76">
        <f t="shared" si="0"/>
        <v>8772.0507016362499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184229.64520786435</v>
      </c>
      <c r="I9" s="96">
        <f t="shared" si="1"/>
        <v>175681.38967021945</v>
      </c>
      <c r="J9" s="96">
        <f t="shared" si="1"/>
        <v>180083.27932437154</v>
      </c>
      <c r="K9" s="96">
        <f t="shared" si="1"/>
        <v>175887.23385249983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3430.6717540831442</v>
      </c>
      <c r="I13" s="86">
        <f t="shared" ref="I13:K13" si="2">I133+I167</f>
        <v>2428.7884649424232</v>
      </c>
      <c r="J13" s="86">
        <f t="shared" si="2"/>
        <v>1974.2602773440449</v>
      </c>
      <c r="K13" s="86">
        <f t="shared" si="2"/>
        <v>1465.9959053210796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7861.961834985028</v>
      </c>
      <c r="I14" s="86">
        <f t="shared" si="3"/>
        <v>6281.2395524720914</v>
      </c>
      <c r="J14" s="86">
        <f t="shared" si="3"/>
        <v>5758.9276074072459</v>
      </c>
      <c r="K14" s="86">
        <f t="shared" si="3"/>
        <v>5009.7398760972683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392.69537442242785</v>
      </c>
      <c r="I15" s="86">
        <f t="shared" si="3"/>
        <v>337.41146265265252</v>
      </c>
      <c r="J15" s="86">
        <f t="shared" si="3"/>
        <v>296.77484850346912</v>
      </c>
      <c r="K15" s="86">
        <f t="shared" si="3"/>
        <v>232.21019221512034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159.09604448839201</v>
      </c>
      <c r="I16" s="86">
        <f t="shared" si="3"/>
        <v>138.28345606143262</v>
      </c>
      <c r="J16" s="86">
        <f t="shared" si="3"/>
        <v>137.83284214669905</v>
      </c>
      <c r="K16" s="86">
        <f t="shared" si="3"/>
        <v>130.22436030333219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142.21438786032849</v>
      </c>
      <c r="I17" s="86">
        <f t="shared" si="3"/>
        <v>112.40532916126897</v>
      </c>
      <c r="J17" s="86">
        <f t="shared" si="3"/>
        <v>95.968899573366343</v>
      </c>
      <c r="K17" s="86">
        <f t="shared" si="3"/>
        <v>77.87230538321657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2654.7491874453253</v>
      </c>
      <c r="I18" s="86">
        <f t="shared" si="3"/>
        <v>1911.1201273357092</v>
      </c>
      <c r="J18" s="86">
        <f t="shared" si="3"/>
        <v>1385.0423517347531</v>
      </c>
      <c r="K18" s="86">
        <f t="shared" si="3"/>
        <v>921.23625398489867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822.29267193269959</v>
      </c>
      <c r="I19" s="86">
        <f t="shared" si="3"/>
        <v>1507.7135949147244</v>
      </c>
      <c r="J19" s="86">
        <f t="shared" si="3"/>
        <v>1917.8681257114456</v>
      </c>
      <c r="K19" s="86">
        <f t="shared" si="3"/>
        <v>2211.6673156276393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15463.681255217345</v>
      </c>
      <c r="I20" s="13">
        <f t="shared" ref="I20:K20" si="4">SUM(I13:I19)</f>
        <v>12716.961987540304</v>
      </c>
      <c r="J20" s="13">
        <f t="shared" si="4"/>
        <v>11566.674952421024</v>
      </c>
      <c r="K20" s="13">
        <f t="shared" si="4"/>
        <v>10048.946208932555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-0.35631999999999986</v>
      </c>
      <c r="J23" s="177">
        <f t="shared" ref="J23:K23" si="5">J118/$G118-1</f>
        <v>-0.43794124178721794</v>
      </c>
      <c r="K23" s="177">
        <f t="shared" si="5"/>
        <v>-0.54650927115626335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-0.14836324192383921</v>
      </c>
      <c r="J24" s="177">
        <f t="shared" ref="J24:K24" si="6">J129/$G129-1</f>
        <v>-0.20572739130481055</v>
      </c>
      <c r="K24" s="177">
        <f t="shared" si="6"/>
        <v>-0.29522113619251533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184229.64520786435</v>
      </c>
      <c r="H34" s="125">
        <f>'Init. parc'!C6</f>
        <v>184229.64520786435</v>
      </c>
      <c r="I34" s="125">
        <f>'Init. parc'!D6</f>
        <v>188845.72076800707</v>
      </c>
      <c r="J34" s="125">
        <f>'Init. parc'!E6</f>
        <v>189052.81684560882</v>
      </c>
      <c r="K34" s="125">
        <f>'Init. parc'!F6</f>
        <v>184659.28455413607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parc'!N6</f>
        <v>13164.331097787628</v>
      </c>
      <c r="J35" s="125">
        <f>'Init. parc'!O6</f>
        <v>8969.5375212372728</v>
      </c>
      <c r="K35" s="125">
        <f>'Init. parc'!P6</f>
        <v>8772.0507016362499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184229.64520786435</v>
      </c>
      <c r="H36" s="125">
        <f>H34-H35</f>
        <v>184229.64520786435</v>
      </c>
      <c r="I36" s="125">
        <f>I34-I35</f>
        <v>175681.38967021945</v>
      </c>
      <c r="J36" s="125">
        <f>J34-J35</f>
        <v>180083.27932437154</v>
      </c>
      <c r="K36" s="125">
        <f>K34-K35</f>
        <v>175887.23385249983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0.184</v>
      </c>
      <c r="H45" s="55">
        <f>'Init. énergie'!B21</f>
        <v>0.184</v>
      </c>
      <c r="I45" s="47">
        <v>0.15</v>
      </c>
      <c r="J45" s="47">
        <f>H45+((K45-H45)/3*2)</f>
        <v>0.128</v>
      </c>
      <c r="K45" s="47">
        <v>0.1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0.39300000000000002</v>
      </c>
      <c r="H46" s="55">
        <f>'Init. énergie'!B22</f>
        <v>0.39300000000000002</v>
      </c>
      <c r="I46" s="47">
        <f t="shared" ref="I46:I51" si="8">H46+((K46-H46)/3)</f>
        <v>0.3686666666666667</v>
      </c>
      <c r="J46" s="47">
        <f t="shared" ref="J46:J50" si="9">H46+((K46-H46)/3*2)</f>
        <v>0.34433333333333332</v>
      </c>
      <c r="K46" s="47">
        <v>0.32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4.2000000000000003E-2</v>
      </c>
      <c r="H47" s="55">
        <f>'Init. énergie'!B23</f>
        <v>4.2000000000000003E-2</v>
      </c>
      <c r="I47" s="47">
        <v>0.05</v>
      </c>
      <c r="J47" s="47">
        <v>0.05</v>
      </c>
      <c r="K47" s="47">
        <v>0.04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1.7999999999999999E-2</v>
      </c>
      <c r="H48" s="55">
        <f>'Init. énergie'!B24</f>
        <v>1.7999999999999999E-2</v>
      </c>
      <c r="I48" s="47">
        <f t="shared" si="8"/>
        <v>1.8666666666666665E-2</v>
      </c>
      <c r="J48" s="47">
        <f t="shared" si="9"/>
        <v>1.9333333333333334E-2</v>
      </c>
      <c r="K48" s="47">
        <v>0.02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1.4E-2</v>
      </c>
      <c r="H49" s="55">
        <f>'Init. énergie'!B25</f>
        <v>1.4E-2</v>
      </c>
      <c r="I49" s="47">
        <f t="shared" si="8"/>
        <v>1.2666666666666666E-2</v>
      </c>
      <c r="J49" s="47">
        <f t="shared" si="9"/>
        <v>1.1333333333333334E-2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0.26200000000000001</v>
      </c>
      <c r="H50" s="55">
        <f>'Init. énergie'!B26</f>
        <v>0.26200000000000001</v>
      </c>
      <c r="I50" s="47">
        <f t="shared" si="8"/>
        <v>0.21133333333333335</v>
      </c>
      <c r="J50" s="47">
        <f t="shared" si="9"/>
        <v>0.16066666666666668</v>
      </c>
      <c r="K50" s="47">
        <f>1-K45-K46-K47-K48-K49-K51</f>
        <v>0.10999999999999999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8.7999999999999995E-2</v>
      </c>
      <c r="H51" s="55">
        <f>'Init. énergie'!B27</f>
        <v>8.7999999999999995E-2</v>
      </c>
      <c r="I51" s="47">
        <f t="shared" si="8"/>
        <v>0.192</v>
      </c>
      <c r="J51" s="47">
        <v>0.28999999999999998</v>
      </c>
      <c r="K51" s="123">
        <v>0.4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1.0010000000000001</v>
      </c>
      <c r="H52" s="149">
        <f t="shared" si="10"/>
        <v>1.0010000000000001</v>
      </c>
      <c r="I52" s="155">
        <f t="shared" si="10"/>
        <v>1.0033333333333336</v>
      </c>
      <c r="J52" s="155">
        <f t="shared" si="10"/>
        <v>1.0036666666666667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-3.8487307586918949E-2</v>
      </c>
      <c r="J55" s="142">
        <f>(I$81*(J45-I45)+I$82*(J46-I46)+I$83*(J47-I47)+I$84*(J48-I48)+I$85*(J49-I49)+I$86*(J50-I50)+I$87*(J51-I51))/(I$81*I45+I$82*I46+I$83*I47+I$84*I48+I$85*I49+I$86*I50+I$87*I51)</f>
        <v>-3.3781460911011585E-2</v>
      </c>
      <c r="K55" s="142">
        <f>(J$81*(K45-J45)+J$82*(K46-J46)+J$83*(K47-J47)+J$84*(K48-J48)+J$85*(K49-J49)+J$86*(K50-J50)+J$87*(K51-J51))/(J$81*J45+J$82*J46+J$83*J47+J$84*J48+J$85*J49+J$86*J50+J$87*J51)</f>
        <v>-4.1452608008116974E-2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0.184</v>
      </c>
      <c r="H59" s="55">
        <f>H45</f>
        <v>0.184</v>
      </c>
      <c r="I59" s="47">
        <f>H59+((K59-H59)/3)</f>
        <v>0.16266666666666665</v>
      </c>
      <c r="J59" s="47">
        <f>H59+((K59-H59)/3*2)</f>
        <v>0.14133333333333334</v>
      </c>
      <c r="K59" s="47">
        <v>0.12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0.39300000000000002</v>
      </c>
      <c r="H60" s="55">
        <f t="shared" ref="H60:H65" si="12">H46</f>
        <v>0.39300000000000002</v>
      </c>
      <c r="I60" s="47">
        <f t="shared" ref="I60:I65" si="13">H60+((K60-H60)/3)</f>
        <v>0.38533333333333336</v>
      </c>
      <c r="J60" s="47">
        <f t="shared" ref="J60:J65" si="14">H60+((K60-H60)/3*2)</f>
        <v>0.37766666666666665</v>
      </c>
      <c r="K60" s="47">
        <v>0.37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4.2000000000000003E-2</v>
      </c>
      <c r="H61" s="55">
        <f t="shared" si="12"/>
        <v>4.2000000000000003E-2</v>
      </c>
      <c r="I61" s="47">
        <f t="shared" si="13"/>
        <v>3.7999999999999999E-2</v>
      </c>
      <c r="J61" s="47">
        <f t="shared" si="14"/>
        <v>3.4000000000000002E-2</v>
      </c>
      <c r="K61" s="47">
        <v>0.03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1.7999999999999999E-2</v>
      </c>
      <c r="H62" s="55">
        <f t="shared" si="12"/>
        <v>1.7999999999999999E-2</v>
      </c>
      <c r="I62" s="47">
        <f t="shared" si="13"/>
        <v>1.8666666666666665E-2</v>
      </c>
      <c r="J62" s="47">
        <f t="shared" si="14"/>
        <v>1.9333333333333334E-2</v>
      </c>
      <c r="K62" s="47">
        <v>0.02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1.4E-2</v>
      </c>
      <c r="H63" s="55">
        <f t="shared" si="12"/>
        <v>1.4E-2</v>
      </c>
      <c r="I63" s="47">
        <f t="shared" si="13"/>
        <v>1.2666666666666666E-2</v>
      </c>
      <c r="J63" s="47">
        <f t="shared" si="14"/>
        <v>1.1333333333333334E-2</v>
      </c>
      <c r="K63" s="47">
        <v>0.01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0.26200000000000001</v>
      </c>
      <c r="H64" s="55">
        <f t="shared" si="12"/>
        <v>0.26200000000000001</v>
      </c>
      <c r="I64" s="47">
        <f t="shared" si="13"/>
        <v>0.218</v>
      </c>
      <c r="J64" s="47">
        <f t="shared" si="14"/>
        <v>0.17399999999999999</v>
      </c>
      <c r="K64" s="47">
        <f>1-K59-K60-K61-K62-K63-K65</f>
        <v>0.12999999999999995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8.7999999999999995E-2</v>
      </c>
      <c r="H65" s="55">
        <f t="shared" si="12"/>
        <v>8.7999999999999995E-2</v>
      </c>
      <c r="I65" s="47">
        <f t="shared" si="13"/>
        <v>0.16533333333333333</v>
      </c>
      <c r="J65" s="47">
        <f t="shared" si="14"/>
        <v>0.24266666666666667</v>
      </c>
      <c r="K65" s="123">
        <v>0.32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1.0010000000000001</v>
      </c>
      <c r="H66" s="149">
        <v>1</v>
      </c>
      <c r="I66" s="47">
        <f t="shared" ref="I66:J66" si="16">SUM(I59:I65)</f>
        <v>1.0006666666666666</v>
      </c>
      <c r="J66" s="47">
        <f t="shared" si="16"/>
        <v>1.0003333333333333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-2.0654648326488594E-2</v>
      </c>
      <c r="J69" s="142">
        <f>(I$101*(J59-I59)+I$102*(J60-I60)+I$103*(J61-I61)+I$104*(J62-I62)+I$105*(J63-I63)+I$106*(J64-I64)+I$107*(J65-I65))/(I$101*I59+I$102*I60+I$103*I61+I$104*I62+I$105*I63+I$106*I64+I$107*I65)</f>
        <v>-2.1682175657139969E-2</v>
      </c>
      <c r="K69" s="142">
        <f>(J$101*(K59-J59)+J$102*(K60-J60)+J$103*(K61-J61)+J$104*(K62-J62)+J$105*(K63-J63)+J$106*(K64-J64)+J$107*(K65-J65))/(J$101*J59+J$102*J60+J$103*J61+J$104*J62+J$105*J63+J$106*J64+J$107*J65)</f>
        <v>-2.2769676138833482E-2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bord'!G12</f>
        <v>0.74</v>
      </c>
      <c r="I73" s="92">
        <f>'Tableau de bord'!G24</f>
        <v>0.45</v>
      </c>
      <c r="J73" s="92">
        <f>'Tableau de bord'!G27</f>
        <v>0.33300000000000002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58.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103.25151083712665</v>
      </c>
      <c r="H81" s="54">
        <f>'Init. énergie'!D21</f>
        <v>101.20496711697824</v>
      </c>
      <c r="I81" s="81">
        <f>G81*(1-H$77)/(1+I$55)</f>
        <v>72.48450318440365</v>
      </c>
      <c r="J81" s="81">
        <f>G81*(1-I$77)/(1+I$55)/(1+J$55)</f>
        <v>63.90485772133264</v>
      </c>
      <c r="K81" s="81">
        <f>G81*(1-J$77)/(1+I$55)/(1+J$55)/(1+K$55)</f>
        <v>55.073927343612745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110.78308433796674</v>
      </c>
      <c r="H82" s="54">
        <f>'Init. énergie'!D22</f>
        <v>108.58725762596659</v>
      </c>
      <c r="I82" s="81">
        <f t="shared" ref="I82:I87" si="18">G82*(1-H$77)/(1+I$55)</f>
        <v>77.771809481222633</v>
      </c>
      <c r="J82" s="81">
        <f t="shared" ref="J82:J87" si="19">G82*(1-I$77)/(1+I$55)/(1+J$55)</f>
        <v>68.566330750508712</v>
      </c>
      <c r="K82" s="81">
        <f t="shared" ref="K82:K87" si="20">G82*(1-J$77)/(1+I$55)/(1+J$55)/(1+K$55)</f>
        <v>59.091237389783977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51.777558345312215</v>
      </c>
      <c r="H83" s="54">
        <f>'Init. énergie'!D23</f>
        <v>50.751277606007875</v>
      </c>
      <c r="I83" s="81">
        <f t="shared" si="18"/>
        <v>36.348820102803948</v>
      </c>
      <c r="J83" s="81">
        <f t="shared" si="19"/>
        <v>32.046383364158991</v>
      </c>
      <c r="K83" s="81">
        <f t="shared" si="20"/>
        <v>27.617934722888659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48.946534504727495</v>
      </c>
      <c r="H84" s="54">
        <f>'Init. énergie'!D24</f>
        <v>47.976367366236985</v>
      </c>
      <c r="I84" s="81">
        <f t="shared" si="18"/>
        <v>34.361388103753733</v>
      </c>
      <c r="J84" s="81">
        <f t="shared" si="19"/>
        <v>30.294194226475064</v>
      </c>
      <c r="K84" s="81">
        <f t="shared" si="20"/>
        <v>26.107878356252566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56.253632545159441</v>
      </c>
      <c r="H85" s="54">
        <f>'Init. énergie'!D25</f>
        <v>55.138631733186472</v>
      </c>
      <c r="I85" s="81">
        <f t="shared" si="18"/>
        <v>39.491108404078766</v>
      </c>
      <c r="J85" s="81">
        <f t="shared" si="19"/>
        <v>34.816733963120981</v>
      </c>
      <c r="K85" s="81">
        <f t="shared" si="20"/>
        <v>30.00545412350904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56.112197432741212</v>
      </c>
      <c r="H86" s="54">
        <f>'Init. énergie'!D26</f>
        <v>55</v>
      </c>
      <c r="I86" s="81">
        <f t="shared" si="18"/>
        <v>39.391818294197108</v>
      </c>
      <c r="J86" s="81">
        <f t="shared" si="19"/>
        <v>34.729196350716023</v>
      </c>
      <c r="K86" s="81">
        <f t="shared" si="20"/>
        <v>29.930013221559971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51.746242472374128</v>
      </c>
      <c r="H87" s="54">
        <f>'Init. énergie'!D27</f>
        <v>50.720582443629688</v>
      </c>
      <c r="I87" s="81">
        <f t="shared" si="18"/>
        <v>36.32683577082372</v>
      </c>
      <c r="J87" s="81">
        <f t="shared" si="19"/>
        <v>32.027001212863546</v>
      </c>
      <c r="K87" s="81">
        <f t="shared" si="20"/>
        <v>27.601230966237438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103.25151083712665</v>
      </c>
      <c r="H101" s="54">
        <f>H81</f>
        <v>101.20496711697824</v>
      </c>
      <c r="I101" s="81">
        <f>$H101*(1+$G91)^(I$100-$H$100)</f>
        <v>94.049002489863369</v>
      </c>
      <c r="J101" s="81">
        <f>$H101*(1+$G91)^(J$100-$H$100)</f>
        <v>87.399019250849065</v>
      </c>
      <c r="K101" s="81">
        <f>$H101*(1+$G91)^(K$100-$H$100)</f>
        <v>81.219240648868919</v>
      </c>
      <c r="L101" s="67"/>
      <c r="M101" s="79">
        <f>(K101-G101)/H101</f>
        <v>-0.21769949455930976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110.78308433796674</v>
      </c>
      <c r="H102" s="54">
        <f t="shared" si="22"/>
        <v>108.58725762596659</v>
      </c>
      <c r="I102" s="81">
        <f t="shared" ref="I102:K107" si="23">$H102*(1+$G92)^(I$100-$H$100)</f>
        <v>101.9614163940476</v>
      </c>
      <c r="J102" s="81">
        <f t="shared" si="23"/>
        <v>95.739874644318505</v>
      </c>
      <c r="K102" s="81">
        <f t="shared" si="23"/>
        <v>89.897962592886572</v>
      </c>
      <c r="L102" s="67"/>
      <c r="M102" s="79">
        <f t="shared" ref="M102:M107" si="24">(K102-G102)/H102</f>
        <v>-0.19233492217862116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51.777558345312215</v>
      </c>
      <c r="H103" s="54">
        <f t="shared" si="22"/>
        <v>50.751277606007875</v>
      </c>
      <c r="I103" s="81">
        <f t="shared" si="23"/>
        <v>48.729021181043805</v>
      </c>
      <c r="J103" s="81">
        <f t="shared" si="23"/>
        <v>46.787344423059864</v>
      </c>
      <c r="K103" s="81">
        <f t="shared" si="23"/>
        <v>44.92303652127535</v>
      </c>
      <c r="L103" s="67"/>
      <c r="M103" s="79">
        <f t="shared" si="24"/>
        <v>-0.13506106934390624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48.946534504727495</v>
      </c>
      <c r="H104" s="54">
        <f t="shared" si="22"/>
        <v>47.976367366236985</v>
      </c>
      <c r="I104" s="81">
        <f t="shared" si="23"/>
        <v>46.064681163852114</v>
      </c>
      <c r="J104" s="81">
        <f t="shared" si="23"/>
        <v>44.229168801568377</v>
      </c>
      <c r="K104" s="81">
        <f t="shared" si="23"/>
        <v>42.466795025007443</v>
      </c>
      <c r="L104" s="67"/>
      <c r="M104" s="79">
        <f t="shared" si="24"/>
        <v>-0.13506106934390621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56.253632545159441</v>
      </c>
      <c r="H105" s="54">
        <f t="shared" si="22"/>
        <v>55.138631733186472</v>
      </c>
      <c r="I105" s="81">
        <f t="shared" si="23"/>
        <v>52.941554978748975</v>
      </c>
      <c r="J105" s="81">
        <f>$H105*(1+$G95)^(J$100-$H$100)</f>
        <v>50.832023854537631</v>
      </c>
      <c r="K105" s="81">
        <f>$H105*(1+$G95)^(K$100-$H$100)</f>
        <v>48.806549981115431</v>
      </c>
      <c r="L105" s="67"/>
      <c r="M105" s="79">
        <f t="shared" si="24"/>
        <v>-0.1350610693439063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56.112197432741212</v>
      </c>
      <c r="H106" s="54">
        <f t="shared" si="22"/>
        <v>55</v>
      </c>
      <c r="I106" s="81">
        <f t="shared" si="23"/>
        <v>49.958245465845245</v>
      </c>
      <c r="J106" s="81">
        <f t="shared" si="23"/>
        <v>45.378659818648131</v>
      </c>
      <c r="K106" s="81">
        <f t="shared" si="23"/>
        <v>41.218876838747484</v>
      </c>
      <c r="L106" s="67"/>
      <c r="M106" s="79">
        <f t="shared" si="24"/>
        <v>-0.27078764716352233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51.746242472374128</v>
      </c>
      <c r="H107" s="54">
        <f t="shared" si="22"/>
        <v>50.720582443629688</v>
      </c>
      <c r="I107" s="81">
        <f t="shared" si="23"/>
        <v>46.071114688899868</v>
      </c>
      <c r="J107" s="81">
        <f t="shared" si="23"/>
        <v>41.847855572966694</v>
      </c>
      <c r="K107" s="81">
        <f t="shared" si="23"/>
        <v>38.011735289700184</v>
      </c>
      <c r="L107" s="67"/>
      <c r="M107" s="79">
        <f t="shared" si="24"/>
        <v>-0.27078764716352238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1165.5153227954543</v>
      </c>
      <c r="H111" s="54">
        <f t="shared" si="25"/>
        <v>1142.413694109687</v>
      </c>
      <c r="I111" s="125">
        <f t="shared" si="25"/>
        <v>636.07220353712444</v>
      </c>
      <c r="J111" s="125">
        <f t="shared" si="25"/>
        <v>490.5253609331948</v>
      </c>
      <c r="K111" s="125">
        <f t="shared" si="25"/>
        <v>322.57046457079133</v>
      </c>
      <c r="L111" s="46"/>
      <c r="M111" s="79">
        <f>(K111-G111)/H111</f>
        <v>-0.73786305483810932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2670.9745620525023</v>
      </c>
      <c r="H112" s="54">
        <f t="shared" si="25"/>
        <v>2618.0332910500142</v>
      </c>
      <c r="I112" s="125">
        <f t="shared" si="25"/>
        <v>1677.3591707812975</v>
      </c>
      <c r="J112" s="125">
        <f t="shared" si="25"/>
        <v>1415.8185567245066</v>
      </c>
      <c r="K112" s="125">
        <f t="shared" si="25"/>
        <v>1107.5200954795846</v>
      </c>
      <c r="L112" s="46"/>
      <c r="M112" s="79">
        <f t="shared" ref="M112:M118" si="26">(K112-G112)/H112</f>
        <v>-0.59718662551684487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133.41191139475751</v>
      </c>
      <c r="H113" s="54">
        <f t="shared" si="25"/>
        <v>130.76755968266849</v>
      </c>
      <c r="I113" s="125">
        <f t="shared" si="25"/>
        <v>106.32375695508124</v>
      </c>
      <c r="J113" s="125">
        <f t="shared" si="25"/>
        <v>96.087446481617221</v>
      </c>
      <c r="K113" s="125">
        <f t="shared" si="25"/>
        <v>64.703793346462206</v>
      </c>
      <c r="L113" s="46"/>
      <c r="M113" s="79">
        <f t="shared" si="26"/>
        <v>-0.52542173467967268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54.050311699646862</v>
      </c>
      <c r="H114" s="54">
        <f t="shared" si="25"/>
        <v>52.978982814634541</v>
      </c>
      <c r="I114" s="125">
        <f t="shared" si="25"/>
        <v>37.523856263613297</v>
      </c>
      <c r="J114" s="125">
        <f t="shared" si="25"/>
        <v>35.12236633902581</v>
      </c>
      <c r="K114" s="125">
        <f t="shared" si="25"/>
        <v>30.583003088886503</v>
      </c>
      <c r="L114" s="46"/>
      <c r="M114" s="79">
        <f t="shared" si="26"/>
        <v>-0.44295506187555406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48.315041500519953</v>
      </c>
      <c r="H115" s="54">
        <f t="shared" si="25"/>
        <v>47.357391157489388</v>
      </c>
      <c r="I115" s="125">
        <f t="shared" si="25"/>
        <v>29.263863127465356</v>
      </c>
      <c r="J115" s="125">
        <f t="shared" si="25"/>
        <v>23.662646481970068</v>
      </c>
      <c r="K115" s="125">
        <f t="shared" si="25"/>
        <v>17.574329166486059</v>
      </c>
      <c r="L115" s="46"/>
      <c r="M115" s="79">
        <f t="shared" si="26"/>
        <v>-0.64912174388585109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901.9081619987943</v>
      </c>
      <c r="H116" s="54">
        <f t="shared" si="25"/>
        <v>884.0314794192933</v>
      </c>
      <c r="I116" s="125">
        <f t="shared" si="25"/>
        <v>487.01688967724851</v>
      </c>
      <c r="J116" s="125">
        <f t="shared" si="25"/>
        <v>334.60940313696051</v>
      </c>
      <c r="K116" s="125">
        <f t="shared" si="25"/>
        <v>192.83157400738813</v>
      </c>
      <c r="L116" s="46"/>
      <c r="M116" s="79">
        <f t="shared" si="26"/>
        <v>-0.80209427435456004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279.36065518926642</v>
      </c>
      <c r="H117" s="54">
        <f t="shared" si="25"/>
        <v>273.82345975358896</v>
      </c>
      <c r="I117" s="125">
        <f t="shared" si="25"/>
        <v>408.03629065917494</v>
      </c>
      <c r="J117" s="125">
        <f t="shared" si="25"/>
        <v>556.97012153349954</v>
      </c>
      <c r="K117" s="125">
        <f t="shared" si="25"/>
        <v>646.64659485465199</v>
      </c>
      <c r="L117" s="46"/>
      <c r="M117" s="79">
        <f t="shared" si="26"/>
        <v>1.3413238587953806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5253.5359666309414</v>
      </c>
      <c r="H118" s="146">
        <f>SUM(H111:H117)</f>
        <v>5149.4058579873763</v>
      </c>
      <c r="I118" s="144">
        <f t="shared" ref="I118:J118" si="27">SUM(I111:I117)</f>
        <v>3381.596031001005</v>
      </c>
      <c r="J118" s="144">
        <f t="shared" si="27"/>
        <v>2952.7959016307746</v>
      </c>
      <c r="K118" s="144">
        <f>SUM(K111:K117)</f>
        <v>2382.4298545142506</v>
      </c>
      <c r="L118" s="21"/>
      <c r="M118" s="79">
        <f t="shared" si="26"/>
        <v>-0.55756065676261346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2334.5306916053091</v>
      </c>
      <c r="H122" s="147">
        <f t="shared" si="28"/>
        <v>2288.258059973457</v>
      </c>
      <c r="I122" s="143">
        <f>I$36*I59*(1-$J$73)*I101/1000</f>
        <v>1792.686520602502</v>
      </c>
      <c r="J122" s="143">
        <f t="shared" ref="J122:K122" si="29">J$36*J59*(1-$J$73)*J101/1000</f>
        <v>1483.7146524684881</v>
      </c>
      <c r="K122" s="143">
        <f t="shared" si="29"/>
        <v>1143.4056229693388</v>
      </c>
      <c r="L122" s="46"/>
      <c r="M122" s="79">
        <f>(K122-G122)/H122</f>
        <v>-0.52053791024329965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5349.9700687357936</v>
      </c>
      <c r="H123" s="147">
        <f t="shared" si="28"/>
        <v>5243.9285439350142</v>
      </c>
      <c r="I123" s="143">
        <f t="shared" ref="I123:K128" si="30">I$36*I60*(1-$J$73)*I102/1000</f>
        <v>4603.8803816907939</v>
      </c>
      <c r="J123" s="143">
        <f t="shared" si="30"/>
        <v>4343.1090506827395</v>
      </c>
      <c r="K123" s="143">
        <f t="shared" si="30"/>
        <v>3902.2197806176841</v>
      </c>
      <c r="L123" s="46"/>
      <c r="M123" s="79">
        <f t="shared" ref="M123:M129" si="31">(K123-G123)/H123</f>
        <v>-0.27608123871034401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267.2244591600699</v>
      </c>
      <c r="H124" s="147">
        <f t="shared" si="28"/>
        <v>261.92781473975936</v>
      </c>
      <c r="I124" s="143">
        <f t="shared" si="30"/>
        <v>216.98158458567431</v>
      </c>
      <c r="J124" s="143">
        <f t="shared" si="30"/>
        <v>191.07617440592387</v>
      </c>
      <c r="K124" s="143">
        <f t="shared" si="30"/>
        <v>158.10678648593878</v>
      </c>
      <c r="L124" s="46"/>
      <c r="M124" s="79">
        <f t="shared" si="31"/>
        <v>-0.41659444523883776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108.262936647641</v>
      </c>
      <c r="H125" s="147">
        <f t="shared" si="28"/>
        <v>106.11706167375748</v>
      </c>
      <c r="I125" s="143">
        <f t="shared" si="30"/>
        <v>100.75959979781933</v>
      </c>
      <c r="J125" s="143">
        <f t="shared" si="30"/>
        <v>102.71047580767323</v>
      </c>
      <c r="K125" s="143">
        <f t="shared" si="30"/>
        <v>99.641357214445691</v>
      </c>
      <c r="L125" s="46"/>
      <c r="M125" s="79">
        <f t="shared" si="31"/>
        <v>-8.1245930646866055E-2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96.775173215756197</v>
      </c>
      <c r="H126" s="147">
        <f t="shared" si="28"/>
        <v>94.856996702839112</v>
      </c>
      <c r="I126" s="143">
        <f t="shared" si="30"/>
        <v>78.57974714930431</v>
      </c>
      <c r="J126" s="143">
        <f t="shared" si="30"/>
        <v>69.198118816140209</v>
      </c>
      <c r="K126" s="143">
        <f t="shared" si="30"/>
        <v>57.25827529731469</v>
      </c>
      <c r="L126" s="46"/>
      <c r="M126" s="79">
        <f t="shared" si="31"/>
        <v>-0.4165944452388376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1806.5247569165042</v>
      </c>
      <c r="H127" s="147">
        <f t="shared" si="28"/>
        <v>1770.7177080260321</v>
      </c>
      <c r="I127" s="143">
        <f t="shared" si="30"/>
        <v>1276.1897823937206</v>
      </c>
      <c r="J127" s="143">
        <f t="shared" si="30"/>
        <v>948.4187654890668</v>
      </c>
      <c r="K127" s="143">
        <f t="shared" si="30"/>
        <v>628.63659445504697</v>
      </c>
      <c r="L127" s="46"/>
      <c r="M127" s="79">
        <f t="shared" si="31"/>
        <v>-0.66520380810702362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559.56023126498701</v>
      </c>
      <c r="H128" s="147">
        <f t="shared" si="28"/>
        <v>548.46921217911063</v>
      </c>
      <c r="I128" s="143">
        <f t="shared" si="30"/>
        <v>892.56681066229612</v>
      </c>
      <c r="J128" s="143">
        <f t="shared" si="30"/>
        <v>1219.7829464110644</v>
      </c>
      <c r="K128" s="143">
        <f t="shared" si="30"/>
        <v>1427.0126642188452</v>
      </c>
      <c r="L128" s="46"/>
      <c r="M128" s="79">
        <f t="shared" si="31"/>
        <v>1.5815881980091508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10522.848317546061</v>
      </c>
      <c r="H129" s="148">
        <f>SUM(H122:H128)</f>
        <v>10314.275397229969</v>
      </c>
      <c r="I129" s="145">
        <f t="shared" ref="I129:K129" si="32">SUM(I122:I128)</f>
        <v>8961.6444268821106</v>
      </c>
      <c r="J129" s="145">
        <f t="shared" si="32"/>
        <v>8358.0101840810948</v>
      </c>
      <c r="K129" s="145">
        <f t="shared" si="32"/>
        <v>7416.281081258614</v>
      </c>
      <c r="L129" s="21"/>
      <c r="M129" s="79">
        <f t="shared" si="31"/>
        <v>-0.30119103055186552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3430.6717540831442</v>
      </c>
      <c r="I133" s="143">
        <f t="shared" ref="I133:K133" si="33">I111+I122</f>
        <v>2428.7587241396263</v>
      </c>
      <c r="J133" s="143">
        <f t="shared" si="33"/>
        <v>1974.240013401683</v>
      </c>
      <c r="K133" s="143">
        <f t="shared" si="33"/>
        <v>1465.97608754013</v>
      </c>
      <c r="L133" s="46"/>
      <c r="M133" s="79">
        <f>(K133-G133)/H133</f>
        <v>0.42731458811101442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7861.961834985028</v>
      </c>
      <c r="I134" s="143">
        <f t="shared" si="34"/>
        <v>6281.2395524720914</v>
      </c>
      <c r="J134" s="143">
        <f t="shared" si="34"/>
        <v>5758.9276074072459</v>
      </c>
      <c r="K134" s="143">
        <f t="shared" si="34"/>
        <v>5009.7398760972683</v>
      </c>
      <c r="L134" s="46"/>
      <c r="M134" s="79">
        <f t="shared" ref="M134:M140" si="35">(K134-G134)/H134</f>
        <v>0.63721243898747681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392.69537442242785</v>
      </c>
      <c r="I135" s="143">
        <f t="shared" si="34"/>
        <v>323.30534154075553</v>
      </c>
      <c r="J135" s="143">
        <f t="shared" si="34"/>
        <v>287.16362088754107</v>
      </c>
      <c r="K135" s="143">
        <f t="shared" si="34"/>
        <v>222.810579832401</v>
      </c>
      <c r="L135" s="46"/>
      <c r="M135" s="79">
        <f t="shared" si="35"/>
        <v>0.56738783888175004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159.09604448839201</v>
      </c>
      <c r="I136" s="143">
        <f t="shared" si="34"/>
        <v>138.28345606143262</v>
      </c>
      <c r="J136" s="143">
        <f t="shared" si="34"/>
        <v>137.83284214669905</v>
      </c>
      <c r="K136" s="143">
        <f t="shared" si="34"/>
        <v>130.22436030333219</v>
      </c>
      <c r="L136" s="46"/>
      <c r="M136" s="79">
        <f t="shared" si="35"/>
        <v>0.81852670015836648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142.21438786032849</v>
      </c>
      <c r="I137" s="143">
        <f t="shared" si="34"/>
        <v>107.84361027676967</v>
      </c>
      <c r="J137" s="143">
        <f t="shared" si="34"/>
        <v>92.86076529811028</v>
      </c>
      <c r="K137" s="143">
        <f t="shared" si="34"/>
        <v>74.832604463800749</v>
      </c>
      <c r="L137" s="46"/>
      <c r="M137" s="79">
        <f t="shared" si="35"/>
        <v>0.52619573581609269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2654.7491874453253</v>
      </c>
      <c r="I138" s="143">
        <f t="shared" si="34"/>
        <v>1763.206672070969</v>
      </c>
      <c r="J138" s="143">
        <f t="shared" si="34"/>
        <v>1283.0281686260273</v>
      </c>
      <c r="K138" s="143">
        <f t="shared" si="34"/>
        <v>821.46816846243507</v>
      </c>
      <c r="L138" s="46"/>
      <c r="M138" s="79">
        <f t="shared" si="35"/>
        <v>0.30943343813693258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822.29267193269959</v>
      </c>
      <c r="I139" s="143">
        <f t="shared" si="34"/>
        <v>1300.6031013214711</v>
      </c>
      <c r="J139" s="143">
        <f t="shared" si="34"/>
        <v>1776.753067944564</v>
      </c>
      <c r="K139" s="143">
        <f t="shared" si="34"/>
        <v>2073.6592590734972</v>
      </c>
      <c r="L139" s="46"/>
      <c r="M139" s="79">
        <f t="shared" si="35"/>
        <v>2.5218019445553512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15463.681255217345</v>
      </c>
      <c r="I140" s="145">
        <f t="shared" ref="I140:K140" si="36">SUM(I133:I139)</f>
        <v>12343.240457883116</v>
      </c>
      <c r="J140" s="145">
        <f t="shared" si="36"/>
        <v>11310.806085711871</v>
      </c>
      <c r="K140" s="145">
        <f t="shared" si="36"/>
        <v>9798.7109357728641</v>
      </c>
      <c r="L140" s="21"/>
      <c r="M140" s="79">
        <f t="shared" si="35"/>
        <v>0.633659655424341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énergie'!C21</f>
        <v>4.1021151124009851E-5</v>
      </c>
      <c r="I146" s="47">
        <f>H146</f>
        <v>4.1021151124009851E-5</v>
      </c>
      <c r="J146" s="47">
        <f>I146</f>
        <v>4.1021151124009851E-5</v>
      </c>
      <c r="K146" s="47">
        <f>J146</f>
        <v>4.1021151124009851E-5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énergie'!C22</f>
        <v>0.24387457929202933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énergie'!C23</f>
        <v>3.8798739172946649E-2</v>
      </c>
      <c r="I148" s="47">
        <f t="shared" ref="I148:K148" si="37">H148</f>
        <v>3.8798739172946649E-2</v>
      </c>
      <c r="J148" s="47">
        <f t="shared" si="37"/>
        <v>3.8798739172946649E-2</v>
      </c>
      <c r="K148" s="47">
        <f t="shared" si="37"/>
        <v>3.8798739172946649E-2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énergie'!C24</f>
        <v>1.4755157309534661E-2</v>
      </c>
      <c r="I149" s="47">
        <v>0</v>
      </c>
      <c r="J149" s="47">
        <v>0</v>
      </c>
      <c r="K149" s="47">
        <f t="shared" ref="K149" si="38">J149</f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énergie'!C25</f>
        <v>1.1548604741342878E-2</v>
      </c>
      <c r="I150" s="47">
        <f t="shared" ref="I150:K150" si="39">H150</f>
        <v>1.1548604741342878E-2</v>
      </c>
      <c r="J150" s="47">
        <f t="shared" si="39"/>
        <v>1.1548604741342878E-2</v>
      </c>
      <c r="K150" s="47">
        <f t="shared" si="39"/>
        <v>1.1548604741342878E-2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énergie'!C26</f>
        <v>0.37540666329243721</v>
      </c>
      <c r="I151" s="47">
        <f t="shared" ref="I151" si="40">H151</f>
        <v>0.37540666329243721</v>
      </c>
      <c r="J151" s="47">
        <v>0.38</v>
      </c>
      <c r="K151" s="47">
        <v>0.38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énergie'!C27</f>
        <v>0.31557523504058516</v>
      </c>
      <c r="I152" s="47">
        <v>0.56999999999999995</v>
      </c>
      <c r="J152" s="47">
        <v>0.56999999999999995</v>
      </c>
      <c r="K152" s="47">
        <v>0.56999999999999995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0.99999999999999989</v>
      </c>
      <c r="I153" s="15">
        <f t="shared" ref="I153:K153" si="41">SUM(I146:I152)</f>
        <v>0.99579502835785072</v>
      </c>
      <c r="J153" s="15">
        <f t="shared" si="41"/>
        <v>1.0003883650654135</v>
      </c>
      <c r="K153" s="15">
        <f t="shared" si="41"/>
        <v>1.0003883650654135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55.073927343612745</v>
      </c>
      <c r="J157" s="45">
        <f>K157</f>
        <v>55.073927343612745</v>
      </c>
      <c r="K157" s="45">
        <f t="shared" ref="K157:K163" si="42">K81</f>
        <v>55.073927343612745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3">J158</f>
        <v>59.091237389783977</v>
      </c>
      <c r="J158" s="45">
        <f t="shared" si="43"/>
        <v>59.091237389783977</v>
      </c>
      <c r="K158" s="45">
        <f t="shared" si="42"/>
        <v>59.091237389783977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3"/>
        <v>27.617934722888659</v>
      </c>
      <c r="J159" s="45">
        <f t="shared" si="43"/>
        <v>27.617934722888659</v>
      </c>
      <c r="K159" s="45">
        <f t="shared" si="42"/>
        <v>27.617934722888659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3"/>
        <v>26.107878356252566</v>
      </c>
      <c r="J160" s="45">
        <f t="shared" si="43"/>
        <v>26.107878356252566</v>
      </c>
      <c r="K160" s="45">
        <f t="shared" si="42"/>
        <v>26.107878356252566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3"/>
        <v>30.00545412350904</v>
      </c>
      <c r="J161" s="45">
        <f t="shared" si="43"/>
        <v>30.00545412350904</v>
      </c>
      <c r="K161" s="45">
        <f t="shared" si="42"/>
        <v>30.00545412350904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3"/>
        <v>29.930013221559971</v>
      </c>
      <c r="J162" s="45">
        <f t="shared" si="43"/>
        <v>29.930013221559971</v>
      </c>
      <c r="K162" s="45">
        <f t="shared" si="42"/>
        <v>29.930013221559971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3"/>
        <v>27.601230966237438</v>
      </c>
      <c r="J163" s="45">
        <f t="shared" si="43"/>
        <v>27.601230966237438</v>
      </c>
      <c r="K163" s="45">
        <f t="shared" si="42"/>
        <v>27.601230966237438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4">I$35*I146*I157/1000</f>
        <v>2.9740802797014201E-2</v>
      </c>
      <c r="J167" s="10">
        <f t="shared" si="44"/>
        <v>2.0263942361976043E-2</v>
      </c>
      <c r="K167" s="10">
        <f t="shared" si="44"/>
        <v>1.98177809495097E-2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5">H$35*H147*H158/1000</f>
        <v>0</v>
      </c>
      <c r="I168" s="10">
        <f t="shared" si="45"/>
        <v>0</v>
      </c>
      <c r="J168" s="10">
        <f t="shared" si="45"/>
        <v>0</v>
      </c>
      <c r="K168" s="10">
        <f t="shared" si="45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5"/>
        <v>0</v>
      </c>
      <c r="I169" s="10">
        <f t="shared" si="45"/>
        <v>14.106121111896975</v>
      </c>
      <c r="J169" s="10">
        <f t="shared" si="45"/>
        <v>9.6112276159280725</v>
      </c>
      <c r="K169" s="10">
        <f t="shared" si="45"/>
        <v>9.3996123827193312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5"/>
        <v>0</v>
      </c>
      <c r="I170" s="10">
        <f t="shared" si="45"/>
        <v>0</v>
      </c>
      <c r="J170" s="10">
        <f t="shared" si="45"/>
        <v>0</v>
      </c>
      <c r="K170" s="10">
        <f t="shared" si="45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5"/>
        <v>0</v>
      </c>
      <c r="I171" s="10">
        <f t="shared" si="45"/>
        <v>4.561718884499296</v>
      </c>
      <c r="J171" s="10">
        <f t="shared" si="45"/>
        <v>3.1081342752560688</v>
      </c>
      <c r="K171" s="10">
        <f t="shared" si="45"/>
        <v>3.0397009194158247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5"/>
        <v>0</v>
      </c>
      <c r="I172" s="10">
        <f t="shared" si="45"/>
        <v>147.91345526474015</v>
      </c>
      <c r="J172" s="10">
        <f t="shared" si="45"/>
        <v>102.01418310872575</v>
      </c>
      <c r="K172" s="10">
        <f t="shared" si="45"/>
        <v>99.768085522463608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5"/>
        <v>0</v>
      </c>
      <c r="I173" s="10">
        <f t="shared" si="45"/>
        <v>207.11049359325327</v>
      </c>
      <c r="J173" s="10">
        <f t="shared" si="45"/>
        <v>141.11505776688159</v>
      </c>
      <c r="K173" s="10">
        <f t="shared" si="45"/>
        <v>138.00805655414214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6">SUM(I167:I173)</f>
        <v>373.72152965718669</v>
      </c>
      <c r="J174" s="11">
        <f t="shared" si="46"/>
        <v>255.86886670915345</v>
      </c>
      <c r="K174" s="11">
        <f t="shared" si="46"/>
        <v>250.23527315969042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33898.254718247037</v>
      </c>
      <c r="I179" s="10">
        <f t="shared" ref="I179:K179" si="47">I$36*($J$73*I45+(1-$J$73)*I59)+I$35*I146</f>
        <v>27837.021967408786</v>
      </c>
      <c r="J179" s="10">
        <f t="shared" si="47"/>
        <v>24652.568325065142</v>
      </c>
      <c r="K179" s="10">
        <f t="shared" si="47"/>
        <v>19935.418924459831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8">H$36*($J$73*H46+(1-$J$73)*H60)+H$35*H147</f>
        <v>72402.250566690695</v>
      </c>
      <c r="I180" s="10">
        <f t="shared" si="48"/>
        <v>66720.863773588178</v>
      </c>
      <c r="J180" s="10">
        <f t="shared" si="48"/>
        <v>66012.527424337139</v>
      </c>
      <c r="K180" s="10">
        <f t="shared" si="48"/>
        <v>62149.754081780819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8"/>
        <v>7737.6450987303042</v>
      </c>
      <c r="I181" s="10">
        <f t="shared" si="48"/>
        <v>7888.6750892399095</v>
      </c>
      <c r="J181" s="10">
        <f t="shared" si="48"/>
        <v>7430.321956057328</v>
      </c>
      <c r="K181" s="10">
        <f t="shared" si="48"/>
        <v>6202.6660114884671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8"/>
        <v>3316.1336137415578</v>
      </c>
      <c r="I182" s="10">
        <f t="shared" si="48"/>
        <v>3279.3859405107628</v>
      </c>
      <c r="J182" s="10">
        <f t="shared" si="48"/>
        <v>3481.6100669378502</v>
      </c>
      <c r="K182" s="10">
        <f t="shared" si="48"/>
        <v>3517.7446770499969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8"/>
        <v>2579.2150329101014</v>
      </c>
      <c r="I183" s="10">
        <f t="shared" si="48"/>
        <v>2377.327259021964</v>
      </c>
      <c r="J183" s="10">
        <f t="shared" si="48"/>
        <v>2144.529475888291</v>
      </c>
      <c r="K183" s="10">
        <f t="shared" si="48"/>
        <v>1860.1772848492149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8"/>
        <v>48268.167044460461</v>
      </c>
      <c r="I184" s="10">
        <f t="shared" si="48"/>
        <v>42850.507874937277</v>
      </c>
      <c r="J184" s="10">
        <f t="shared" si="48"/>
        <v>33943.345100310602</v>
      </c>
      <c r="K184" s="10">
        <f t="shared" si="48"/>
        <v>25027.310689989099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8"/>
        <v>16212.208778292063</v>
      </c>
      <c r="I185" s="10">
        <f t="shared" si="48"/>
        <v>38109.709224820108</v>
      </c>
      <c r="J185" s="10">
        <f t="shared" si="48"/>
        <v>51651.318151863488</v>
      </c>
      <c r="K185" s="10">
        <f t="shared" si="48"/>
        <v>65969.619642563222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184290.99367971858</v>
      </c>
      <c r="I186" s="10">
        <f t="shared" si="48"/>
        <v>189063.49112952701</v>
      </c>
      <c r="J186" s="10">
        <f t="shared" si="48"/>
        <v>189316.22050045987</v>
      </c>
      <c r="K186" s="10">
        <f t="shared" si="48"/>
        <v>184662.69131218063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  <pageSetUpPr fitToPage="1"/>
  </sheetPr>
  <dimension ref="A1:GB1593"/>
  <sheetViews>
    <sheetView showGridLines="0" topLeftCell="A49" zoomScaleNormal="100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167106.71056882737</v>
      </c>
      <c r="I7" s="10">
        <f t="shared" si="0"/>
        <v>169584.88458817467</v>
      </c>
      <c r="J7" s="10">
        <f t="shared" si="0"/>
        <v>168013.17910700393</v>
      </c>
      <c r="K7" s="10">
        <f t="shared" si="0"/>
        <v>162344.01055748833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5840.7077315636325</v>
      </c>
      <c r="J8" s="76">
        <f t="shared" si="0"/>
        <v>3412.3997149425531</v>
      </c>
      <c r="K8" s="76">
        <f t="shared" si="0"/>
        <v>3380.7737398508161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167106.71056882737</v>
      </c>
      <c r="I9" s="96">
        <f t="shared" si="1"/>
        <v>163744.17685661104</v>
      </c>
      <c r="J9" s="96">
        <f t="shared" si="1"/>
        <v>164600.77939206138</v>
      </c>
      <c r="K9" s="96">
        <f t="shared" si="1"/>
        <v>158963.23681763752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3584.8950181469531</v>
      </c>
      <c r="I13" s="86">
        <f t="shared" ref="I13:K13" si="2">I133+I167</f>
        <v>2621.0024511193214</v>
      </c>
      <c r="J13" s="86">
        <f t="shared" si="2"/>
        <v>2142.0010754873538</v>
      </c>
      <c r="K13" s="86">
        <f t="shared" si="2"/>
        <v>1647.060983091475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8977.6735587367912</v>
      </c>
      <c r="I14" s="86">
        <f t="shared" si="3"/>
        <v>7154.8500271063485</v>
      </c>
      <c r="J14" s="86">
        <f t="shared" si="3"/>
        <v>6440.7192842036065</v>
      </c>
      <c r="K14" s="86">
        <f t="shared" si="3"/>
        <v>5525.3840456897397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1357.2566620782518</v>
      </c>
      <c r="I15" s="86">
        <f t="shared" si="3"/>
        <v>1185.3944053846992</v>
      </c>
      <c r="J15" s="86">
        <f t="shared" si="3"/>
        <v>1130.7378373976298</v>
      </c>
      <c r="K15" s="86">
        <f t="shared" si="3"/>
        <v>1028.2411657281039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214.36380852936156</v>
      </c>
      <c r="I16" s="86">
        <f t="shared" si="3"/>
        <v>162.61007072082072</v>
      </c>
      <c r="J16" s="86">
        <f t="shared" si="3"/>
        <v>138.44190193232413</v>
      </c>
      <c r="K16" s="86">
        <f t="shared" si="3"/>
        <v>111.46831169268646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141.75559832606967</v>
      </c>
      <c r="I17" s="86">
        <f t="shared" si="3"/>
        <v>123.32235997060111</v>
      </c>
      <c r="J17" s="86">
        <f t="shared" si="3"/>
        <v>117.67889624412855</v>
      </c>
      <c r="K17" s="86">
        <f t="shared" si="3"/>
        <v>107.92926434487674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751.98019755972314</v>
      </c>
      <c r="I18" s="86">
        <f t="shared" si="3"/>
        <v>499.37700624588848</v>
      </c>
      <c r="J18" s="86">
        <f t="shared" si="3"/>
        <v>357.7772061880828</v>
      </c>
      <c r="K18" s="86">
        <f t="shared" si="3"/>
        <v>232.48270311692912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116.24970775877307</v>
      </c>
      <c r="I19" s="86">
        <f t="shared" si="3"/>
        <v>522.61095410894018</v>
      </c>
      <c r="J19" s="86">
        <f t="shared" si="3"/>
        <v>682.65367746240827</v>
      </c>
      <c r="K19" s="86">
        <f t="shared" si="3"/>
        <v>809.31798126661795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15144.174551135924</v>
      </c>
      <c r="I20" s="13">
        <f t="shared" ref="I20:K20" si="4">SUM(I13:I19)</f>
        <v>12269.16727465662</v>
      </c>
      <c r="J20" s="13">
        <f t="shared" si="4"/>
        <v>11010.009878915535</v>
      </c>
      <c r="K20" s="13">
        <f t="shared" si="4"/>
        <v>9461.8844549304304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-0.33858240041958787</v>
      </c>
      <c r="J23" s="177">
        <f t="shared" ref="J23:K23" si="5">J118/$G118-1</f>
        <v>-0.43362269637009554</v>
      </c>
      <c r="K23" s="177">
        <f t="shared" si="5"/>
        <v>-0.54814778394385288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-0.11438489935694496</v>
      </c>
      <c r="J24" s="177">
        <f t="shared" ref="J24:K24" si="6">J129/$G129-1</f>
        <v>-0.17615584308143106</v>
      </c>
      <c r="K24" s="177">
        <f t="shared" si="6"/>
        <v>-0.26420090247702011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167106.71056882737</v>
      </c>
      <c r="H34" s="125">
        <f>'Init. parc'!C7</f>
        <v>167106.71056882737</v>
      </c>
      <c r="I34" s="125">
        <f>'Init. parc'!D7</f>
        <v>169584.88458817467</v>
      </c>
      <c r="J34" s="125">
        <f>'Init. parc'!E7</f>
        <v>168013.17910700393</v>
      </c>
      <c r="K34" s="125">
        <f>'Init. parc'!F7</f>
        <v>162344.01055748833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parc'!N7</f>
        <v>5840.7077315636325</v>
      </c>
      <c r="J35" s="125">
        <f>'Init. parc'!O7</f>
        <v>3412.3997149425531</v>
      </c>
      <c r="K35" s="125">
        <f>'Init. parc'!P7</f>
        <v>3380.7737398508161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167106.71056882737</v>
      </c>
      <c r="H36" s="125">
        <f>H34-H35</f>
        <v>167106.71056882737</v>
      </c>
      <c r="I36" s="125">
        <f>I34-I35</f>
        <v>163744.17685661104</v>
      </c>
      <c r="J36" s="125">
        <f>J34-J35</f>
        <v>164600.77939206138</v>
      </c>
      <c r="K36" s="125">
        <f>K34-K35</f>
        <v>158963.23681763752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0.20200000000000001</v>
      </c>
      <c r="H45" s="55">
        <f>'Init. énergie'!B30</f>
        <v>0.20200000000000001</v>
      </c>
      <c r="I45" s="47">
        <f>H45+((K45-H45)/3)</f>
        <v>0.18133333333333335</v>
      </c>
      <c r="J45" s="47">
        <f>H45+((K45-H45)/3*2)</f>
        <v>0.16066666666666668</v>
      </c>
      <c r="K45" s="47">
        <v>0.14000000000000001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0.58799999999999997</v>
      </c>
      <c r="H46" s="55">
        <f>'Init. énergie'!B31</f>
        <v>0.58799999999999997</v>
      </c>
      <c r="I46" s="47">
        <f t="shared" ref="I46:I51" si="8">H46+((K46-H46)/3)</f>
        <v>0.57199999999999995</v>
      </c>
      <c r="J46" s="47">
        <f t="shared" ref="J46:J51" si="9">H46+((K46-H46)/3*2)</f>
        <v>0.55600000000000005</v>
      </c>
      <c r="K46" s="47">
        <v>0.54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8.4000000000000005E-2</v>
      </c>
      <c r="H47" s="55">
        <f>'Init. énergie'!B32</f>
        <v>8.4000000000000005E-2</v>
      </c>
      <c r="I47" s="47">
        <v>0.1</v>
      </c>
      <c r="J47" s="47">
        <v>0.11</v>
      </c>
      <c r="K47" s="47">
        <v>0.12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1.2999999999999999E-2</v>
      </c>
      <c r="H48" s="55">
        <f>'Init. énergie'!B33</f>
        <v>1.2999999999999999E-2</v>
      </c>
      <c r="I48" s="47">
        <f t="shared" si="8"/>
        <v>1.2E-2</v>
      </c>
      <c r="J48" s="47">
        <f t="shared" si="9"/>
        <v>1.0999999999999999E-2</v>
      </c>
      <c r="K48" s="47">
        <v>0.01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8.9999999999999993E-3</v>
      </c>
      <c r="H49" s="55">
        <f>'Init. énergie'!B34</f>
        <v>8.9999999999999993E-3</v>
      </c>
      <c r="I49" s="47">
        <f t="shared" si="8"/>
        <v>9.3333333333333324E-3</v>
      </c>
      <c r="J49" s="47">
        <f t="shared" si="9"/>
        <v>9.6666666666666672E-3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0.09</v>
      </c>
      <c r="H50" s="55">
        <f>'Init. énergie'!B35</f>
        <v>0.09</v>
      </c>
      <c r="I50" s="47">
        <f t="shared" si="8"/>
        <v>6.6666666666666638E-2</v>
      </c>
      <c r="J50" s="47">
        <f t="shared" si="9"/>
        <v>4.3333333333333286E-2</v>
      </c>
      <c r="K50" s="47">
        <f>1-K45-K46-K47-K48-K49-K51</f>
        <v>1.9999999999999934E-2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1.2999999999999999E-2</v>
      </c>
      <c r="H51" s="55">
        <f>'Init. énergie'!B36</f>
        <v>1.2999999999999999E-2</v>
      </c>
      <c r="I51" s="47">
        <f t="shared" si="8"/>
        <v>6.1999999999999993E-2</v>
      </c>
      <c r="J51" s="47">
        <f t="shared" si="9"/>
        <v>0.11099999999999999</v>
      </c>
      <c r="K51" s="123">
        <v>0.16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0.999</v>
      </c>
      <c r="H52" s="149">
        <f t="shared" si="10"/>
        <v>0.999</v>
      </c>
      <c r="I52" s="155">
        <f t="shared" si="10"/>
        <v>1.0033333333333332</v>
      </c>
      <c r="J52" s="155">
        <f t="shared" si="10"/>
        <v>1.0016666666666669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-7.9609466703225266E-3</v>
      </c>
      <c r="J55" s="142">
        <f>(I$81*(J45-I45)+I$82*(J46-I46)+I$83*(J47-I47)+I$84*(J48-I48)+I$85*(J49-I49)+I$86*(J50-I50)+I$87*(J51-I51))/(I$81*I45+I$82*I46+I$83*I47+I$84*I48+I$85*I49+I$86*I50+I$87*I51)</f>
        <v>-1.4477800806481029E-2</v>
      </c>
      <c r="K55" s="142">
        <f>(J$81*(K45-J45)+J$82*(K46-J46)+J$83*(K47-J47)+J$84*(K48-J48)+J$85*(K49-J49)+J$86*(K50-J50)+J$87*(K51-J51))/(J$81*J45+J$82*J46+J$83*J47+J$84*J48+J$85*J49+J$86*J50+J$87*J51)</f>
        <v>-1.4690486747359659E-2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0.20200000000000001</v>
      </c>
      <c r="H59" s="55">
        <f>H45</f>
        <v>0.20200000000000001</v>
      </c>
      <c r="I59" s="47">
        <f>H59+((K59-H59)/3)</f>
        <v>0.18466666666666667</v>
      </c>
      <c r="J59" s="47">
        <f>H59+((K59-H59)/3*2)</f>
        <v>0.16733333333333333</v>
      </c>
      <c r="K59" s="47">
        <v>0.15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0.58799999999999997</v>
      </c>
      <c r="H60" s="55">
        <f t="shared" ref="H60:H65" si="12">H46</f>
        <v>0.58799999999999997</v>
      </c>
      <c r="I60" s="47">
        <f t="shared" ref="I60:I65" si="13">H60+((K60-H60)/3)</f>
        <v>0.58199999999999996</v>
      </c>
      <c r="J60" s="47">
        <f t="shared" ref="J60:J65" si="14">H60+((K60-H60)/3*2)</f>
        <v>0.57599999999999996</v>
      </c>
      <c r="K60" s="47">
        <v>0.56999999999999995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8.4000000000000005E-2</v>
      </c>
      <c r="H61" s="55">
        <f t="shared" si="12"/>
        <v>8.4000000000000005E-2</v>
      </c>
      <c r="I61" s="47">
        <v>0.08</v>
      </c>
      <c r="J61" s="47">
        <v>0.08</v>
      </c>
      <c r="K61" s="47">
        <v>0.08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1.2999999999999999E-2</v>
      </c>
      <c r="H62" s="55">
        <f t="shared" si="12"/>
        <v>1.2999999999999999E-2</v>
      </c>
      <c r="I62" s="47">
        <f t="shared" si="13"/>
        <v>1.2E-2</v>
      </c>
      <c r="J62" s="47">
        <f t="shared" si="14"/>
        <v>1.0999999999999999E-2</v>
      </c>
      <c r="K62" s="47">
        <v>0.01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8.9999999999999993E-3</v>
      </c>
      <c r="H63" s="55">
        <f t="shared" si="12"/>
        <v>8.9999999999999993E-3</v>
      </c>
      <c r="I63" s="47">
        <f t="shared" si="13"/>
        <v>9.3333333333333324E-3</v>
      </c>
      <c r="J63" s="47">
        <f t="shared" si="14"/>
        <v>9.6666666666666672E-3</v>
      </c>
      <c r="K63" s="47">
        <v>0.01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0.09</v>
      </c>
      <c r="H64" s="55">
        <f t="shared" si="12"/>
        <v>0.09</v>
      </c>
      <c r="I64" s="47">
        <f t="shared" si="13"/>
        <v>0.08</v>
      </c>
      <c r="J64" s="47">
        <f t="shared" si="14"/>
        <v>6.9999999999999993E-2</v>
      </c>
      <c r="K64" s="47">
        <f>1-K59-K60-K61-K62-K63-K65</f>
        <v>0.06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1.2999999999999999E-2</v>
      </c>
      <c r="H65" s="55">
        <f t="shared" si="12"/>
        <v>1.2999999999999999E-2</v>
      </c>
      <c r="I65" s="47">
        <f t="shared" si="13"/>
        <v>4.8666666666666664E-2</v>
      </c>
      <c r="J65" s="47">
        <f t="shared" si="14"/>
        <v>8.433333333333333E-2</v>
      </c>
      <c r="K65" s="123">
        <v>0.12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0.999</v>
      </c>
      <c r="H66" s="149">
        <v>1</v>
      </c>
      <c r="I66" s="47">
        <f t="shared" ref="I66:J66" si="16">SUM(I59:I65)</f>
        <v>0.99666666666666648</v>
      </c>
      <c r="J66" s="47">
        <f t="shared" si="16"/>
        <v>0.99833333333333329</v>
      </c>
      <c r="K66" s="47">
        <f>SUM(K59:K65)</f>
        <v>0.99999999999999989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-1.5828271292054278E-2</v>
      </c>
      <c r="J69" s="142">
        <f>(I$101*(J59-I59)+I$102*(J60-I60)+I$103*(J61-I61)+I$104*(J62-I62)+I$105*(J63-I63)+I$106*(J64-I64)+I$107*(J65-I65))/(I$101*I59+I$102*I60+I$103*I61+I$104*I62+I$105*I63+I$106*I64+I$107*I65)</f>
        <v>-1.2092719173913928E-2</v>
      </c>
      <c r="K69" s="142">
        <f>(J$101*(K59-J59)+J$102*(K60-J60)+J$103*(K61-J61)+J$104*(K62-J62)+J$105*(K63-J63)+J$106*(K64-J64)+J$107*(K65-J65))/(J$101*J59+J$102*J60+J$103*J61+J$104*J62+J$105*J63+J$106*J64+J$107*J65)</f>
        <v>-1.2580528816145379E-2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bord'!H12</f>
        <v>0.92</v>
      </c>
      <c r="I73" s="92">
        <f>'Tableau de bord'!H24</f>
        <v>0.49649999999999994</v>
      </c>
      <c r="J73" s="92">
        <f>'Tableau de bord'!H27</f>
        <v>0.45677999999999996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61.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108.34921505852287</v>
      </c>
      <c r="H81" s="54">
        <f>'Init. énergie'!D30</f>
        <v>106.20162996399759</v>
      </c>
      <c r="I81" s="81">
        <f>G81*(1-H$77)/(1+I$55)</f>
        <v>73.722622026855078</v>
      </c>
      <c r="J81" s="81">
        <f>G81*(1-I$77)/(1+I$55)/(1+J$55)</f>
        <v>63.723325713355081</v>
      </c>
      <c r="K81" s="81">
        <f>G81*(1-J$77)/(1+I$55)/(1+J$55)/(1+K$55)</f>
        <v>53.425860087571742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93.215295454480156</v>
      </c>
      <c r="H82" s="54">
        <f>'Init. énergie'!D31</f>
        <v>91.367679124341691</v>
      </c>
      <c r="I82" s="81">
        <f t="shared" ref="I82:I87" si="18">G82*(1-H$77)/(1+I$55)</f>
        <v>63.425249460279296</v>
      </c>
      <c r="J82" s="81">
        <f t="shared" ref="J82:J87" si="19">G82*(1-I$77)/(1+I$55)/(1+J$55)</f>
        <v>54.822627284416306</v>
      </c>
      <c r="K82" s="81">
        <f t="shared" ref="K82:K87" si="20">G82*(1-J$77)/(1+I$55)/(1+J$55)/(1+K$55)</f>
        <v>45.96348326365635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98.646888812351946</v>
      </c>
      <c r="H83" s="54">
        <f>'Init. énergie'!D32</f>
        <v>96.691613105737261</v>
      </c>
      <c r="I83" s="81">
        <f t="shared" si="18"/>
        <v>67.120996622911463</v>
      </c>
      <c r="J83" s="81">
        <f t="shared" si="19"/>
        <v>58.017105366229906</v>
      </c>
      <c r="K83" s="81">
        <f t="shared" si="20"/>
        <v>48.641744907116376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100.67202601803508</v>
      </c>
      <c r="H84" s="54">
        <f>'Init. énergie'!D33</f>
        <v>98.676610154660196</v>
      </c>
      <c r="I84" s="81">
        <f t="shared" si="18"/>
        <v>68.498933922101486</v>
      </c>
      <c r="J84" s="81">
        <f t="shared" si="19"/>
        <v>59.208147476708305</v>
      </c>
      <c r="K84" s="81">
        <f t="shared" si="20"/>
        <v>49.640318795727595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96.16087505642119</v>
      </c>
      <c r="H85" s="54">
        <f>'Init. énergie'!D34</f>
        <v>94.25487452068927</v>
      </c>
      <c r="I85" s="81">
        <f t="shared" si="18"/>
        <v>65.42947119392656</v>
      </c>
      <c r="J85" s="81">
        <f t="shared" si="19"/>
        <v>56.555008347700607</v>
      </c>
      <c r="K85" s="81">
        <f t="shared" si="20"/>
        <v>47.415917631594382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51.011088575219283</v>
      </c>
      <c r="H86" s="54">
        <f>'Init. énergie'!D35</f>
        <v>50</v>
      </c>
      <c r="I86" s="81">
        <f t="shared" si="18"/>
        <v>34.708799691608817</v>
      </c>
      <c r="J86" s="81">
        <f t="shared" si="19"/>
        <v>30.001105319644022</v>
      </c>
      <c r="K86" s="81">
        <f t="shared" si="20"/>
        <v>25.153032070074222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54.594540395456711</v>
      </c>
      <c r="H87" s="54">
        <f>'Init. énergie'!D36</f>
        <v>53.512424377058124</v>
      </c>
      <c r="I87" s="81">
        <f t="shared" si="18"/>
        <v>37.147040374313512</v>
      </c>
      <c r="J87" s="81">
        <f t="shared" si="19"/>
        <v>32.108637592912139</v>
      </c>
      <c r="K87" s="81">
        <f t="shared" si="20"/>
        <v>26.919994530071296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108.34921505852287</v>
      </c>
      <c r="H101" s="54">
        <f>H81</f>
        <v>106.20162996399759</v>
      </c>
      <c r="I101" s="81">
        <f>$H101*(1+$G91)^(I$100-$H$100)</f>
        <v>98.692363086949072</v>
      </c>
      <c r="J101" s="81">
        <f>$H101*(1+$G91)^(J$100-$H$100)</f>
        <v>91.714058767159372</v>
      </c>
      <c r="K101" s="81">
        <f>$H101*(1+$G91)^(K$100-$H$100)</f>
        <v>85.229173893985745</v>
      </c>
      <c r="L101" s="67"/>
      <c r="M101" s="79">
        <f>(K101-G101)/H101</f>
        <v>-0.21769949455930981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93.215295454480156</v>
      </c>
      <c r="H102" s="54">
        <f t="shared" si="22"/>
        <v>91.367679124341691</v>
      </c>
      <c r="I102" s="81">
        <f t="shared" ref="I102:K107" si="23">$H102*(1+$G92)^(I$100-$H$100)</f>
        <v>85.792552273895851</v>
      </c>
      <c r="J102" s="81">
        <f t="shared" si="23"/>
        <v>80.557611796754543</v>
      </c>
      <c r="K102" s="81">
        <f t="shared" si="23"/>
        <v>75.642100000458669</v>
      </c>
      <c r="L102" s="67"/>
      <c r="M102" s="79">
        <f t="shared" ref="M102:M107" si="24">(K102-G102)/H102</f>
        <v>-0.19233492217862114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98.646888812351946</v>
      </c>
      <c r="H103" s="54">
        <f t="shared" si="22"/>
        <v>96.691613105737261</v>
      </c>
      <c r="I103" s="81">
        <f t="shared" si="23"/>
        <v>92.838799047316982</v>
      </c>
      <c r="J103" s="81">
        <f t="shared" si="23"/>
        <v>89.1395058134229</v>
      </c>
      <c r="K103" s="81">
        <f t="shared" si="23"/>
        <v>85.58761614970382</v>
      </c>
      <c r="L103" s="67"/>
      <c r="M103" s="79">
        <f t="shared" si="24"/>
        <v>-0.13506106934390616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100.67202601803508</v>
      </c>
      <c r="H104" s="54">
        <f t="shared" si="22"/>
        <v>98.676610154660196</v>
      </c>
      <c r="I104" s="81">
        <f t="shared" si="23"/>
        <v>94.744701081787625</v>
      </c>
      <c r="J104" s="81">
        <f t="shared" si="23"/>
        <v>90.969464486142513</v>
      </c>
      <c r="K104" s="81">
        <f t="shared" si="23"/>
        <v>87.344657531314922</v>
      </c>
      <c r="L104" s="67"/>
      <c r="M104" s="79">
        <f t="shared" si="24"/>
        <v>-0.13506106934390621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96.16087505642119</v>
      </c>
      <c r="H105" s="54">
        <f t="shared" si="22"/>
        <v>94.25487452068927</v>
      </c>
      <c r="I105" s="81">
        <f t="shared" si="23"/>
        <v>90.499155757048086</v>
      </c>
      <c r="J105" s="81">
        <f>$H105*(1+$G95)^(J$100-$H$100)</f>
        <v>86.893088918607546</v>
      </c>
      <c r="K105" s="81">
        <f>$H105*(1+$G95)^(K$100-$H$100)</f>
        <v>83.430710912781208</v>
      </c>
      <c r="L105" s="67"/>
      <c r="M105" s="79">
        <f t="shared" si="24"/>
        <v>-0.1350610693439061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51.011088575219283</v>
      </c>
      <c r="H106" s="54">
        <f t="shared" si="22"/>
        <v>50</v>
      </c>
      <c r="I106" s="81">
        <f t="shared" si="23"/>
        <v>45.41658678713204</v>
      </c>
      <c r="J106" s="81">
        <f t="shared" si="23"/>
        <v>41.253327107861935</v>
      </c>
      <c r="K106" s="81">
        <f t="shared" si="23"/>
        <v>37.471706217043163</v>
      </c>
      <c r="L106" s="67"/>
      <c r="M106" s="79">
        <f t="shared" si="24"/>
        <v>-0.27078764716352238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54.594540395456711</v>
      </c>
      <c r="H107" s="54">
        <f t="shared" si="22"/>
        <v>53.512424377058124</v>
      </c>
      <c r="I107" s="81">
        <f t="shared" si="23"/>
        <v>48.607033318210007</v>
      </c>
      <c r="J107" s="81">
        <f t="shared" si="23"/>
        <v>44.151310943230079</v>
      </c>
      <c r="K107" s="81">
        <f t="shared" si="23"/>
        <v>40.104036904377224</v>
      </c>
      <c r="L107" s="67"/>
      <c r="M107" s="79">
        <f t="shared" si="24"/>
        <v>-0.27078764716352233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1670.6216660063715</v>
      </c>
      <c r="H111" s="54">
        <f t="shared" si="25"/>
        <v>1637.5083463891651</v>
      </c>
      <c r="I111" s="125">
        <f t="shared" si="25"/>
        <v>999.88801430422291</v>
      </c>
      <c r="J111" s="125">
        <f t="shared" si="25"/>
        <v>769.7739047668847</v>
      </c>
      <c r="K111" s="125">
        <f t="shared" si="25"/>
        <v>543.10441797376097</v>
      </c>
      <c r="L111" s="46"/>
      <c r="M111" s="79">
        <f>(K111-G111)/H111</f>
        <v>-0.68855664187536803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4183.7476081268578</v>
      </c>
      <c r="H112" s="54">
        <f t="shared" si="25"/>
        <v>4100.8217281597917</v>
      </c>
      <c r="I112" s="125">
        <f t="shared" si="25"/>
        <v>2713.508319038503</v>
      </c>
      <c r="J112" s="125">
        <f t="shared" si="25"/>
        <v>2291.783580504718</v>
      </c>
      <c r="K112" s="125">
        <f t="shared" si="25"/>
        <v>1802.2310629454068</v>
      </c>
      <c r="L112" s="46"/>
      <c r="M112" s="79">
        <f t="shared" ref="M112:M118" si="26">(K112-G112)/H112</f>
        <v>-0.58074130090266951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632.50454323526492</v>
      </c>
      <c r="H113" s="54">
        <f t="shared" si="25"/>
        <v>619.96769810410376</v>
      </c>
      <c r="I113" s="125">
        <f t="shared" si="25"/>
        <v>502.03193122938018</v>
      </c>
      <c r="J113" s="125">
        <f t="shared" si="25"/>
        <v>479.83034468277998</v>
      </c>
      <c r="K113" s="125">
        <f t="shared" si="25"/>
        <v>423.83241556546193</v>
      </c>
      <c r="L113" s="46"/>
      <c r="M113" s="79">
        <f t="shared" si="26"/>
        <v>-0.33658548390171639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99.897157691916718</v>
      </c>
      <c r="H114" s="54">
        <f t="shared" si="25"/>
        <v>97.917100460041766</v>
      </c>
      <c r="I114" s="125">
        <f t="shared" si="25"/>
        <v>61.480586667560701</v>
      </c>
      <c r="J114" s="125">
        <f t="shared" si="25"/>
        <v>48.968085588624312</v>
      </c>
      <c r="K114" s="125">
        <f t="shared" si="25"/>
        <v>36.044444719941843</v>
      </c>
      <c r="L114" s="46"/>
      <c r="M114" s="79">
        <f t="shared" si="26"/>
        <v>-0.65210992433371773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66.060504601231443</v>
      </c>
      <c r="H115" s="54">
        <f t="shared" si="25"/>
        <v>64.751122203382096</v>
      </c>
      <c r="I115" s="125">
        <f t="shared" si="25"/>
        <v>45.675481205263956</v>
      </c>
      <c r="J115" s="125">
        <f t="shared" si="25"/>
        <v>41.104255027199372</v>
      </c>
      <c r="K115" s="125">
        <f t="shared" si="25"/>
        <v>34.42927973428759</v>
      </c>
      <c r="L115" s="46"/>
      <c r="M115" s="79">
        <f t="shared" si="26"/>
        <v>-0.48850465892453188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350.43548112055964</v>
      </c>
      <c r="H116" s="54">
        <f t="shared" si="25"/>
        <v>343.48951464133035</v>
      </c>
      <c r="I116" s="125">
        <f t="shared" si="25"/>
        <v>173.06979550900726</v>
      </c>
      <c r="J116" s="125">
        <f t="shared" si="25"/>
        <v>97.745848428113973</v>
      </c>
      <c r="K116" s="125">
        <f t="shared" si="25"/>
        <v>36.527850585308585</v>
      </c>
      <c r="L116" s="46"/>
      <c r="M116" s="79">
        <f t="shared" si="26"/>
        <v>-0.91387834898841536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54.174328527227786</v>
      </c>
      <c r="H117" s="54">
        <f t="shared" si="25"/>
        <v>53.100541510052359</v>
      </c>
      <c r="I117" s="125">
        <f t="shared" si="25"/>
        <v>172.26174880079324</v>
      </c>
      <c r="J117" s="125">
        <f t="shared" si="25"/>
        <v>267.96854896711068</v>
      </c>
      <c r="K117" s="125">
        <f t="shared" si="25"/>
        <v>312.75101473644975</v>
      </c>
      <c r="L117" s="46"/>
      <c r="M117" s="79">
        <f t="shared" si="26"/>
        <v>4.8695677832263033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7057.4412893094295</v>
      </c>
      <c r="H118" s="146">
        <f>SUM(H111:H117)</f>
        <v>6917.5560514678673</v>
      </c>
      <c r="I118" s="144">
        <f t="shared" ref="I118:J118" si="27">SUM(I111:I117)</f>
        <v>4667.9158767547315</v>
      </c>
      <c r="J118" s="144">
        <f t="shared" si="27"/>
        <v>3997.1745679654314</v>
      </c>
      <c r="K118" s="144">
        <f>SUM(K111:K117)</f>
        <v>3188.9204862606175</v>
      </c>
      <c r="L118" s="21"/>
      <c r="M118" s="79">
        <f t="shared" si="26"/>
        <v>-0.55923230318140082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1986.7662800647602</v>
      </c>
      <c r="H122" s="147">
        <f t="shared" si="28"/>
        <v>1947.386671757788</v>
      </c>
      <c r="I122" s="143">
        <f>I$36*I59*(1-$J$73)*I101/1000</f>
        <v>1621.1144368150983</v>
      </c>
      <c r="J122" s="143">
        <f t="shared" ref="J122:K122" si="29">J$36*J59*(1-$J$73)*J101/1000</f>
        <v>1372.2271707204688</v>
      </c>
      <c r="K122" s="143">
        <f t="shared" si="29"/>
        <v>1103.956565117714</v>
      </c>
      <c r="L122" s="46"/>
      <c r="M122" s="79">
        <f>(K122-G122)/H122</f>
        <v>-0.45333046988053344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4975.4704139556734</v>
      </c>
      <c r="H123" s="147">
        <f t="shared" si="28"/>
        <v>4876.8518305770003</v>
      </c>
      <c r="I123" s="143">
        <f t="shared" ref="I123:K128" si="30">I$36*I60*(1-$J$73)*I102/1000</f>
        <v>4441.3417080678455</v>
      </c>
      <c r="J123" s="143">
        <f t="shared" si="30"/>
        <v>4148.9357036988886</v>
      </c>
      <c r="K123" s="143">
        <f t="shared" si="30"/>
        <v>3723.1529827443333</v>
      </c>
      <c r="L123" s="46"/>
      <c r="M123" s="79">
        <f t="shared" ref="M123:M129" si="31">(K123-G123)/H123</f>
        <v>-0.25678808270522613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752.19825293633858</v>
      </c>
      <c r="H124" s="147">
        <f t="shared" si="28"/>
        <v>737.28896397414803</v>
      </c>
      <c r="I124" s="143">
        <f t="shared" si="30"/>
        <v>660.63429691085992</v>
      </c>
      <c r="J124" s="143">
        <f t="shared" si="30"/>
        <v>637.62868659842172</v>
      </c>
      <c r="K124" s="143">
        <f t="shared" si="30"/>
        <v>591.25301145524179</v>
      </c>
      <c r="L124" s="46"/>
      <c r="M124" s="79">
        <f t="shared" si="31"/>
        <v>-0.21829330065320238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118.80146679233548</v>
      </c>
      <c r="H125" s="147">
        <f t="shared" si="28"/>
        <v>116.44670806931978</v>
      </c>
      <c r="I125" s="143">
        <f t="shared" si="30"/>
        <v>101.12948405326001</v>
      </c>
      <c r="J125" s="143">
        <f t="shared" si="30"/>
        <v>89.473816343699809</v>
      </c>
      <c r="K125" s="143">
        <f t="shared" si="30"/>
        <v>75.423866972744619</v>
      </c>
      <c r="L125" s="46"/>
      <c r="M125" s="79">
        <f t="shared" si="31"/>
        <v>-0.37251031427842957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78.561643043655479</v>
      </c>
      <c r="H126" s="147">
        <f t="shared" si="28"/>
        <v>77.004476122687578</v>
      </c>
      <c r="I126" s="143">
        <f t="shared" si="30"/>
        <v>75.131648843063786</v>
      </c>
      <c r="J126" s="143">
        <f t="shared" si="30"/>
        <v>75.105132680592462</v>
      </c>
      <c r="K126" s="143">
        <f t="shared" si="30"/>
        <v>72.044095416723877</v>
      </c>
      <c r="L126" s="46"/>
      <c r="M126" s="79">
        <f t="shared" si="31"/>
        <v>-8.4638555511338101E-2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416.75108817003905</v>
      </c>
      <c r="H127" s="147">
        <f t="shared" si="28"/>
        <v>408.49068291839279</v>
      </c>
      <c r="I127" s="143">
        <f t="shared" si="30"/>
        <v>323.18120428201644</v>
      </c>
      <c r="J127" s="143">
        <f t="shared" si="30"/>
        <v>258.20500656662921</v>
      </c>
      <c r="K127" s="143">
        <f t="shared" si="30"/>
        <v>194.14542788328569</v>
      </c>
      <c r="L127" s="46"/>
      <c r="M127" s="79">
        <f t="shared" si="31"/>
        <v>-0.54494672607067751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64.426154259294805</v>
      </c>
      <c r="H128" s="147">
        <f t="shared" si="28"/>
        <v>63.149166248720704</v>
      </c>
      <c r="I128" s="143">
        <f t="shared" si="30"/>
        <v>210.41288534310706</v>
      </c>
      <c r="J128" s="143">
        <f t="shared" si="30"/>
        <v>332.92814281730091</v>
      </c>
      <c r="K128" s="143">
        <f t="shared" si="30"/>
        <v>415.56770111023667</v>
      </c>
      <c r="L128" s="46"/>
      <c r="M128" s="79">
        <f t="shared" si="31"/>
        <v>5.560509626808499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8392.9752992220965</v>
      </c>
      <c r="H129" s="148">
        <f>SUM(H122:H128)</f>
        <v>8226.6184996680568</v>
      </c>
      <c r="I129" s="145">
        <f t="shared" ref="I129:K129" si="32">SUM(I122:I128)</f>
        <v>7432.9456643152516</v>
      </c>
      <c r="J129" s="145">
        <f t="shared" si="32"/>
        <v>6914.5036594260018</v>
      </c>
      <c r="K129" s="145">
        <f t="shared" si="32"/>
        <v>6175.5436507002805</v>
      </c>
      <c r="L129" s="21"/>
      <c r="M129" s="79">
        <f t="shared" si="31"/>
        <v>-0.26954351275816291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3584.8950181469531</v>
      </c>
      <c r="I133" s="143">
        <f t="shared" ref="I133:K133" si="33">I111+I122</f>
        <v>2621.0024511193214</v>
      </c>
      <c r="J133" s="143">
        <f t="shared" si="33"/>
        <v>2142.0010754873538</v>
      </c>
      <c r="K133" s="143">
        <f t="shared" si="33"/>
        <v>1647.060983091475</v>
      </c>
      <c r="L133" s="46"/>
      <c r="M133" s="79">
        <f>(K133-G133)/H133</f>
        <v>0.45944469078005179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8977.6735587367912</v>
      </c>
      <c r="I134" s="143">
        <f t="shared" si="34"/>
        <v>7154.8500271063485</v>
      </c>
      <c r="J134" s="143">
        <f t="shared" si="34"/>
        <v>6440.7192842036065</v>
      </c>
      <c r="K134" s="143">
        <f t="shared" si="34"/>
        <v>5525.3840456897397</v>
      </c>
      <c r="L134" s="46"/>
      <c r="M134" s="79">
        <f t="shared" ref="M134:M140" si="35">(K134-G134)/H134</f>
        <v>0.61545833779093118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1357.2566620782518</v>
      </c>
      <c r="I135" s="143">
        <f t="shared" si="34"/>
        <v>1162.66622814024</v>
      </c>
      <c r="J135" s="143">
        <f t="shared" si="34"/>
        <v>1117.4590312812018</v>
      </c>
      <c r="K135" s="143">
        <f t="shared" si="34"/>
        <v>1015.0854270207037</v>
      </c>
      <c r="L135" s="46"/>
      <c r="M135" s="79">
        <f t="shared" si="35"/>
        <v>0.74789496738692718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214.36380852936156</v>
      </c>
      <c r="I136" s="143">
        <f t="shared" si="34"/>
        <v>162.61007072082072</v>
      </c>
      <c r="J136" s="143">
        <f t="shared" si="34"/>
        <v>138.44190193232413</v>
      </c>
      <c r="K136" s="143">
        <f t="shared" si="34"/>
        <v>111.46831169268646</v>
      </c>
      <c r="L136" s="46"/>
      <c r="M136" s="79">
        <f t="shared" si="35"/>
        <v>0.51999594734490151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141.75559832606967</v>
      </c>
      <c r="I137" s="143">
        <f t="shared" si="34"/>
        <v>120.80713004832774</v>
      </c>
      <c r="J137" s="143">
        <f t="shared" si="34"/>
        <v>116.20938770779183</v>
      </c>
      <c r="K137" s="143">
        <f t="shared" si="34"/>
        <v>106.47337515101147</v>
      </c>
      <c r="L137" s="46"/>
      <c r="M137" s="79">
        <f t="shared" si="35"/>
        <v>0.75110525727596889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751.98019755972314</v>
      </c>
      <c r="I138" s="143">
        <f t="shared" si="34"/>
        <v>496.25099979102367</v>
      </c>
      <c r="J138" s="143">
        <f t="shared" si="34"/>
        <v>355.95085499474317</v>
      </c>
      <c r="K138" s="143">
        <f t="shared" si="34"/>
        <v>230.67327846859428</v>
      </c>
      <c r="L138" s="46"/>
      <c r="M138" s="79">
        <f t="shared" si="35"/>
        <v>0.30675445871734403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116.24970775877307</v>
      </c>
      <c r="I139" s="143">
        <f t="shared" si="34"/>
        <v>382.67463414390033</v>
      </c>
      <c r="J139" s="143">
        <f t="shared" si="34"/>
        <v>600.89669178441159</v>
      </c>
      <c r="K139" s="143">
        <f t="shared" si="34"/>
        <v>728.31871584668647</v>
      </c>
      <c r="L139" s="46"/>
      <c r="M139" s="79">
        <f t="shared" si="35"/>
        <v>6.2651229830014099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15144.174551135924</v>
      </c>
      <c r="I140" s="145">
        <f t="shared" ref="I140:K140" si="36">SUM(I133:I139)</f>
        <v>12100.861541069984</v>
      </c>
      <c r="J140" s="145">
        <f t="shared" si="36"/>
        <v>10911.678227391432</v>
      </c>
      <c r="K140" s="145">
        <f t="shared" si="36"/>
        <v>9364.4641369608962</v>
      </c>
      <c r="L140" s="21"/>
      <c r="M140" s="79">
        <f t="shared" si="35"/>
        <v>0.61835421305669602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énergie'!C30</f>
        <v>5.6584972145073235E-2</v>
      </c>
      <c r="I146" s="47">
        <v>0</v>
      </c>
      <c r="J146" s="47">
        <v>0</v>
      </c>
      <c r="K146" s="47">
        <v>0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énergie'!C31</f>
        <v>0.5881912261494745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énergie'!C32</f>
        <v>8.0741361547576412E-2</v>
      </c>
      <c r="I148" s="47">
        <v>0.08</v>
      </c>
      <c r="J148" s="47">
        <v>0.08</v>
      </c>
      <c r="K148" s="47">
        <v>0.08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énergie'!C33</f>
        <v>1.2731783152525081E-2</v>
      </c>
      <c r="I149" s="47">
        <v>0</v>
      </c>
      <c r="J149" s="47">
        <f t="shared" ref="J149:K149" si="37">I149</f>
        <v>0</v>
      </c>
      <c r="K149" s="47">
        <f t="shared" si="37"/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énergie'!C34</f>
        <v>9.0821371602788342E-3</v>
      </c>
      <c r="I150" s="47">
        <f t="shared" ref="I150:K150" si="38">H150</f>
        <v>9.0821371602788342E-3</v>
      </c>
      <c r="J150" s="47">
        <f t="shared" si="38"/>
        <v>9.0821371602788342E-3</v>
      </c>
      <c r="K150" s="47">
        <f t="shared" si="38"/>
        <v>9.0821371602788342E-3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énergie'!C35</f>
        <v>2.1278159067402536E-2</v>
      </c>
      <c r="I151" s="47">
        <f t="shared" ref="I151:K151" si="39">H151</f>
        <v>2.1278159067402536E-2</v>
      </c>
      <c r="J151" s="47">
        <f t="shared" si="39"/>
        <v>2.1278159067402536E-2</v>
      </c>
      <c r="K151" s="47">
        <f t="shared" si="39"/>
        <v>2.1278159067402536E-2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énergie'!C36</f>
        <v>0.23139036077766945</v>
      </c>
      <c r="I152" s="47">
        <v>0.89</v>
      </c>
      <c r="J152" s="47">
        <v>0.89</v>
      </c>
      <c r="K152" s="47">
        <v>0.89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0">SUM(I146:I152)</f>
        <v>1.0003602962276814</v>
      </c>
      <c r="J153" s="15">
        <f t="shared" si="40"/>
        <v>1.0003602962276814</v>
      </c>
      <c r="K153" s="15">
        <f t="shared" si="40"/>
        <v>1.0003602962276814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53.425860087571742</v>
      </c>
      <c r="J157" s="45">
        <f>K157</f>
        <v>53.425860087571742</v>
      </c>
      <c r="K157" s="45">
        <f t="shared" ref="K157:K163" si="41">K81</f>
        <v>53.425860087571742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2">J158</f>
        <v>45.96348326365635</v>
      </c>
      <c r="J158" s="45">
        <f t="shared" si="42"/>
        <v>45.96348326365635</v>
      </c>
      <c r="K158" s="45">
        <f t="shared" si="41"/>
        <v>45.96348326365635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2"/>
        <v>48.641744907116376</v>
      </c>
      <c r="J159" s="45">
        <f t="shared" si="42"/>
        <v>48.641744907116376</v>
      </c>
      <c r="K159" s="45">
        <f t="shared" si="41"/>
        <v>48.641744907116376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2"/>
        <v>49.640318795727595</v>
      </c>
      <c r="J160" s="45">
        <f t="shared" si="42"/>
        <v>49.640318795727595</v>
      </c>
      <c r="K160" s="45">
        <f t="shared" si="41"/>
        <v>49.640318795727595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2"/>
        <v>47.415917631594382</v>
      </c>
      <c r="J161" s="45">
        <f t="shared" si="42"/>
        <v>47.415917631594382</v>
      </c>
      <c r="K161" s="45">
        <f t="shared" si="41"/>
        <v>47.415917631594382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2"/>
        <v>25.153032070074222</v>
      </c>
      <c r="J162" s="45">
        <f t="shared" si="42"/>
        <v>25.153032070074222</v>
      </c>
      <c r="K162" s="45">
        <f t="shared" si="41"/>
        <v>25.153032070074222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2"/>
        <v>26.919994530071296</v>
      </c>
      <c r="J163" s="45">
        <f t="shared" si="42"/>
        <v>26.919994530071296</v>
      </c>
      <c r="K163" s="45">
        <f t="shared" si="41"/>
        <v>26.919994530071296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3">I$35*I146*I157/1000</f>
        <v>0</v>
      </c>
      <c r="J167" s="10">
        <f t="shared" si="43"/>
        <v>0</v>
      </c>
      <c r="K167" s="10">
        <f t="shared" si="43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4">H$35*H147*H158/1000</f>
        <v>0</v>
      </c>
      <c r="I168" s="10">
        <f t="shared" si="44"/>
        <v>0</v>
      </c>
      <c r="J168" s="10">
        <f t="shared" si="44"/>
        <v>0</v>
      </c>
      <c r="K168" s="10">
        <f t="shared" si="44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4"/>
        <v>0</v>
      </c>
      <c r="I169" s="10">
        <f t="shared" si="44"/>
        <v>22.728177244459246</v>
      </c>
      <c r="J169" s="10">
        <f t="shared" si="44"/>
        <v>13.278806116428186</v>
      </c>
      <c r="K169" s="10">
        <f t="shared" si="44"/>
        <v>13.155738707400097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4"/>
        <v>0</v>
      </c>
      <c r="I170" s="10">
        <f t="shared" si="44"/>
        <v>0</v>
      </c>
      <c r="J170" s="10">
        <f t="shared" si="44"/>
        <v>0</v>
      </c>
      <c r="K170" s="10">
        <f t="shared" si="44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4"/>
        <v>0</v>
      </c>
      <c r="I171" s="10">
        <f t="shared" si="44"/>
        <v>2.5152299222733752</v>
      </c>
      <c r="J171" s="10">
        <f t="shared" si="44"/>
        <v>1.4695085363367211</v>
      </c>
      <c r="K171" s="10">
        <f t="shared" si="44"/>
        <v>1.4558891938652716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4"/>
        <v>0</v>
      </c>
      <c r="I172" s="10">
        <f t="shared" si="44"/>
        <v>3.1260064548648199</v>
      </c>
      <c r="J172" s="10">
        <f t="shared" si="44"/>
        <v>1.8263511933396384</v>
      </c>
      <c r="K172" s="10">
        <f t="shared" si="44"/>
        <v>1.8094246483348433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4"/>
        <v>0</v>
      </c>
      <c r="I173" s="10">
        <f t="shared" si="44"/>
        <v>139.9363199650399</v>
      </c>
      <c r="J173" s="10">
        <f t="shared" si="44"/>
        <v>81.756985677996639</v>
      </c>
      <c r="K173" s="10">
        <f t="shared" si="44"/>
        <v>80.999265419931461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5">SUM(I167:I173)</f>
        <v>168.30573358663733</v>
      </c>
      <c r="J174" s="11">
        <f t="shared" si="45"/>
        <v>98.331651524101176</v>
      </c>
      <c r="K174" s="11">
        <f t="shared" si="45"/>
        <v>97.420317969531681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33755.555534903135</v>
      </c>
      <c r="I179" s="10">
        <f t="shared" ref="I179:K179" si="46">I$36*($J$73*I45+(1-$J$73)*I59)+I$35*I146</f>
        <v>29988.77444250563</v>
      </c>
      <c r="J179" s="10">
        <f t="shared" si="46"/>
        <v>27041.954791533564</v>
      </c>
      <c r="K179" s="10">
        <f t="shared" si="46"/>
        <v>23118.373249510023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7">H$36*($J$73*H46+(1-$J$73)*H60)+H$35*H147</f>
        <v>98258.745814470487</v>
      </c>
      <c r="I180" s="10">
        <f t="shared" si="47"/>
        <v>94551.160279502001</v>
      </c>
      <c r="J180" s="10">
        <f t="shared" si="47"/>
        <v>93306.322049613242</v>
      </c>
      <c r="K180" s="10">
        <f t="shared" si="47"/>
        <v>88430.708166646582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7"/>
        <v>14036.963687781501</v>
      </c>
      <c r="I181" s="10">
        <f t="shared" si="47"/>
        <v>15062.692069145231</v>
      </c>
      <c r="J181" s="10">
        <f t="shared" si="47"/>
        <v>15696.644648881487</v>
      </c>
      <c r="K181" s="10">
        <f t="shared" si="47"/>
        <v>15891.969937141486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7"/>
        <v>2172.3872373947556</v>
      </c>
      <c r="I182" s="10">
        <f t="shared" si="47"/>
        <v>1964.9301222793326</v>
      </c>
      <c r="J182" s="10">
        <f t="shared" si="47"/>
        <v>1810.6085733126749</v>
      </c>
      <c r="K182" s="10">
        <f t="shared" si="47"/>
        <v>1589.6323681763752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7"/>
        <v>1503.9603951194463</v>
      </c>
      <c r="I183" s="10">
        <f t="shared" si="47"/>
        <v>1581.3250927261981</v>
      </c>
      <c r="J183" s="10">
        <f t="shared" si="47"/>
        <v>1622.1327497133982</v>
      </c>
      <c r="K183" s="10">
        <f t="shared" si="47"/>
        <v>1620.3370189895691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7"/>
        <v>15039.603951194464</v>
      </c>
      <c r="I184" s="10">
        <f t="shared" si="47"/>
        <v>12226.546121979796</v>
      </c>
      <c r="J184" s="10">
        <f t="shared" si="47"/>
        <v>9589.6949677615776</v>
      </c>
      <c r="K184" s="10">
        <f t="shared" si="47"/>
        <v>6705.2817579232706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7"/>
        <v>2172.3872373947556</v>
      </c>
      <c r="I185" s="10">
        <f t="shared" si="47"/>
        <v>14164.38068950754</v>
      </c>
      <c r="J185" s="10">
        <f t="shared" si="47"/>
        <v>18923.337315314868</v>
      </c>
      <c r="K185" s="10">
        <f t="shared" si="47"/>
        <v>24988.926139126143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167030.37956557376</v>
      </c>
      <c r="I186" s="10">
        <f t="shared" si="47"/>
        <v>169539.80881764568</v>
      </c>
      <c r="J186" s="10">
        <f t="shared" si="47"/>
        <v>167990.69509613083</v>
      </c>
      <c r="K186" s="10">
        <f t="shared" si="47"/>
        <v>162345.22863751341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  <pageSetUpPr fitToPage="1"/>
  </sheetPr>
  <dimension ref="A1:GB1593"/>
  <sheetViews>
    <sheetView showGridLines="0" topLeftCell="A37" zoomScale="115" zoomScaleNormal="115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179200</v>
      </c>
      <c r="I7" s="10">
        <f t="shared" si="0"/>
        <v>197026.5997265706</v>
      </c>
      <c r="J7" s="10">
        <f t="shared" si="0"/>
        <v>210960.15652501237</v>
      </c>
      <c r="K7" s="10">
        <f t="shared" si="0"/>
        <v>219828.9365343824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22460.450940435054</v>
      </c>
      <c r="J8" s="76">
        <f t="shared" si="0"/>
        <v>19028.37793854532</v>
      </c>
      <c r="K8" s="76">
        <f t="shared" si="0"/>
        <v>14323.902651057895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179200</v>
      </c>
      <c r="I9" s="96">
        <f t="shared" si="1"/>
        <v>174566.14878613554</v>
      </c>
      <c r="J9" s="96">
        <f t="shared" si="1"/>
        <v>191931.77858646706</v>
      </c>
      <c r="K9" s="96">
        <f t="shared" si="1"/>
        <v>205505.0338833245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3808.9479439951956</v>
      </c>
      <c r="I13" s="86">
        <f t="shared" ref="I13:K13" si="2">I133+I167</f>
        <v>2725.8265290885493</v>
      </c>
      <c r="J13" s="86">
        <f t="shared" si="2"/>
        <v>2376.2739525720599</v>
      </c>
      <c r="K13" s="86">
        <f t="shared" si="2"/>
        <v>1962.3461824574588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10537.022711480739</v>
      </c>
      <c r="I14" s="86">
        <f t="shared" si="3"/>
        <v>8382.2347638621122</v>
      </c>
      <c r="J14" s="86">
        <f t="shared" si="3"/>
        <v>8265.1476192230875</v>
      </c>
      <c r="K14" s="86">
        <f t="shared" si="3"/>
        <v>7896.7378250085385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1744.7346539514629</v>
      </c>
      <c r="I15" s="86">
        <f t="shared" si="3"/>
        <v>1742.8526007433452</v>
      </c>
      <c r="J15" s="86">
        <f t="shared" si="3"/>
        <v>1671.0645808258273</v>
      </c>
      <c r="K15" s="86">
        <f t="shared" si="3"/>
        <v>1543.7965923160882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268.71711769333638</v>
      </c>
      <c r="I16" s="86">
        <f t="shared" si="3"/>
        <v>292.67647842688774</v>
      </c>
      <c r="J16" s="86">
        <f t="shared" si="3"/>
        <v>317.50398321815669</v>
      </c>
      <c r="K16" s="86">
        <f t="shared" si="3"/>
        <v>331.5677001491951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289.13034571123421</v>
      </c>
      <c r="I17" s="86">
        <f t="shared" si="3"/>
        <v>269.97939137994626</v>
      </c>
      <c r="J17" s="86">
        <f t="shared" si="3"/>
        <v>249.34782386825725</v>
      </c>
      <c r="K17" s="86">
        <f t="shared" si="3"/>
        <v>219.09565287121606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2089.6511999999998</v>
      </c>
      <c r="I18" s="86">
        <f t="shared" si="3"/>
        <v>1355.1751638488529</v>
      </c>
      <c r="J18" s="86">
        <f t="shared" si="3"/>
        <v>1093.9871174830644</v>
      </c>
      <c r="K18" s="86">
        <f t="shared" si="3"/>
        <v>658.23750170273513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258.00164643359227</v>
      </c>
      <c r="I19" s="86">
        <f t="shared" si="3"/>
        <v>988.70901222187274</v>
      </c>
      <c r="J19" s="86">
        <f t="shared" si="3"/>
        <v>1320.5307389863842</v>
      </c>
      <c r="K19" s="86">
        <f t="shared" si="3"/>
        <v>1671.38607316968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18996.205619265562</v>
      </c>
      <c r="I20" s="13">
        <f t="shared" ref="I20:K20" si="4">SUM(I13:I19)</f>
        <v>15757.453939571564</v>
      </c>
      <c r="J20" s="13">
        <f t="shared" si="4"/>
        <v>15293.855816176838</v>
      </c>
      <c r="K20" s="13">
        <f t="shared" si="4"/>
        <v>14283.167527674912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-0.34245451768615243</v>
      </c>
      <c r="J23" s="177">
        <f t="shared" ref="J23:K23" si="5">J118/$G118-1</f>
        <v>-0.38414747384364645</v>
      </c>
      <c r="K23" s="177">
        <f t="shared" si="5"/>
        <v>-0.45527404523114334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-0.1346474769032886</v>
      </c>
      <c r="J24" s="177">
        <f t="shared" ref="J24:K24" si="6">J129/$G129-1</f>
        <v>-0.13236531357592307</v>
      </c>
      <c r="K24" s="177">
        <f t="shared" si="6"/>
        <v>-0.15303015518665264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179200</v>
      </c>
      <c r="H34" s="125">
        <f>'Init. parc'!C9</f>
        <v>179200</v>
      </c>
      <c r="I34" s="125">
        <f>'Init. parc'!D9</f>
        <v>197026.5997265706</v>
      </c>
      <c r="J34" s="125">
        <f>'Init. parc'!E9</f>
        <v>210960.15652501237</v>
      </c>
      <c r="K34" s="125">
        <f>'Init. parc'!F9</f>
        <v>219828.9365343824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parc'!N9</f>
        <v>22460.450940435054</v>
      </c>
      <c r="J35" s="125">
        <f>'Init. parc'!O9</f>
        <v>19028.37793854532</v>
      </c>
      <c r="K35" s="125">
        <f>'Init. parc'!P9</f>
        <v>14323.902651057895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179200</v>
      </c>
      <c r="H36" s="125">
        <f>H34-H35</f>
        <v>179200</v>
      </c>
      <c r="I36" s="125">
        <f>I34-I35</f>
        <v>174566.14878613554</v>
      </c>
      <c r="J36" s="125">
        <f>J34-J35</f>
        <v>191931.77858646706</v>
      </c>
      <c r="K36" s="125">
        <f>K34-K35</f>
        <v>205505.0338833245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0.158</v>
      </c>
      <c r="H45" s="55">
        <f>'Init. énergie'!B48</f>
        <v>0.158</v>
      </c>
      <c r="I45" s="47">
        <f>H45+((K45-H45)/3)</f>
        <v>0.13533333333333333</v>
      </c>
      <c r="J45" s="47">
        <f>H45+((K45-H45)/3*2)</f>
        <v>0.11266666666666666</v>
      </c>
      <c r="K45" s="47">
        <v>0.09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0.52700000000000002</v>
      </c>
      <c r="H46" s="55">
        <f>'Init. énergie'!B49</f>
        <v>0.52700000000000002</v>
      </c>
      <c r="I46" s="47">
        <f t="shared" ref="I46:I49" si="8">H46+((K46-H46)/3)</f>
        <v>0.50133333333333341</v>
      </c>
      <c r="J46" s="47">
        <f t="shared" ref="J46:J49" si="9">H46+((K46-H46)/3*2)</f>
        <v>0.47566666666666668</v>
      </c>
      <c r="K46" s="47">
        <v>0.45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8.5999999999999993E-2</v>
      </c>
      <c r="H47" s="55">
        <f>'Init. énergie'!B50</f>
        <v>8.5999999999999993E-2</v>
      </c>
      <c r="I47" s="47">
        <v>0.1</v>
      </c>
      <c r="J47" s="47">
        <v>0.09</v>
      </c>
      <c r="K47" s="47">
        <v>0.08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1.4999999999999999E-2</v>
      </c>
      <c r="H48" s="55">
        <f>'Init. énergie'!B51</f>
        <v>1.4999999999999999E-2</v>
      </c>
      <c r="I48" s="47">
        <f t="shared" si="8"/>
        <v>1.6666666666666666E-2</v>
      </c>
      <c r="J48" s="47">
        <f t="shared" si="9"/>
        <v>1.8333333333333333E-2</v>
      </c>
      <c r="K48" s="47">
        <v>0.02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1.2999999999999999E-2</v>
      </c>
      <c r="H49" s="55">
        <f>'Init. énergie'!B52</f>
        <v>1.2999999999999999E-2</v>
      </c>
      <c r="I49" s="47">
        <f t="shared" si="8"/>
        <v>1.2E-2</v>
      </c>
      <c r="J49" s="47">
        <f t="shared" si="9"/>
        <v>1.0999999999999999E-2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0.16900000000000001</v>
      </c>
      <c r="H50" s="55">
        <f>'Init. énergie'!B53</f>
        <v>0.16900000000000001</v>
      </c>
      <c r="I50" s="47">
        <v>0.13</v>
      </c>
      <c r="J50" s="47">
        <v>0.13</v>
      </c>
      <c r="K50" s="47">
        <f>1-K45-K46-K47-K48-K49-K51</f>
        <v>8.9999999999999969E-2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3.2000000000000001E-2</v>
      </c>
      <c r="H51" s="55">
        <f>'Init. énergie'!B54</f>
        <v>3.2000000000000001E-2</v>
      </c>
      <c r="I51" s="47">
        <v>0.1</v>
      </c>
      <c r="J51" s="47">
        <v>0.16</v>
      </c>
      <c r="K51" s="123">
        <v>0.26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</v>
      </c>
      <c r="H52" s="149">
        <f t="shared" si="10"/>
        <v>1</v>
      </c>
      <c r="I52" s="155">
        <f t="shared" si="10"/>
        <v>0.9953333333333334</v>
      </c>
      <c r="J52" s="155">
        <f t="shared" si="10"/>
        <v>0.9976666666666667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-3.6952124131709591E-2</v>
      </c>
      <c r="J55" s="142">
        <f>(I$81*(J45-I45)+I$82*(J46-I46)+I$83*(J47-I47)+I$84*(J48-I48)+I$85*(J49-I49)+I$86*(J50-I50)+I$87*(J51-I51))/(I$81*I45+I$82*I46+I$83*I47+I$84*I48+I$85*I49+I$86*I50+I$87*I51)</f>
        <v>-4.2151267375887883E-2</v>
      </c>
      <c r="K55" s="142">
        <f>(J$81*(K45-J45)+J$82*(K46-J46)+J$83*(K47-J47)+J$84*(K48-J48)+J$85*(K49-J49)+J$86*(K50-J50)+J$87*(K51-J51))/(J$81*J45+J$82*J46+J$83*J47+J$84*J48+J$85*J49+J$86*J50+J$87*J51)</f>
        <v>-5.3826914890633605E-2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0.158</v>
      </c>
      <c r="H59" s="55">
        <f>H45</f>
        <v>0.158</v>
      </c>
      <c r="I59" s="47">
        <f>H59+((K59-H59)/3)</f>
        <v>0.14200000000000002</v>
      </c>
      <c r="J59" s="47">
        <f>H59+((K59-H59)/3*2)</f>
        <v>0.126</v>
      </c>
      <c r="K59" s="47">
        <v>0.11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0.52700000000000002</v>
      </c>
      <c r="H60" s="55">
        <f t="shared" ref="H60:H65" si="12">H46</f>
        <v>0.52700000000000002</v>
      </c>
      <c r="I60" s="47">
        <f t="shared" ref="I60:I65" si="13">H60+((K60-H60)/3)</f>
        <v>0.52133333333333332</v>
      </c>
      <c r="J60" s="47">
        <f t="shared" ref="J60:J65" si="14">H60+((K60-H60)/3*2)</f>
        <v>0.51566666666666672</v>
      </c>
      <c r="K60" s="47">
        <v>0.51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8.5999999999999993E-2</v>
      </c>
      <c r="H61" s="55">
        <f t="shared" si="12"/>
        <v>8.5999999999999993E-2</v>
      </c>
      <c r="I61" s="47">
        <v>0.08</v>
      </c>
      <c r="J61" s="47">
        <v>0.08</v>
      </c>
      <c r="K61" s="47">
        <v>0.08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1.4999999999999999E-2</v>
      </c>
      <c r="H62" s="55">
        <f t="shared" si="12"/>
        <v>1.4999999999999999E-2</v>
      </c>
      <c r="I62" s="47">
        <f t="shared" si="13"/>
        <v>1.6666666666666666E-2</v>
      </c>
      <c r="J62" s="47">
        <f t="shared" si="14"/>
        <v>1.8333333333333333E-2</v>
      </c>
      <c r="K62" s="47">
        <v>0.02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1.2999999999999999E-2</v>
      </c>
      <c r="H63" s="55">
        <f t="shared" si="12"/>
        <v>1.2999999999999999E-2</v>
      </c>
      <c r="I63" s="47">
        <f t="shared" si="13"/>
        <v>1.2E-2</v>
      </c>
      <c r="J63" s="47">
        <f t="shared" si="14"/>
        <v>1.0999999999999999E-2</v>
      </c>
      <c r="K63" s="47">
        <v>0.01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0.16900000000000001</v>
      </c>
      <c r="H64" s="55">
        <f t="shared" si="12"/>
        <v>0.16900000000000001</v>
      </c>
      <c r="I64" s="47">
        <f t="shared" si="13"/>
        <v>0.12933333333333333</v>
      </c>
      <c r="J64" s="47">
        <f t="shared" si="14"/>
        <v>8.9666666666666645E-2</v>
      </c>
      <c r="K64" s="47">
        <f>1-K59-K60-K61-K62-K63-K65</f>
        <v>4.9999999999999961E-2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3.2000000000000001E-2</v>
      </c>
      <c r="H65" s="55">
        <f t="shared" si="12"/>
        <v>3.2000000000000001E-2</v>
      </c>
      <c r="I65" s="47">
        <f t="shared" si="13"/>
        <v>9.4666666666666663E-2</v>
      </c>
      <c r="J65" s="47">
        <f t="shared" si="14"/>
        <v>0.15733333333333333</v>
      </c>
      <c r="K65" s="123">
        <v>0.22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</v>
      </c>
      <c r="H66" s="149">
        <v>1</v>
      </c>
      <c r="I66" s="47">
        <f t="shared" ref="I66:J66" si="16">SUM(I59:I65)</f>
        <v>0.996</v>
      </c>
      <c r="J66" s="47">
        <f t="shared" si="16"/>
        <v>0.998</v>
      </c>
      <c r="K66" s="47">
        <f>SUM(K59:K65)</f>
        <v>0.99999999999999989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-3.1498066852509561E-2</v>
      </c>
      <c r="J69" s="142">
        <f>(I$101*(J59-I59)+I$102*(J60-I60)+I$103*(J61-I61)+I$104*(J62-I62)+I$105*(J63-I63)+I$106*(J64-I64)+I$107*(J65-I65))/(I$101*I59+I$102*I60+I$103*I61+I$104*I62+I$105*I63+I$106*I64+I$107*I65)</f>
        <v>-2.5795183624449505E-2</v>
      </c>
      <c r="K69" s="142">
        <f>(J$101*(K59-J59)+J$102*(K60-J60)+J$103*(K61-J61)+J$104*(K62-J62)+J$105*(K63-J63)+J$106*(K64-J64)+J$107*(K65-J65))/(J$101*J59+J$102*J60+J$103*J61+J$104*J62+J$105*J63+J$106*J64+J$107*J65)</f>
        <v>-2.6355784160759663E-2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bord'!J12</f>
        <v>0.83</v>
      </c>
      <c r="I73" s="92">
        <f>'Tableau de bord'!J24</f>
        <v>0.54400000000000004</v>
      </c>
      <c r="J73" s="92">
        <f>'Tableau de bord'!J27</f>
        <v>0.45152000000000003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137.2475283606029</v>
      </c>
      <c r="H81" s="54">
        <f>'Init. énergie'!D48</f>
        <v>134.52715105091531</v>
      </c>
      <c r="I81" s="81">
        <f>G81*(1-H$77)/(1+I$55)</f>
        <v>96.196756116491343</v>
      </c>
      <c r="J81" s="81">
        <f>G81*(1-I$77)/(1+I$55)/(1+J$55)</f>
        <v>85.551488506413122</v>
      </c>
      <c r="K81" s="81">
        <f>G81*(1-J$77)/(1+I$55)/(1+J$55)/(1+K$55)</f>
        <v>74.693488832435349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113.83187323259207</v>
      </c>
      <c r="H82" s="54">
        <f>'Init. énergie'!D49</f>
        <v>111.57561660808248</v>
      </c>
      <c r="I82" s="81">
        <f t="shared" ref="I82:I87" si="18">G82*(1-H$77)/(1+I$55)</f>
        <v>79.784729666449181</v>
      </c>
      <c r="J82" s="81">
        <f t="shared" ref="J82:J87" si="19">G82*(1-I$77)/(1+I$55)/(1+J$55)</f>
        <v>70.955639863581126</v>
      </c>
      <c r="K82" s="81">
        <f t="shared" ref="K82:K87" si="20">G82*(1-J$77)/(1+I$55)/(1+J$55)/(1+K$55)</f>
        <v>61.950111988424467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115.50147162190179</v>
      </c>
      <c r="H83" s="54">
        <f>'Init. énergie'!D50</f>
        <v>113.21212196009803</v>
      </c>
      <c r="I83" s="81">
        <f t="shared" si="18"/>
        <v>80.95495073335924</v>
      </c>
      <c r="J83" s="81">
        <f t="shared" si="19"/>
        <v>71.996362630100222</v>
      </c>
      <c r="K83" s="81">
        <f t="shared" si="20"/>
        <v>62.858748596574515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101.9907194369971</v>
      </c>
      <c r="H84" s="54">
        <f>'Init. énergie'!D51</f>
        <v>99.969165808532892</v>
      </c>
      <c r="I84" s="81">
        <f t="shared" si="18"/>
        <v>71.485268121175253</v>
      </c>
      <c r="J84" s="81">
        <f t="shared" si="19"/>
        <v>63.574608343764666</v>
      </c>
      <c r="K84" s="81">
        <f t="shared" si="20"/>
        <v>55.505864143970697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126.62133992839577</v>
      </c>
      <c r="H85" s="54">
        <f>'Init. énergie'!D52</f>
        <v>124.11158383895697</v>
      </c>
      <c r="I85" s="81">
        <f t="shared" si="18"/>
        <v>88.748863471203194</v>
      </c>
      <c r="J85" s="81">
        <f t="shared" si="19"/>
        <v>78.927790080774272</v>
      </c>
      <c r="K85" s="81">
        <f t="shared" si="20"/>
        <v>68.910455094246359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70.39530223380261</v>
      </c>
      <c r="H86" s="54">
        <f>'Init. énergie'!D53</f>
        <v>69</v>
      </c>
      <c r="I86" s="81">
        <f t="shared" si="18"/>
        <v>49.34004860866888</v>
      </c>
      <c r="J86" s="81">
        <f t="shared" si="19"/>
        <v>43.880009803436195</v>
      </c>
      <c r="K86" s="81">
        <f t="shared" si="20"/>
        <v>38.310859102988289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45.901732836134151</v>
      </c>
      <c r="H87" s="54">
        <f>'Init. énergie'!D54</f>
        <v>44.991916579518737</v>
      </c>
      <c r="I87" s="81">
        <f t="shared" si="18"/>
        <v>32.172512333777249</v>
      </c>
      <c r="J87" s="81">
        <f t="shared" si="19"/>
        <v>28.612257109922691</v>
      </c>
      <c r="K87" s="81">
        <f t="shared" si="20"/>
        <v>24.980854736976013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137.2475283606029</v>
      </c>
      <c r="H101" s="54">
        <f>H81</f>
        <v>134.52715105091531</v>
      </c>
      <c r="I101" s="81">
        <f>$H101*(1+$G91)^(I$100-$H$100)</f>
        <v>125.01505335719065</v>
      </c>
      <c r="J101" s="81">
        <f>$H101*(1+$G91)^(J$100-$H$100)</f>
        <v>116.17553366595948</v>
      </c>
      <c r="K101" s="81">
        <f>$H101*(1+$G91)^(K$100-$H$100)</f>
        <v>107.96103557231471</v>
      </c>
      <c r="L101" s="67"/>
      <c r="M101" s="79">
        <f>(K101-G101)/H101</f>
        <v>-0.21769949455930981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113.83187323259207</v>
      </c>
      <c r="H102" s="54">
        <f t="shared" si="22"/>
        <v>111.57561660808248</v>
      </c>
      <c r="I102" s="81">
        <f t="shared" ref="I102:K107" si="23">$H102*(1+$G92)^(I$100-$H$100)</f>
        <v>104.76742992797396</v>
      </c>
      <c r="J102" s="81">
        <f t="shared" si="23"/>
        <v>98.374669191994641</v>
      </c>
      <c r="K102" s="81">
        <f t="shared" si="23"/>
        <v>92.371985695244845</v>
      </c>
      <c r="L102" s="67"/>
      <c r="M102" s="79">
        <f t="shared" ref="M102:M107" si="24">(K102-G102)/H102</f>
        <v>-0.19233492217862128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115.50147162190179</v>
      </c>
      <c r="H103" s="54">
        <f t="shared" si="22"/>
        <v>113.21212196009803</v>
      </c>
      <c r="I103" s="81">
        <f t="shared" si="23"/>
        <v>108.70102486427788</v>
      </c>
      <c r="J103" s="81">
        <f t="shared" si="23"/>
        <v>104.36967881150495</v>
      </c>
      <c r="K103" s="81">
        <f t="shared" si="23"/>
        <v>100.21092136727822</v>
      </c>
      <c r="L103" s="67"/>
      <c r="M103" s="79">
        <f t="shared" si="24"/>
        <v>-0.13506106934390621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101.9907194369971</v>
      </c>
      <c r="H104" s="54">
        <f t="shared" si="22"/>
        <v>99.969165808532892</v>
      </c>
      <c r="I104" s="81">
        <f t="shared" si="23"/>
        <v>95.985753027793905</v>
      </c>
      <c r="J104" s="81">
        <f t="shared" si="23"/>
        <v>92.16106496235507</v>
      </c>
      <c r="K104" s="81">
        <f t="shared" si="23"/>
        <v>88.488777001478368</v>
      </c>
      <c r="L104" s="67"/>
      <c r="M104" s="79">
        <f t="shared" si="24"/>
        <v>-0.1350610693439063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126.62133992839577</v>
      </c>
      <c r="H105" s="54">
        <f t="shared" si="22"/>
        <v>124.11158383895697</v>
      </c>
      <c r="I105" s="81">
        <f t="shared" si="23"/>
        <v>119.16618227135019</v>
      </c>
      <c r="J105" s="81">
        <f>$H105*(1+$G95)^(J$100-$H$100)</f>
        <v>114.41783722263067</v>
      </c>
      <c r="K105" s="81">
        <f>$H105*(1+$G95)^(K$100-$H$100)</f>
        <v>109.85869669714037</v>
      </c>
      <c r="L105" s="67"/>
      <c r="M105" s="79">
        <f t="shared" si="24"/>
        <v>-0.13506106934390619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70.39530223380261</v>
      </c>
      <c r="H106" s="54">
        <f t="shared" si="22"/>
        <v>69</v>
      </c>
      <c r="I106" s="81">
        <f t="shared" si="23"/>
        <v>62.674889766242217</v>
      </c>
      <c r="J106" s="81">
        <f t="shared" si="23"/>
        <v>56.929591408849475</v>
      </c>
      <c r="K106" s="81">
        <f t="shared" si="23"/>
        <v>51.710954579519566</v>
      </c>
      <c r="L106" s="67"/>
      <c r="M106" s="79">
        <f t="shared" si="24"/>
        <v>-0.27078764716352238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45.901732836134151</v>
      </c>
      <c r="H107" s="54">
        <f t="shared" si="22"/>
        <v>44.991916579518737</v>
      </c>
      <c r="I107" s="81">
        <f t="shared" si="23"/>
        <v>40.867585681062351</v>
      </c>
      <c r="J107" s="81">
        <f t="shared" si="23"/>
        <v>37.121325037290461</v>
      </c>
      <c r="K107" s="81">
        <f t="shared" si="23"/>
        <v>33.718477604188791</v>
      </c>
      <c r="L107" s="67"/>
      <c r="M107" s="79">
        <f t="shared" si="24"/>
        <v>-0.27078764716352255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1754.593905406711</v>
      </c>
      <c r="H111" s="54">
        <f t="shared" si="25"/>
        <v>1719.8161756727109</v>
      </c>
      <c r="I111" s="125">
        <f t="shared" si="25"/>
        <v>1026.1296317491626</v>
      </c>
      <c r="J111" s="125">
        <f t="shared" si="25"/>
        <v>835.30849021725066</v>
      </c>
      <c r="K111" s="125">
        <f t="shared" si="25"/>
        <v>623.77032678364196</v>
      </c>
      <c r="L111" s="46"/>
      <c r="M111" s="79">
        <f>(K111-G111)/H111</f>
        <v>-0.65752584178407558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4853.8851416551461</v>
      </c>
      <c r="H112" s="54">
        <f t="shared" si="25"/>
        <v>4757.6764946877838</v>
      </c>
      <c r="I112" s="125">
        <f t="shared" si="25"/>
        <v>3152.7053392061766</v>
      </c>
      <c r="J112" s="125">
        <f t="shared" si="25"/>
        <v>2924.9168141595892</v>
      </c>
      <c r="K112" s="125">
        <f t="shared" si="25"/>
        <v>2586.7476672559937</v>
      </c>
      <c r="L112" s="46"/>
      <c r="M112" s="79">
        <f t="shared" ref="M112:M118" si="26">(K112-G112)/H112</f>
        <v>-0.47652199070923384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803.71295050153219</v>
      </c>
      <c r="H113" s="54">
        <f t="shared" si="25"/>
        <v>787.78259095216447</v>
      </c>
      <c r="I113" s="125">
        <f t="shared" si="25"/>
        <v>638.08779194537738</v>
      </c>
      <c r="J113" s="125">
        <f t="shared" si="25"/>
        <v>561.53514796234003</v>
      </c>
      <c r="K113" s="125">
        <f t="shared" si="25"/>
        <v>466.61121654132785</v>
      </c>
      <c r="L113" s="46"/>
      <c r="M113" s="79">
        <f t="shared" si="26"/>
        <v>-0.42791213950635998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123.78468383283861</v>
      </c>
      <c r="H114" s="54">
        <f t="shared" si="25"/>
        <v>121.33115298089527</v>
      </c>
      <c r="I114" s="125">
        <f t="shared" si="25"/>
        <v>93.9079419661891</v>
      </c>
      <c r="J114" s="125">
        <f t="shared" si="25"/>
        <v>101.00642685452262</v>
      </c>
      <c r="K114" s="125">
        <f t="shared" si="25"/>
        <v>103.0073751532147</v>
      </c>
      <c r="L114" s="46"/>
      <c r="M114" s="79">
        <f t="shared" si="26"/>
        <v>-0.17124463230721543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133.18804822545161</v>
      </c>
      <c r="H115" s="54">
        <f t="shared" si="25"/>
        <v>130.54813369553648</v>
      </c>
      <c r="I115" s="125">
        <f t="shared" si="25"/>
        <v>83.942339511547161</v>
      </c>
      <c r="J115" s="125">
        <f t="shared" si="25"/>
        <v>75.239605212901779</v>
      </c>
      <c r="K115" s="125">
        <f t="shared" si="25"/>
        <v>63.941758310980532</v>
      </c>
      <c r="L115" s="46"/>
      <c r="M115" s="79">
        <f t="shared" si="26"/>
        <v>-0.53042726812140284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962.59894171723681</v>
      </c>
      <c r="H116" s="54">
        <f t="shared" si="25"/>
        <v>943.51930982400006</v>
      </c>
      <c r="I116" s="125">
        <f t="shared" si="25"/>
        <v>505.56843160022657</v>
      </c>
      <c r="J116" s="125">
        <f t="shared" si="25"/>
        <v>494.34932801017032</v>
      </c>
      <c r="K116" s="125">
        <f t="shared" si="25"/>
        <v>319.93654969903895</v>
      </c>
      <c r="L116" s="46"/>
      <c r="M116" s="79">
        <f t="shared" si="26"/>
        <v>-0.68113326916232086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118.84859627208628</v>
      </c>
      <c r="H117" s="54">
        <f t="shared" si="25"/>
        <v>116.4929033976956</v>
      </c>
      <c r="I117" s="125">
        <f t="shared" si="25"/>
        <v>253.58408806906942</v>
      </c>
      <c r="J117" s="125">
        <f t="shared" si="25"/>
        <v>396.73085800623812</v>
      </c>
      <c r="K117" s="125">
        <f t="shared" si="25"/>
        <v>602.67072854227627</v>
      </c>
      <c r="L117" s="46"/>
      <c r="M117" s="79">
        <f t="shared" si="26"/>
        <v>4.1532326704783689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8750.6122676110026</v>
      </c>
      <c r="H118" s="146">
        <f>SUM(H111:H117)</f>
        <v>8577.1667612107849</v>
      </c>
      <c r="I118" s="144">
        <f t="shared" ref="I118:J118" si="27">SUM(I111:I117)</f>
        <v>5753.9255640477486</v>
      </c>
      <c r="J118" s="144">
        <f t="shared" si="27"/>
        <v>5389.0866704230129</v>
      </c>
      <c r="K118" s="144">
        <f>SUM(K111:K117)</f>
        <v>4766.6856222864735</v>
      </c>
      <c r="L118" s="21"/>
      <c r="M118" s="79">
        <f t="shared" si="26"/>
        <v>-0.46448049294568489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2131.3777135840551</v>
      </c>
      <c r="H122" s="147">
        <f t="shared" si="28"/>
        <v>2089.1317683224847</v>
      </c>
      <c r="I122" s="143">
        <f>I$36*I59*(1-$J$73)*I101/1000</f>
        <v>1699.6968973393869</v>
      </c>
      <c r="J122" s="143">
        <f t="shared" ref="J122:K122" si="29">J$36*J59*(1-$J$73)*J101/1000</f>
        <v>1540.9654623548092</v>
      </c>
      <c r="K122" s="143">
        <f t="shared" si="29"/>
        <v>1338.5758556738167</v>
      </c>
      <c r="L122" s="46"/>
      <c r="M122" s="79">
        <f>(K122-G122)/H122</f>
        <v>-0.37948868038459654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5896.2148354336778</v>
      </c>
      <c r="H123" s="147">
        <f t="shared" si="28"/>
        <v>5779.3462167929538</v>
      </c>
      <c r="I123" s="143">
        <f t="shared" ref="I123:K128" si="30">I$36*I60*(1-$J$73)*I102/1000</f>
        <v>5229.5294246559361</v>
      </c>
      <c r="J123" s="143">
        <f t="shared" si="30"/>
        <v>5340.2308050634974</v>
      </c>
      <c r="K123" s="143">
        <f t="shared" si="30"/>
        <v>5309.9901577525443</v>
      </c>
      <c r="L123" s="46"/>
      <c r="M123" s="79">
        <f t="shared" ref="M123:M129" si="31">(K123-G123)/H123</f>
        <v>-0.10143442799425129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976.30332895792071</v>
      </c>
      <c r="H124" s="147">
        <f t="shared" si="28"/>
        <v>956.95206299929828</v>
      </c>
      <c r="I124" s="143">
        <f t="shared" si="30"/>
        <v>832.61542516076281</v>
      </c>
      <c r="J124" s="143">
        <f t="shared" si="30"/>
        <v>878.96588178766922</v>
      </c>
      <c r="K124" s="143">
        <f t="shared" si="30"/>
        <v>903.62513479372058</v>
      </c>
      <c r="L124" s="46"/>
      <c r="M124" s="79">
        <f t="shared" si="31"/>
        <v>-7.5947580839536191E-2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150.36637001380959</v>
      </c>
      <c r="H125" s="147">
        <f t="shared" si="28"/>
        <v>147.38596471244114</v>
      </c>
      <c r="I125" s="143">
        <f t="shared" si="30"/>
        <v>153.17093120480058</v>
      </c>
      <c r="J125" s="143">
        <f t="shared" si="30"/>
        <v>177.8675008851032</v>
      </c>
      <c r="K125" s="143">
        <f t="shared" si="30"/>
        <v>199.48095964668443</v>
      </c>
      <c r="L125" s="46"/>
      <c r="M125" s="79">
        <f t="shared" si="31"/>
        <v>0.33323790178189866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161.78902527173918</v>
      </c>
      <c r="H126" s="147">
        <f t="shared" si="28"/>
        <v>158.58221201569771</v>
      </c>
      <c r="I126" s="143">
        <f t="shared" si="30"/>
        <v>136.91628249208642</v>
      </c>
      <c r="J126" s="143">
        <f t="shared" si="30"/>
        <v>132.49335674526344</v>
      </c>
      <c r="K126" s="143">
        <f t="shared" si="30"/>
        <v>123.82767049833606</v>
      </c>
      <c r="L126" s="46"/>
      <c r="M126" s="79">
        <f t="shared" si="31"/>
        <v>-0.23937965230075997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1169.3087073730287</v>
      </c>
      <c r="H127" s="147">
        <f t="shared" si="28"/>
        <v>1146.1318901759998</v>
      </c>
      <c r="I127" s="143">
        <f t="shared" si="30"/>
        <v>776.11285408971378</v>
      </c>
      <c r="J127" s="143">
        <f t="shared" si="30"/>
        <v>537.37415578691321</v>
      </c>
      <c r="K127" s="143">
        <f t="shared" si="30"/>
        <v>291.43104903564011</v>
      </c>
      <c r="L127" s="46"/>
      <c r="M127" s="79">
        <f t="shared" si="31"/>
        <v>-0.76594820008243714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144.37030050344143</v>
      </c>
      <c r="H128" s="147">
        <f t="shared" si="28"/>
        <v>141.50874303589669</v>
      </c>
      <c r="I128" s="143">
        <f t="shared" si="30"/>
        <v>370.42210367731343</v>
      </c>
      <c r="J128" s="143">
        <f t="shared" si="30"/>
        <v>614.82553662414421</v>
      </c>
      <c r="K128" s="143">
        <f t="shared" si="30"/>
        <v>836.13017922217273</v>
      </c>
      <c r="L128" s="46"/>
      <c r="M128" s="79">
        <f t="shared" si="31"/>
        <v>4.8884603444131489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10629.730281137674</v>
      </c>
      <c r="H129" s="148">
        <f>SUM(H122:H128)</f>
        <v>10419.038858054771</v>
      </c>
      <c r="I129" s="145">
        <f t="shared" ref="I129:K129" si="32">SUM(I122:I128)</f>
        <v>9198.463918620002</v>
      </c>
      <c r="J129" s="145">
        <f t="shared" si="32"/>
        <v>9222.7226992474007</v>
      </c>
      <c r="K129" s="145">
        <f t="shared" si="32"/>
        <v>9003.0610066229146</v>
      </c>
      <c r="L129" s="21"/>
      <c r="M129" s="79">
        <f t="shared" si="31"/>
        <v>-0.15612469601811788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3808.9479439951956</v>
      </c>
      <c r="I133" s="143">
        <f t="shared" ref="I133:K133" si="33">I111+I122</f>
        <v>2725.8265290885493</v>
      </c>
      <c r="J133" s="143">
        <f t="shared" si="33"/>
        <v>2376.2739525720599</v>
      </c>
      <c r="K133" s="143">
        <f t="shared" si="33"/>
        <v>1962.3461824574588</v>
      </c>
      <c r="L133" s="46"/>
      <c r="M133" s="79">
        <f>(K133-G133)/H133</f>
        <v>0.5151937520046963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10537.022711480739</v>
      </c>
      <c r="I134" s="143">
        <f t="shared" si="34"/>
        <v>8382.2347638621122</v>
      </c>
      <c r="J134" s="143">
        <f t="shared" si="34"/>
        <v>8265.1476192230875</v>
      </c>
      <c r="K134" s="143">
        <f t="shared" si="34"/>
        <v>7896.7378250085385</v>
      </c>
      <c r="L134" s="46"/>
      <c r="M134" s="79">
        <f t="shared" ref="M134:M140" si="35">(K134-G134)/H134</f>
        <v>0.74942780719306545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1744.7346539514629</v>
      </c>
      <c r="I135" s="143">
        <f t="shared" si="34"/>
        <v>1470.7032171061401</v>
      </c>
      <c r="J135" s="143">
        <f t="shared" si="34"/>
        <v>1440.5010297500094</v>
      </c>
      <c r="K135" s="143">
        <f t="shared" si="34"/>
        <v>1370.2363513350483</v>
      </c>
      <c r="L135" s="46"/>
      <c r="M135" s="79">
        <f t="shared" si="35"/>
        <v>0.78535515313560522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268.71711769333638</v>
      </c>
      <c r="I136" s="143">
        <f t="shared" si="34"/>
        <v>247.07887317098968</v>
      </c>
      <c r="J136" s="143">
        <f t="shared" si="34"/>
        <v>278.8739277396258</v>
      </c>
      <c r="K136" s="143">
        <f t="shared" si="34"/>
        <v>302.48833479989912</v>
      </c>
      <c r="L136" s="46"/>
      <c r="M136" s="79">
        <f t="shared" si="35"/>
        <v>1.1256757194943678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289.13034571123421</v>
      </c>
      <c r="I137" s="143">
        <f t="shared" si="34"/>
        <v>220.85862200363357</v>
      </c>
      <c r="J137" s="143">
        <f t="shared" si="34"/>
        <v>207.73296195816522</v>
      </c>
      <c r="K137" s="143">
        <f t="shared" si="34"/>
        <v>187.76942880931659</v>
      </c>
      <c r="L137" s="46"/>
      <c r="M137" s="79">
        <f t="shared" si="35"/>
        <v>0.64942829970828886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2089.6511999999998</v>
      </c>
      <c r="I138" s="143">
        <f t="shared" si="34"/>
        <v>1281.6812856899403</v>
      </c>
      <c r="J138" s="143">
        <f t="shared" si="34"/>
        <v>1031.7234837970836</v>
      </c>
      <c r="K138" s="143">
        <f t="shared" si="34"/>
        <v>611.36759873467906</v>
      </c>
      <c r="L138" s="46"/>
      <c r="M138" s="79">
        <f t="shared" si="35"/>
        <v>0.29256920903099959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258.00164643359227</v>
      </c>
      <c r="I139" s="143">
        <f t="shared" si="34"/>
        <v>624.00619174638291</v>
      </c>
      <c r="J139" s="143">
        <f t="shared" si="34"/>
        <v>1011.5563946303823</v>
      </c>
      <c r="K139" s="143">
        <f t="shared" si="34"/>
        <v>1438.800907764449</v>
      </c>
      <c r="L139" s="46"/>
      <c r="M139" s="79">
        <f t="shared" si="35"/>
        <v>5.5767121165825033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18996.205619265562</v>
      </c>
      <c r="I140" s="145">
        <f t="shared" ref="I140:K140" si="36">SUM(I133:I139)</f>
        <v>14952.389482667746</v>
      </c>
      <c r="J140" s="145">
        <f t="shared" si="36"/>
        <v>14611.809369670415</v>
      </c>
      <c r="K140" s="145">
        <f t="shared" si="36"/>
        <v>13769.74662890939</v>
      </c>
      <c r="L140" s="21"/>
      <c r="M140" s="79">
        <f t="shared" si="35"/>
        <v>0.72486826605753285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énergie'!C48</f>
        <v>1.1068404808735261E-2</v>
      </c>
      <c r="I146" s="47">
        <v>0</v>
      </c>
      <c r="J146" s="47">
        <v>0</v>
      </c>
      <c r="K146" s="47">
        <v>0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énergie'!C49</f>
        <v>0.44151844048973238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énergie'!C50</f>
        <v>0.19276276753541544</v>
      </c>
      <c r="I148" s="47">
        <f>H148</f>
        <v>0.19276276753541544</v>
      </c>
      <c r="J148" s="47">
        <f t="shared" ref="J148:K148" si="37">I148</f>
        <v>0.19276276753541544</v>
      </c>
      <c r="K148" s="47">
        <f t="shared" si="37"/>
        <v>0.19276276753541544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énergie'!C51</f>
        <v>3.6575030316210601E-2</v>
      </c>
      <c r="I149" s="47">
        <f t="shared" ref="I149:K149" si="38">H149</f>
        <v>3.6575030316210601E-2</v>
      </c>
      <c r="J149" s="47">
        <f t="shared" si="38"/>
        <v>3.6575030316210601E-2</v>
      </c>
      <c r="K149" s="47">
        <f t="shared" si="38"/>
        <v>3.6575030316210601E-2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énergie'!C52</f>
        <v>3.1736685713051743E-2</v>
      </c>
      <c r="I150" s="47">
        <f t="shared" ref="I150:K150" si="39">H150</f>
        <v>3.1736685713051743E-2</v>
      </c>
      <c r="J150" s="47">
        <f t="shared" si="39"/>
        <v>3.1736685713051743E-2</v>
      </c>
      <c r="K150" s="47">
        <f t="shared" si="39"/>
        <v>3.1736685713051743E-2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énergie'!C53</f>
        <v>8.5410409228175652E-2</v>
      </c>
      <c r="I151" s="47">
        <f t="shared" ref="I151:K151" si="40">H151</f>
        <v>8.5410409228175652E-2</v>
      </c>
      <c r="J151" s="47">
        <f t="shared" si="40"/>
        <v>8.5410409228175652E-2</v>
      </c>
      <c r="K151" s="47">
        <f t="shared" si="40"/>
        <v>8.5410409228175652E-2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énergie'!C54</f>
        <v>0.20092826190867891</v>
      </c>
      <c r="I152" s="47">
        <v>0.65</v>
      </c>
      <c r="J152" s="47">
        <v>0.65</v>
      </c>
      <c r="K152" s="47">
        <v>0.65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1">SUM(I146:I152)</f>
        <v>0.99648489279285346</v>
      </c>
      <c r="J153" s="15">
        <f t="shared" si="41"/>
        <v>0.99648489279285346</v>
      </c>
      <c r="K153" s="15">
        <f t="shared" si="41"/>
        <v>0.99648489279285346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74.693488832435349</v>
      </c>
      <c r="J157" s="45">
        <f>K157</f>
        <v>74.693488832435349</v>
      </c>
      <c r="K157" s="45">
        <f t="shared" ref="K157:K163" si="42">K81</f>
        <v>74.693488832435349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3">J158</f>
        <v>61.950111988424467</v>
      </c>
      <c r="J158" s="45">
        <f t="shared" si="43"/>
        <v>61.950111988424467</v>
      </c>
      <c r="K158" s="45">
        <f t="shared" si="42"/>
        <v>61.950111988424467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3"/>
        <v>62.858748596574515</v>
      </c>
      <c r="J159" s="45">
        <f t="shared" si="43"/>
        <v>62.858748596574515</v>
      </c>
      <c r="K159" s="45">
        <f t="shared" si="42"/>
        <v>62.858748596574515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3"/>
        <v>55.505864143970697</v>
      </c>
      <c r="J160" s="45">
        <f t="shared" si="43"/>
        <v>55.505864143970697</v>
      </c>
      <c r="K160" s="45">
        <f t="shared" si="42"/>
        <v>55.505864143970697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3"/>
        <v>68.910455094246359</v>
      </c>
      <c r="J161" s="45">
        <f t="shared" si="43"/>
        <v>68.910455094246359</v>
      </c>
      <c r="K161" s="45">
        <f t="shared" si="42"/>
        <v>68.910455094246359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3"/>
        <v>38.310859102988289</v>
      </c>
      <c r="J162" s="45">
        <f t="shared" si="43"/>
        <v>38.310859102988289</v>
      </c>
      <c r="K162" s="45">
        <f t="shared" si="42"/>
        <v>38.310859102988289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3"/>
        <v>24.980854736976013</v>
      </c>
      <c r="J163" s="45">
        <f t="shared" si="43"/>
        <v>24.980854736976013</v>
      </c>
      <c r="K163" s="45">
        <f t="shared" si="42"/>
        <v>24.980854736976013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4">I$35*I146*I157/1000</f>
        <v>0</v>
      </c>
      <c r="J167" s="10">
        <f t="shared" si="44"/>
        <v>0</v>
      </c>
      <c r="K167" s="10">
        <f t="shared" si="44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5">H$35*H147*H158/1000</f>
        <v>0</v>
      </c>
      <c r="I168" s="10">
        <f t="shared" si="45"/>
        <v>0</v>
      </c>
      <c r="J168" s="10">
        <f t="shared" si="45"/>
        <v>0</v>
      </c>
      <c r="K168" s="10">
        <f t="shared" si="45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5"/>
        <v>0</v>
      </c>
      <c r="I169" s="10">
        <f t="shared" si="45"/>
        <v>272.14938363720501</v>
      </c>
      <c r="J169" s="10">
        <f t="shared" si="45"/>
        <v>230.56355107581783</v>
      </c>
      <c r="K169" s="10">
        <f t="shared" si="45"/>
        <v>173.56024098103993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5"/>
        <v>0</v>
      </c>
      <c r="I170" s="10">
        <f t="shared" si="45"/>
        <v>45.597605255898038</v>
      </c>
      <c r="J170" s="10">
        <f t="shared" si="45"/>
        <v>38.63005547853092</v>
      </c>
      <c r="K170" s="10">
        <f t="shared" si="45"/>
        <v>29.079365349295976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5"/>
        <v>0</v>
      </c>
      <c r="I171" s="10">
        <f t="shared" si="45"/>
        <v>49.120769376312715</v>
      </c>
      <c r="J171" s="10">
        <f t="shared" si="45"/>
        <v>41.614861910092031</v>
      </c>
      <c r="K171" s="10">
        <f t="shared" si="45"/>
        <v>31.326224061899474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5"/>
        <v>0</v>
      </c>
      <c r="I172" s="10">
        <f t="shared" si="45"/>
        <v>73.493878158912608</v>
      </c>
      <c r="J172" s="10">
        <f t="shared" si="45"/>
        <v>62.263633685980757</v>
      </c>
      <c r="K172" s="10">
        <f t="shared" si="45"/>
        <v>46.869902968056039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5"/>
        <v>0</v>
      </c>
      <c r="I173" s="10">
        <f t="shared" si="45"/>
        <v>364.70282047548983</v>
      </c>
      <c r="J173" s="10">
        <f t="shared" si="45"/>
        <v>308.97434435600184</v>
      </c>
      <c r="K173" s="10">
        <f t="shared" si="45"/>
        <v>232.5851654052309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6">SUM(I167:I173)</f>
        <v>805.06445690381815</v>
      </c>
      <c r="J174" s="11">
        <f t="shared" si="46"/>
        <v>682.04644650642342</v>
      </c>
      <c r="K174" s="11">
        <f t="shared" si="46"/>
        <v>513.42089876552234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28313.599999999999</v>
      </c>
      <c r="I179" s="10">
        <f t="shared" ref="I179:K179" si="47">I$36*($J$73*I45+(1-$J$73)*I59)+I$35*I146</f>
        <v>24262.925744298478</v>
      </c>
      <c r="J179" s="10">
        <f t="shared" si="47"/>
        <v>23027.923612996696</v>
      </c>
      <c r="K179" s="10">
        <f t="shared" si="47"/>
        <v>20749.761069185719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8">H$36*($J$73*H46+(1-$J$73)*H60)+H$35*H147</f>
        <v>94438.400000000009</v>
      </c>
      <c r="I180" s="10">
        <f t="shared" si="48"/>
        <v>89430.750083840336</v>
      </c>
      <c r="J180" s="10">
        <f t="shared" si="48"/>
        <v>95506.379024393726</v>
      </c>
      <c r="K180" s="10">
        <f t="shared" si="48"/>
        <v>99240.189306555578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8"/>
        <v>15411.199999999999</v>
      </c>
      <c r="I181" s="10">
        <f t="shared" si="48"/>
        <v>19871.232736260848</v>
      </c>
      <c r="J181" s="10">
        <f t="shared" si="48"/>
        <v>19889.115446734817</v>
      </c>
      <c r="K181" s="10">
        <f t="shared" si="48"/>
        <v>19201.517827591753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8"/>
        <v>2688</v>
      </c>
      <c r="I182" s="10">
        <f t="shared" si="48"/>
        <v>3730.927487164432</v>
      </c>
      <c r="J182" s="10">
        <f t="shared" si="48"/>
        <v>4214.7127740558371</v>
      </c>
      <c r="K182" s="10">
        <f t="shared" si="48"/>
        <v>4633.9978513753822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8"/>
        <v>2329.6</v>
      </c>
      <c r="I183" s="10">
        <f t="shared" si="48"/>
        <v>2807.614057903631</v>
      </c>
      <c r="J183" s="10">
        <f t="shared" si="48"/>
        <v>2715.1472147159175</v>
      </c>
      <c r="K183" s="10">
        <f t="shared" si="48"/>
        <v>2509.6435354542182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8"/>
        <v>30284.800000000003</v>
      </c>
      <c r="I184" s="10">
        <f t="shared" si="48"/>
        <v>24548.12495427873</v>
      </c>
      <c r="J184" s="10">
        <f t="shared" si="48"/>
        <v>22330.432838849676</v>
      </c>
      <c r="K184" s="10">
        <f t="shared" si="48"/>
        <v>15210.247397297569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8"/>
        <v>5734.4000000000005</v>
      </c>
      <c r="I185" s="10">
        <f t="shared" si="48"/>
        <v>31545.262436369834</v>
      </c>
      <c r="J185" s="10">
        <f t="shared" si="48"/>
        <v>42796.808255438242</v>
      </c>
      <c r="K185" s="10">
        <f t="shared" si="48"/>
        <v>58233.229493478968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179200</v>
      </c>
      <c r="I186" s="10">
        <f t="shared" si="48"/>
        <v>196196.83750011632</v>
      </c>
      <c r="J186" s="10">
        <f t="shared" si="48"/>
        <v>210480.51916718489</v>
      </c>
      <c r="K186" s="10">
        <f t="shared" si="48"/>
        <v>219778.58648093918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  <pageSetUpPr fitToPage="1"/>
  </sheetPr>
  <dimension ref="A1:GB1593"/>
  <sheetViews>
    <sheetView showGridLines="0" topLeftCell="A31" zoomScaleNormal="100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56508.434021496723</v>
      </c>
      <c r="I7" s="10">
        <f t="shared" si="0"/>
        <v>58708.196299912575</v>
      </c>
      <c r="J7" s="10">
        <f t="shared" si="0"/>
        <v>59578.850314187497</v>
      </c>
      <c r="K7" s="10">
        <f t="shared" si="0"/>
        <v>59003.698002486381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3336.8292087326572</v>
      </c>
      <c r="J8" s="76">
        <f t="shared" si="0"/>
        <v>2051.9847254707638</v>
      </c>
      <c r="K8" s="76">
        <f t="shared" si="0"/>
        <v>1198.8500763051807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56508.434021496723</v>
      </c>
      <c r="I9" s="96">
        <f t="shared" si="1"/>
        <v>55371.36709117992</v>
      </c>
      <c r="J9" s="96">
        <f t="shared" si="1"/>
        <v>57526.865588716733</v>
      </c>
      <c r="K9" s="96">
        <f t="shared" si="1"/>
        <v>57804.847926181203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775.02856364516128</v>
      </c>
      <c r="I13" s="86">
        <f t="shared" ref="I13:K13" si="2">I133+I167</f>
        <v>568.57449207522166</v>
      </c>
      <c r="J13" s="86">
        <f t="shared" si="2"/>
        <v>466.29985974803481</v>
      </c>
      <c r="K13" s="86">
        <f t="shared" si="2"/>
        <v>359.99718080947554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4659.8384813407274</v>
      </c>
      <c r="I14" s="86">
        <f t="shared" si="3"/>
        <v>3788.3253168365263</v>
      </c>
      <c r="J14" s="86">
        <f t="shared" si="3"/>
        <v>3531.851124992515</v>
      </c>
      <c r="K14" s="86">
        <f t="shared" si="3"/>
        <v>3158.5298013296733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196.33019618287977</v>
      </c>
      <c r="I15" s="86">
        <f t="shared" si="3"/>
        <v>198.0932523056151</v>
      </c>
      <c r="J15" s="86">
        <f t="shared" si="3"/>
        <v>183.63915546471179</v>
      </c>
      <c r="K15" s="86">
        <f t="shared" si="3"/>
        <v>164.28096893275773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23.048589382883492</v>
      </c>
      <c r="I16" s="86">
        <f t="shared" si="3"/>
        <v>25.232342169992879</v>
      </c>
      <c r="J16" s="86">
        <f t="shared" si="3"/>
        <v>30.330239222521811</v>
      </c>
      <c r="K16" s="86">
        <f t="shared" si="3"/>
        <v>34.061088258202346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21.255363322958676</v>
      </c>
      <c r="I17" s="86">
        <f t="shared" si="3"/>
        <v>20.156361333424215</v>
      </c>
      <c r="J17" s="86">
        <f t="shared" si="3"/>
        <v>20.896886874626247</v>
      </c>
      <c r="K17" s="86">
        <f t="shared" si="3"/>
        <v>20.784611725283536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922.21764323082652</v>
      </c>
      <c r="I18" s="86">
        <f t="shared" si="3"/>
        <v>677.383239048208</v>
      </c>
      <c r="J18" s="86">
        <f t="shared" si="3"/>
        <v>551.66469555367439</v>
      </c>
      <c r="K18" s="86">
        <f t="shared" si="3"/>
        <v>429.47513070410361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164.33662746238309</v>
      </c>
      <c r="I19" s="86">
        <f t="shared" si="3"/>
        <v>300.02346734792968</v>
      </c>
      <c r="J19" s="86">
        <f t="shared" si="3"/>
        <v>365.47801757048944</v>
      </c>
      <c r="K19" s="86">
        <f t="shared" si="3"/>
        <v>404.74920430433269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6762.0554645678212</v>
      </c>
      <c r="I20" s="13">
        <f t="shared" ref="I20:K20" si="4">SUM(I13:I19)</f>
        <v>5577.7884711169172</v>
      </c>
      <c r="J20" s="13">
        <f t="shared" si="4"/>
        <v>5150.1599794265721</v>
      </c>
      <c r="K20" s="13">
        <f t="shared" si="4"/>
        <v>4571.8779860638288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-0.33858240041958798</v>
      </c>
      <c r="J23" s="177">
        <f t="shared" ref="J23:K23" si="5">J118/$G118-1</f>
        <v>-0.41463697789026099</v>
      </c>
      <c r="K23" s="177">
        <f t="shared" si="5"/>
        <v>-0.51410257175962681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-0.12054028873438782</v>
      </c>
      <c r="J24" s="177">
        <f t="shared" ref="J24:K24" si="6">J129/$G129-1</f>
        <v>-0.1651640227022626</v>
      </c>
      <c r="K24" s="177">
        <f t="shared" si="6"/>
        <v>-0.23370921805023692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56508.434021496723</v>
      </c>
      <c r="H34" s="125">
        <f>'Init. parc'!C10</f>
        <v>56508.434021496723</v>
      </c>
      <c r="I34" s="125">
        <f>'Init. parc'!D10</f>
        <v>58708.196299912575</v>
      </c>
      <c r="J34" s="125">
        <f>'Init. parc'!E10</f>
        <v>59578.850314187497</v>
      </c>
      <c r="K34" s="125">
        <f>'Init. parc'!F10</f>
        <v>59003.698002486381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parc'!N10</f>
        <v>3336.8292087326572</v>
      </c>
      <c r="J35" s="125">
        <f>'Init. parc'!O10</f>
        <v>2051.9847254707638</v>
      </c>
      <c r="K35" s="125">
        <f>'Init. parc'!P10</f>
        <v>1198.8500763051807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56508.434021496723</v>
      </c>
      <c r="H36" s="125">
        <f>H34-H35</f>
        <v>56508.434021496723</v>
      </c>
      <c r="I36" s="125">
        <f>I34-I35</f>
        <v>55371.36709117992</v>
      </c>
      <c r="J36" s="125">
        <f>J34-J35</f>
        <v>57526.865588716733</v>
      </c>
      <c r="K36" s="125">
        <f>K34-K35</f>
        <v>57804.847926181203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0.115</v>
      </c>
      <c r="H45" s="55">
        <f>'Init. énergie'!B57</f>
        <v>0.115</v>
      </c>
      <c r="I45" s="47">
        <f>H45+((K45-H45)/3)</f>
        <v>9.6666666666666665E-2</v>
      </c>
      <c r="J45" s="47">
        <f>H45+((K45-H45)/3*2)</f>
        <v>7.8333333333333338E-2</v>
      </c>
      <c r="K45" s="47">
        <v>0.06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0.47399999999999998</v>
      </c>
      <c r="H46" s="55">
        <f>'Init. énergie'!B58</f>
        <v>0.47399999999999998</v>
      </c>
      <c r="I46" s="47">
        <f t="shared" ref="I46:I49" si="8">H46+((K46-H46)/3)</f>
        <v>0.44933333333333331</v>
      </c>
      <c r="J46" s="47">
        <f t="shared" ref="J46:J51" si="9">H46+((K46-H46)/3*2)</f>
        <v>0.42466666666666669</v>
      </c>
      <c r="K46" s="47">
        <v>0.4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7.4999999999999997E-2</v>
      </c>
      <c r="H47" s="55">
        <f>'Init. énergie'!B59</f>
        <v>7.4999999999999997E-2</v>
      </c>
      <c r="I47" s="47">
        <v>0.1</v>
      </c>
      <c r="J47" s="47">
        <v>0.09</v>
      </c>
      <c r="K47" s="47">
        <v>0.08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8.9999999999999993E-3</v>
      </c>
      <c r="H48" s="55">
        <f>'Init. énergie'!B60</f>
        <v>8.9999999999999993E-3</v>
      </c>
      <c r="I48" s="47">
        <f t="shared" si="8"/>
        <v>9.3333333333333324E-3</v>
      </c>
      <c r="J48" s="47">
        <f t="shared" si="9"/>
        <v>9.6666666666666672E-3</v>
      </c>
      <c r="K48" s="47">
        <v>0.01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8.0000000000000002E-3</v>
      </c>
      <c r="H49" s="55">
        <f>'Init. énergie'!B61</f>
        <v>8.0000000000000002E-3</v>
      </c>
      <c r="I49" s="47">
        <f t="shared" si="8"/>
        <v>8.6666666666666663E-3</v>
      </c>
      <c r="J49" s="47">
        <f t="shared" si="9"/>
        <v>9.3333333333333341E-3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0.255</v>
      </c>
      <c r="H50" s="55">
        <f>'Init. énergie'!B62</f>
        <v>0.255</v>
      </c>
      <c r="I50" s="47">
        <v>0.22</v>
      </c>
      <c r="J50" s="47">
        <v>0.2</v>
      </c>
      <c r="K50" s="47">
        <f>1-K45-K46-K47-K48-K49-K51</f>
        <v>0.18999999999999989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6.4000000000000001E-2</v>
      </c>
      <c r="H51" s="55">
        <f>'Init. énergie'!B63</f>
        <v>6.4000000000000001E-2</v>
      </c>
      <c r="I51" s="47">
        <v>0.12</v>
      </c>
      <c r="J51" s="47">
        <f t="shared" si="9"/>
        <v>0.188</v>
      </c>
      <c r="K51" s="123">
        <v>0.25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</v>
      </c>
      <c r="H52" s="149">
        <f t="shared" si="10"/>
        <v>1</v>
      </c>
      <c r="I52" s="155">
        <f t="shared" si="10"/>
        <v>1.004</v>
      </c>
      <c r="J52" s="155">
        <f t="shared" si="10"/>
        <v>1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-4.1520866442486058E-2</v>
      </c>
      <c r="J55" s="142">
        <f>(I$81*(J45-I45)+I$82*(J46-I46)+I$83*(J47-I47)+I$84*(J48-I48)+I$85*(J49-I49)+I$86*(J50-I50)+I$87*(J51-I51))/(I$81*I45+I$82*I46+I$83*I47+I$84*I48+I$85*I49+I$86*I50+I$87*I51)</f>
        <v>-4.4331604862578936E-2</v>
      </c>
      <c r="K55" s="142">
        <f>(J$81*(K45-J45)+J$82*(K46-J46)+J$83*(K47-J47)+J$84*(K48-J48)+J$85*(K49-J49)+J$86*(K50-J50)+J$87*(K51-J51))/(J$81*J45+J$82*J46+J$83*J47+J$84*J48+J$85*J49+J$86*J50+J$87*J51)</f>
        <v>-4.3036598982699036E-2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0.115</v>
      </c>
      <c r="H59" s="55">
        <f>H45</f>
        <v>0.115</v>
      </c>
      <c r="I59" s="47">
        <f>H59+((K59-H59)/3)</f>
        <v>0.10333333333333333</v>
      </c>
      <c r="J59" s="47">
        <f>H59+((K59-H59)/3*2)</f>
        <v>9.1666666666666674E-2</v>
      </c>
      <c r="K59" s="47">
        <v>0.08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0.47399999999999998</v>
      </c>
      <c r="H60" s="55">
        <f t="shared" ref="H60:H65" si="12">H46</f>
        <v>0.47399999999999998</v>
      </c>
      <c r="I60" s="47">
        <f t="shared" ref="I60:I65" si="13">H60+((K60-H60)/3)</f>
        <v>0.46599999999999997</v>
      </c>
      <c r="J60" s="47">
        <f t="shared" ref="J60:J65" si="14">H60+((K60-H60)/3*2)</f>
        <v>0.45800000000000002</v>
      </c>
      <c r="K60" s="47">
        <v>0.45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7.4999999999999997E-2</v>
      </c>
      <c r="H61" s="55">
        <f t="shared" si="12"/>
        <v>7.4999999999999997E-2</v>
      </c>
      <c r="I61" s="47">
        <v>0.08</v>
      </c>
      <c r="J61" s="47">
        <v>0.08</v>
      </c>
      <c r="K61" s="47">
        <v>0.08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8.9999999999999993E-3</v>
      </c>
      <c r="H62" s="55">
        <f t="shared" si="12"/>
        <v>8.9999999999999993E-3</v>
      </c>
      <c r="I62" s="47">
        <f t="shared" si="13"/>
        <v>1.2666666666666666E-2</v>
      </c>
      <c r="J62" s="47">
        <f t="shared" si="14"/>
        <v>1.6333333333333332E-2</v>
      </c>
      <c r="K62" s="47">
        <v>0.02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8.0000000000000002E-3</v>
      </c>
      <c r="H63" s="55">
        <f t="shared" si="12"/>
        <v>8.0000000000000002E-3</v>
      </c>
      <c r="I63" s="47">
        <f t="shared" si="13"/>
        <v>8.6666666666666663E-3</v>
      </c>
      <c r="J63" s="47">
        <f t="shared" si="14"/>
        <v>9.3333333333333341E-3</v>
      </c>
      <c r="K63" s="47">
        <v>0.01</v>
      </c>
      <c r="L63" s="64"/>
      <c r="M63" s="494"/>
      <c r="N63" s="33"/>
      <c r="O63" s="42"/>
    </row>
    <row r="64" spans="1:15">
      <c r="C64" s="40"/>
      <c r="D64" s="32"/>
      <c r="E64" s="151" t="s">
        <v>25</v>
      </c>
      <c r="F64" s="55"/>
      <c r="G64" s="55">
        <f t="shared" si="11"/>
        <v>0.255</v>
      </c>
      <c r="H64" s="55">
        <f t="shared" si="12"/>
        <v>0.255</v>
      </c>
      <c r="I64" s="47">
        <f t="shared" si="13"/>
        <v>0.22333333333333333</v>
      </c>
      <c r="J64" s="47">
        <f t="shared" si="14"/>
        <v>0.19166666666666665</v>
      </c>
      <c r="K64" s="47">
        <f>1-K59-K60-K61-K62-K63-K65</f>
        <v>0.15999999999999998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6.4000000000000001E-2</v>
      </c>
      <c r="H65" s="55">
        <f t="shared" si="12"/>
        <v>6.4000000000000001E-2</v>
      </c>
      <c r="I65" s="47">
        <f t="shared" si="13"/>
        <v>0.10933333333333334</v>
      </c>
      <c r="J65" s="47">
        <f t="shared" si="14"/>
        <v>0.15466666666666667</v>
      </c>
      <c r="K65" s="123">
        <v>0.2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</v>
      </c>
      <c r="H66" s="149">
        <v>1</v>
      </c>
      <c r="I66" s="47">
        <f t="shared" ref="I66:J66" si="16">SUM(I59:I65)</f>
        <v>1.0033333333333332</v>
      </c>
      <c r="J66" s="47">
        <f t="shared" si="16"/>
        <v>1.0016666666666667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-1.9393758637543487E-2</v>
      </c>
      <c r="J69" s="142">
        <f>(I$101*(J59-I59)+I$102*(J60-I60)+I$103*(J61-I61)+I$104*(J62-I62)+I$105*(J63-I63)+I$106*(J64-I64)+I$107*(J65-I65))/(I$101*I59+I$102*I60+I$103*I61+I$104*I62+I$105*I63+I$106*I64+I$107*I65)</f>
        <v>-2.1720508144698884E-2</v>
      </c>
      <c r="K69" s="142">
        <f>(J$101*(K59-J59)+J$102*(K60-J60)+J$103*(K61-J61)+J$104*(K62-J62)+J$105*(K63-J63)+J$106*(K64-J64)+J$107*(K65-J65))/(J$101*J59+J$102*J60+J$103*J61+J$104*J62+J$105*J63+J$106*J64+J$107*J65)</f>
        <v>-2.2165714076874996E-2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bord'!K12</f>
        <v>0.77</v>
      </c>
      <c r="I73" s="92">
        <f>'Tableau de bord'!K24</f>
        <v>0.50149999999999995</v>
      </c>
      <c r="J73" s="92">
        <f>'Tableau de bord'!K27</f>
        <v>0.38615499999999997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121.67495192230112</v>
      </c>
      <c r="H81" s="54">
        <f>'Init. énergie'!D57</f>
        <v>119.26323797509556</v>
      </c>
      <c r="I81" s="81">
        <f>G81*(1-H$77)/(1+I$55)</f>
        <v>85.688451289195427</v>
      </c>
      <c r="J81" s="81">
        <f>G81*(1-I$77)/(1+I$55)/(1+J$55)</f>
        <v>76.379909898058415</v>
      </c>
      <c r="K81" s="81">
        <f>G81*(1-J$77)/(1+I$55)/(1+J$55)/(1+K$55)</f>
        <v>65.934023432888864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177.48997849304948</v>
      </c>
      <c r="H82" s="54">
        <f>'Init. énergie'!D58</f>
        <v>173.97195732387533</v>
      </c>
      <c r="I82" s="81">
        <f t="shared" ref="I82:I87" si="18">G82*(1-H$77)/(1+I$55)</f>
        <v>124.99566374297017</v>
      </c>
      <c r="J82" s="81">
        <f t="shared" ref="J82:J87" si="19">G82*(1-I$77)/(1+I$55)/(1+J$55)</f>
        <v>111.4170858581019</v>
      </c>
      <c r="K82" s="81">
        <f t="shared" ref="K82:K87" si="20">G82*(1-J$77)/(1+I$55)/(1+J$55)/(1+K$55)</f>
        <v>96.179437231556889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47.261462002481188</v>
      </c>
      <c r="H83" s="54">
        <f>'Init. énergie'!D59</f>
        <v>46.324694613006521</v>
      </c>
      <c r="I83" s="81">
        <f t="shared" si="18"/>
        <v>33.283444297079775</v>
      </c>
      <c r="J83" s="81">
        <f t="shared" si="19"/>
        <v>29.667784144309159</v>
      </c>
      <c r="K83" s="81">
        <f t="shared" si="20"/>
        <v>25.610351957517732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46.23630888628297</v>
      </c>
      <c r="H84" s="54">
        <f>'Init. énergie'!D60</f>
        <v>45.319861012282082</v>
      </c>
      <c r="I84" s="81">
        <f t="shared" si="18"/>
        <v>32.561489765982756</v>
      </c>
      <c r="J84" s="81">
        <f t="shared" si="19"/>
        <v>29.024257260510307</v>
      </c>
      <c r="K84" s="81">
        <f t="shared" si="20"/>
        <v>25.05483524255018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47.968911187374374</v>
      </c>
      <c r="H85" s="54">
        <f>'Init. énergie'!D61</f>
        <v>47.018121478275241</v>
      </c>
      <c r="I85" s="81">
        <f t="shared" si="18"/>
        <v>33.781658794489339</v>
      </c>
      <c r="J85" s="81">
        <f t="shared" si="19"/>
        <v>30.111876409363859</v>
      </c>
      <c r="K85" s="81">
        <f t="shared" si="20"/>
        <v>25.993709176052839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65.294193376280688</v>
      </c>
      <c r="H86" s="54">
        <f>'Init. énergie'!D62</f>
        <v>64</v>
      </c>
      <c r="I86" s="81">
        <f t="shared" si="18"/>
        <v>45.98282736255814</v>
      </c>
      <c r="J86" s="81">
        <f t="shared" si="19"/>
        <v>40.987602856267507</v>
      </c>
      <c r="K86" s="81">
        <f t="shared" si="20"/>
        <v>35.382047069576096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46.359176315872006</v>
      </c>
      <c r="H87" s="54">
        <f>'Init. énergie'!D63</f>
        <v>45.44029309187578</v>
      </c>
      <c r="I87" s="81">
        <f t="shared" si="18"/>
        <v>32.648018008558857</v>
      </c>
      <c r="J87" s="81">
        <f t="shared" si="19"/>
        <v>29.101385733159386</v>
      </c>
      <c r="K87" s="81">
        <f t="shared" si="20"/>
        <v>25.121415453626287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121.67495192230112</v>
      </c>
      <c r="H101" s="54">
        <f>H81</f>
        <v>119.26323797509556</v>
      </c>
      <c r="I101" s="81">
        <f>$H101*(1+$G91)^(I$100-$H$100)</f>
        <v>110.83041558922878</v>
      </c>
      <c r="J101" s="81">
        <f>$H101*(1+$G91)^(J$100-$H$100)</f>
        <v>102.99385819330321</v>
      </c>
      <c r="K101" s="81">
        <f>$H101*(1+$G91)^(K$100-$H$100)</f>
        <v>95.711405295616146</v>
      </c>
      <c r="L101" s="67"/>
      <c r="M101" s="79">
        <f>(K101-G101)/H101</f>
        <v>-0.21769949455930968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177.48997849304948</v>
      </c>
      <c r="H102" s="54">
        <f t="shared" si="22"/>
        <v>173.97195732387533</v>
      </c>
      <c r="I102" s="81">
        <f t="shared" ref="I102:K107" si="23">$H102*(1+$G92)^(I$100-$H$100)</f>
        <v>163.35643398130466</v>
      </c>
      <c r="J102" s="81">
        <f t="shared" si="23"/>
        <v>153.38865489344096</v>
      </c>
      <c r="K102" s="81">
        <f t="shared" si="23"/>
        <v>144.02909561989952</v>
      </c>
      <c r="L102" s="67"/>
      <c r="M102" s="79">
        <f t="shared" ref="M102:M107" si="24">(K102-G102)/H102</f>
        <v>-0.19233492217862111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47.261462002481188</v>
      </c>
      <c r="H103" s="54">
        <f t="shared" si="22"/>
        <v>46.324694613006521</v>
      </c>
      <c r="I103" s="81">
        <f t="shared" si="23"/>
        <v>44.478821647149182</v>
      </c>
      <c r="J103" s="81">
        <f t="shared" si="23"/>
        <v>42.706500099915253</v>
      </c>
      <c r="K103" s="81">
        <f t="shared" si="23"/>
        <v>41.004799211018636</v>
      </c>
      <c r="L103" s="67"/>
      <c r="M103" s="79">
        <f t="shared" si="24"/>
        <v>-0.13506106934390621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46.23630888628297</v>
      </c>
      <c r="H104" s="54">
        <f t="shared" si="22"/>
        <v>45.319861012282082</v>
      </c>
      <c r="I104" s="81">
        <f t="shared" si="23"/>
        <v>43.514027062207944</v>
      </c>
      <c r="J104" s="81">
        <f t="shared" si="23"/>
        <v>41.780149119553087</v>
      </c>
      <c r="K104" s="81">
        <f t="shared" si="23"/>
        <v>40.115359995446944</v>
      </c>
      <c r="L104" s="67"/>
      <c r="M104" s="79">
        <f t="shared" si="24"/>
        <v>-0.1350610693439063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47.968911187374374</v>
      </c>
      <c r="H105" s="54">
        <f t="shared" si="22"/>
        <v>47.018121478275241</v>
      </c>
      <c r="I105" s="81">
        <f t="shared" si="23"/>
        <v>45.144617938377607</v>
      </c>
      <c r="J105" s="81">
        <f>$H105*(1+$G95)^(J$100-$H$100)</f>
        <v>43.345766796399154</v>
      </c>
      <c r="K105" s="81">
        <f>$H105*(1+$G95)^(K$100-$H$100)</f>
        <v>41.618593421976833</v>
      </c>
      <c r="L105" s="67"/>
      <c r="M105" s="79">
        <f t="shared" si="24"/>
        <v>-0.13506106934390627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65.294193376280688</v>
      </c>
      <c r="H106" s="54">
        <f t="shared" si="22"/>
        <v>64</v>
      </c>
      <c r="I106" s="81">
        <f t="shared" si="23"/>
        <v>58.133231087529012</v>
      </c>
      <c r="J106" s="81">
        <f t="shared" si="23"/>
        <v>52.804258698063279</v>
      </c>
      <c r="K106" s="81">
        <f t="shared" si="23"/>
        <v>47.963783957815252</v>
      </c>
      <c r="L106" s="67"/>
      <c r="M106" s="79">
        <f t="shared" si="24"/>
        <v>-0.27078764716352244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46.359176315872006</v>
      </c>
      <c r="H107" s="54">
        <f t="shared" si="22"/>
        <v>45.44029309187578</v>
      </c>
      <c r="I107" s="81">
        <f t="shared" si="23"/>
        <v>41.274860296797861</v>
      </c>
      <c r="J107" s="81">
        <f t="shared" si="23"/>
        <v>37.491265495925411</v>
      </c>
      <c r="K107" s="81">
        <f t="shared" si="23"/>
        <v>34.054506263102105</v>
      </c>
      <c r="L107" s="67"/>
      <c r="M107" s="79">
        <f t="shared" si="24"/>
        <v>-0.27078764716352233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305.33315012626258</v>
      </c>
      <c r="H111" s="54">
        <f t="shared" si="25"/>
        <v>299.28115499439724</v>
      </c>
      <c r="I111" s="125">
        <f t="shared" si="25"/>
        <v>177.11116731595527</v>
      </c>
      <c r="J111" s="125">
        <f t="shared" si="25"/>
        <v>132.91014245374728</v>
      </c>
      <c r="K111" s="125">
        <f t="shared" si="25"/>
        <v>88.305296686356897</v>
      </c>
      <c r="L111" s="46"/>
      <c r="M111" s="79">
        <f>(K111-G111)/H111</f>
        <v>-0.72516377933641907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1835.8073874019944</v>
      </c>
      <c r="H112" s="54">
        <f t="shared" si="25"/>
        <v>1799.4199287621288</v>
      </c>
      <c r="I112" s="125">
        <f t="shared" si="25"/>
        <v>1200.9100884687471</v>
      </c>
      <c r="J112" s="125">
        <f t="shared" si="25"/>
        <v>1051.0716994478732</v>
      </c>
      <c r="K112" s="125">
        <f t="shared" si="25"/>
        <v>858.75276502773045</v>
      </c>
      <c r="L112" s="46"/>
      <c r="M112" s="79">
        <f t="shared" ref="M112:M118" si="26">(K112-G112)/H112</f>
        <v>-0.54298310625380652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77.346978004892634</v>
      </c>
      <c r="H113" s="54">
        <f t="shared" si="25"/>
        <v>75.81388690699994</v>
      </c>
      <c r="I113" s="125">
        <f t="shared" si="25"/>
        <v>71.166428474261906</v>
      </c>
      <c r="J113" s="125">
        <f t="shared" si="25"/>
        <v>59.314379863561115</v>
      </c>
      <c r="K113" s="125">
        <f t="shared" si="25"/>
        <v>45.73318619842312</v>
      </c>
      <c r="L113" s="46"/>
      <c r="M113" s="79">
        <f t="shared" si="26"/>
        <v>-0.41699209862765385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9.0803084329477581</v>
      </c>
      <c r="H114" s="54">
        <f t="shared" si="25"/>
        <v>8.9003280331473746</v>
      </c>
      <c r="I114" s="125">
        <f t="shared" si="25"/>
        <v>6.4981233642123408</v>
      </c>
      <c r="J114" s="125">
        <f t="shared" si="25"/>
        <v>6.2326140192234298</v>
      </c>
      <c r="K114" s="125">
        <f t="shared" si="25"/>
        <v>5.592647883261562</v>
      </c>
      <c r="L114" s="46"/>
      <c r="M114" s="79">
        <f t="shared" si="26"/>
        <v>-0.39185752892445624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8.3738423909864572</v>
      </c>
      <c r="H115" s="54">
        <f t="shared" si="25"/>
        <v>8.2078648239771077</v>
      </c>
      <c r="I115" s="125">
        <f t="shared" si="25"/>
        <v>6.2600812939626014</v>
      </c>
      <c r="J115" s="125">
        <f t="shared" si="25"/>
        <v>6.243196008784099</v>
      </c>
      <c r="K115" s="125">
        <f t="shared" si="25"/>
        <v>5.8022198587314211</v>
      </c>
      <c r="L115" s="46"/>
      <c r="M115" s="79">
        <f t="shared" si="26"/>
        <v>-0.31331199860196535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363.32031013840952</v>
      </c>
      <c r="H116" s="54">
        <f t="shared" si="25"/>
        <v>356.11895402179982</v>
      </c>
      <c r="I116" s="125">
        <f t="shared" si="25"/>
        <v>216.30435371208492</v>
      </c>
      <c r="J116" s="125">
        <f t="shared" si="25"/>
        <v>182.10207286634065</v>
      </c>
      <c r="K116" s="125">
        <f t="shared" si="25"/>
        <v>150.05915009763632</v>
      </c>
      <c r="L116" s="46"/>
      <c r="M116" s="79">
        <f t="shared" si="26"/>
        <v>-0.59884810295078661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64.742672074198182</v>
      </c>
      <c r="H117" s="54">
        <f t="shared" si="25"/>
        <v>63.459410377736546</v>
      </c>
      <c r="I117" s="125">
        <f t="shared" si="25"/>
        <v>83.769317298800317</v>
      </c>
      <c r="J117" s="125">
        <f t="shared" si="25"/>
        <v>121.53570734161816</v>
      </c>
      <c r="K117" s="125">
        <f t="shared" si="25"/>
        <v>140.18774180827262</v>
      </c>
      <c r="L117" s="46"/>
      <c r="M117" s="79">
        <f t="shared" si="26"/>
        <v>1.1888712688156777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2664.0046485696917</v>
      </c>
      <c r="H118" s="146">
        <f>SUM(H111:H117)</f>
        <v>2611.2015279201869</v>
      </c>
      <c r="I118" s="144">
        <f t="shared" ref="I118:J118" si="27">SUM(I111:I117)</f>
        <v>1762.0195599280246</v>
      </c>
      <c r="J118" s="144">
        <f t="shared" si="27"/>
        <v>1559.4098120011479</v>
      </c>
      <c r="K118" s="144">
        <f>SUM(K111:K117)</f>
        <v>1294.4330075604123</v>
      </c>
      <c r="L118" s="21"/>
      <c r="M118" s="79">
        <f t="shared" si="26"/>
        <v>-0.52449863649556705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485.36786404230332</v>
      </c>
      <c r="H122" s="147">
        <f t="shared" si="28"/>
        <v>475.74740865076404</v>
      </c>
      <c r="I122" s="143">
        <f>I$36*I59*(1-$J$73)*I101/1000</f>
        <v>389.2632190068652</v>
      </c>
      <c r="J122" s="143">
        <f t="shared" ref="J122:K122" si="29">J$36*J59*(1-$J$73)*J101/1000</f>
        <v>333.38971729428749</v>
      </c>
      <c r="K122" s="143">
        <f t="shared" si="29"/>
        <v>271.69188412311865</v>
      </c>
      <c r="L122" s="46"/>
      <c r="M122" s="79">
        <f>(K122-G122)/H122</f>
        <v>-0.44913745410653327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2918.2612829557488</v>
      </c>
      <c r="H123" s="147">
        <f t="shared" si="28"/>
        <v>2860.4185525785988</v>
      </c>
      <c r="I123" s="143">
        <f t="shared" ref="I123:K128" si="30">I$36*I60*(1-$J$73)*I102/1000</f>
        <v>2587.415228367779</v>
      </c>
      <c r="J123" s="143">
        <f t="shared" si="30"/>
        <v>2480.779425544642</v>
      </c>
      <c r="K123" s="143">
        <f t="shared" si="30"/>
        <v>2299.7770363019431</v>
      </c>
      <c r="L123" s="46"/>
      <c r="M123" s="79">
        <f t="shared" ref="M123:M129" si="31">(K123-G123)/H123</f>
        <v>-0.21622158970275765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122.95336254460857</v>
      </c>
      <c r="H124" s="147">
        <f t="shared" si="28"/>
        <v>120.51630927587985</v>
      </c>
      <c r="I124" s="143">
        <f t="shared" si="30"/>
        <v>120.94480789930937</v>
      </c>
      <c r="J124" s="143">
        <f t="shared" si="30"/>
        <v>120.64613202899771</v>
      </c>
      <c r="K124" s="143">
        <f t="shared" si="30"/>
        <v>116.39857466644152</v>
      </c>
      <c r="L124" s="46"/>
      <c r="M124" s="79">
        <f t="shared" si="31"/>
        <v>-5.4389218501225078E-2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14.434364257934812</v>
      </c>
      <c r="H125" s="147">
        <f t="shared" si="28"/>
        <v>14.148261349736115</v>
      </c>
      <c r="I125" s="143">
        <f t="shared" si="30"/>
        <v>18.734218805780539</v>
      </c>
      <c r="J125" s="143">
        <f t="shared" si="30"/>
        <v>24.097625203298382</v>
      </c>
      <c r="K125" s="143">
        <f t="shared" si="30"/>
        <v>28.468440374940787</v>
      </c>
      <c r="L125" s="46"/>
      <c r="M125" s="79">
        <f t="shared" si="31"/>
        <v>0.99192938058553248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13.311342032331789</v>
      </c>
      <c r="H126" s="147">
        <f t="shared" si="28"/>
        <v>13.047498498981568</v>
      </c>
      <c r="I126" s="143">
        <f t="shared" si="30"/>
        <v>13.298481210950971</v>
      </c>
      <c r="J126" s="143">
        <f t="shared" si="30"/>
        <v>14.286074188968822</v>
      </c>
      <c r="K126" s="143">
        <f t="shared" si="30"/>
        <v>14.767615764347196</v>
      </c>
      <c r="L126" s="46"/>
      <c r="M126" s="79">
        <f t="shared" si="31"/>
        <v>0.11161325154619318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577.54620755114399</v>
      </c>
      <c r="H127" s="147">
        <f t="shared" si="28"/>
        <v>566.0986892090267</v>
      </c>
      <c r="I127" s="143">
        <f t="shared" si="30"/>
        <v>441.28785884979106</v>
      </c>
      <c r="J127" s="143">
        <f t="shared" si="30"/>
        <v>357.39212143870537</v>
      </c>
      <c r="K127" s="143">
        <f t="shared" si="30"/>
        <v>272.3054957332219</v>
      </c>
      <c r="L127" s="46"/>
      <c r="M127" s="79">
        <f t="shared" si="31"/>
        <v>-0.53920052746353342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102.91713311853057</v>
      </c>
      <c r="H128" s="147">
        <f t="shared" si="28"/>
        <v>100.87721708464655</v>
      </c>
      <c r="I128" s="143">
        <f t="shared" si="30"/>
        <v>153.38474541135326</v>
      </c>
      <c r="J128" s="143">
        <f t="shared" si="30"/>
        <v>204.76525202615605</v>
      </c>
      <c r="K128" s="143">
        <f t="shared" si="30"/>
        <v>241.67268626261983</v>
      </c>
      <c r="L128" s="46"/>
      <c r="M128" s="79">
        <f t="shared" si="31"/>
        <v>1.3754895025272043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4234.7915565026015</v>
      </c>
      <c r="H129" s="148">
        <f>SUM(H122:H128)</f>
        <v>4150.8539366476334</v>
      </c>
      <c r="I129" s="145">
        <f t="shared" ref="I129:K129" si="32">SUM(I122:I128)</f>
        <v>3724.32855955183</v>
      </c>
      <c r="J129" s="145">
        <f t="shared" si="32"/>
        <v>3535.3563477250559</v>
      </c>
      <c r="K129" s="145">
        <f t="shared" si="32"/>
        <v>3245.0817332266329</v>
      </c>
      <c r="L129" s="21"/>
      <c r="M129" s="79">
        <f t="shared" si="31"/>
        <v>-0.23843523245611742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775.02856364516128</v>
      </c>
      <c r="I133" s="143">
        <f t="shared" ref="I133:K133" si="33">I111+I122</f>
        <v>566.37438632282044</v>
      </c>
      <c r="J133" s="143">
        <f t="shared" si="33"/>
        <v>466.29985974803481</v>
      </c>
      <c r="K133" s="143">
        <f t="shared" si="33"/>
        <v>359.99718080947554</v>
      </c>
      <c r="L133" s="46"/>
      <c r="M133" s="79">
        <f>(K133-G133)/H133</f>
        <v>0.46449537177870581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4659.8384813407274</v>
      </c>
      <c r="I134" s="143">
        <f t="shared" si="34"/>
        <v>3788.3253168365263</v>
      </c>
      <c r="J134" s="143">
        <f t="shared" si="34"/>
        <v>3531.851124992515</v>
      </c>
      <c r="K134" s="143">
        <f t="shared" si="34"/>
        <v>3158.5298013296733</v>
      </c>
      <c r="L134" s="46"/>
      <c r="M134" s="79">
        <f t="shared" ref="M134:M140" si="35">(K134-G134)/H134</f>
        <v>0.67781958837785772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196.33019618287977</v>
      </c>
      <c r="I135" s="143">
        <f t="shared" si="34"/>
        <v>192.11123637357127</v>
      </c>
      <c r="J135" s="143">
        <f t="shared" si="34"/>
        <v>179.96051189255883</v>
      </c>
      <c r="K135" s="143">
        <f t="shared" si="34"/>
        <v>162.13176086486465</v>
      </c>
      <c r="L135" s="46"/>
      <c r="M135" s="79">
        <f t="shared" si="35"/>
        <v>0.82581163782793965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23.048589382883492</v>
      </c>
      <c r="I136" s="143">
        <f t="shared" si="34"/>
        <v>25.232342169992879</v>
      </c>
      <c r="J136" s="143">
        <f t="shared" si="34"/>
        <v>30.330239222521811</v>
      </c>
      <c r="K136" s="143">
        <f t="shared" si="34"/>
        <v>34.061088258202346</v>
      </c>
      <c r="L136" s="46"/>
      <c r="M136" s="79">
        <f t="shared" si="35"/>
        <v>1.4777949180480883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21.255363322958676</v>
      </c>
      <c r="I137" s="143">
        <f t="shared" si="34"/>
        <v>19.558562504913574</v>
      </c>
      <c r="J137" s="143">
        <f t="shared" si="34"/>
        <v>20.529270197752922</v>
      </c>
      <c r="K137" s="143">
        <f t="shared" si="34"/>
        <v>20.569835623078617</v>
      </c>
      <c r="L137" s="46"/>
      <c r="M137" s="79">
        <f t="shared" si="35"/>
        <v>0.96774801307961666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922.21764323082652</v>
      </c>
      <c r="I138" s="143">
        <f t="shared" si="34"/>
        <v>657.59221256187595</v>
      </c>
      <c r="J138" s="143">
        <f t="shared" si="34"/>
        <v>539.49419430504599</v>
      </c>
      <c r="K138" s="143">
        <f t="shared" si="34"/>
        <v>422.36464583085819</v>
      </c>
      <c r="L138" s="46"/>
      <c r="M138" s="79">
        <f t="shared" si="35"/>
        <v>0.45798803452857212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164.33662746238309</v>
      </c>
      <c r="I139" s="143">
        <f t="shared" si="34"/>
        <v>237.1540627101536</v>
      </c>
      <c r="J139" s="143">
        <f t="shared" si="34"/>
        <v>326.30095936777423</v>
      </c>
      <c r="K139" s="143">
        <f t="shared" si="34"/>
        <v>381.86042807089245</v>
      </c>
      <c r="L139" s="46"/>
      <c r="M139" s="79">
        <f t="shared" si="35"/>
        <v>2.3236477099927155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6762.0554645678212</v>
      </c>
      <c r="I140" s="145">
        <f t="shared" ref="I140:K140" si="36">SUM(I133:I139)</f>
        <v>5486.3481194798542</v>
      </c>
      <c r="J140" s="145">
        <f t="shared" si="36"/>
        <v>5094.766159726204</v>
      </c>
      <c r="K140" s="145">
        <f t="shared" si="36"/>
        <v>4539.5147407870454</v>
      </c>
      <c r="L140" s="21"/>
      <c r="M140" s="79">
        <f t="shared" si="35"/>
        <v>0.67132172526141454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énergie'!C57</f>
        <v>1.9344819899405983E-2</v>
      </c>
      <c r="I146" s="47">
        <v>0.01</v>
      </c>
      <c r="J146" s="47">
        <v>0</v>
      </c>
      <c r="K146" s="47">
        <v>0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énergie'!C58</f>
        <v>0.52399466367463399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énergie'!C59</f>
        <v>6.7035227617333368E-2</v>
      </c>
      <c r="I148" s="47">
        <v>7.0000000000000007E-2</v>
      </c>
      <c r="J148" s="47">
        <v>7.0000000000000007E-2</v>
      </c>
      <c r="K148" s="47">
        <v>7.0000000000000007E-2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énergie'!C60</f>
        <v>7.5158331919586794E-3</v>
      </c>
      <c r="I149" s="47">
        <v>0</v>
      </c>
      <c r="J149" s="47">
        <v>0</v>
      </c>
      <c r="K149" s="47">
        <f t="shared" ref="K149" si="37">J149</f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énergie'!C61</f>
        <v>6.8921199229294077E-3</v>
      </c>
      <c r="I150" s="47">
        <f t="shared" ref="I150:K150" si="38">H150</f>
        <v>6.8921199229294077E-3</v>
      </c>
      <c r="J150" s="47">
        <f t="shared" si="38"/>
        <v>6.8921199229294077E-3</v>
      </c>
      <c r="K150" s="47">
        <f t="shared" si="38"/>
        <v>6.8921199229294077E-3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énergie'!C62</f>
        <v>0.16762986130287999</v>
      </c>
      <c r="I151" s="47">
        <f t="shared" ref="I151:K151" si="39">H151</f>
        <v>0.16762986130287999</v>
      </c>
      <c r="J151" s="47">
        <f t="shared" si="39"/>
        <v>0.16762986130287999</v>
      </c>
      <c r="K151" s="47">
        <f t="shared" si="39"/>
        <v>0.16762986130287999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énergie'!C63</f>
        <v>0.20758747439085867</v>
      </c>
      <c r="I152" s="47">
        <v>0.75</v>
      </c>
      <c r="J152" s="47">
        <v>0.76</v>
      </c>
      <c r="K152" s="47">
        <v>0.76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0">SUM(I146:I152)</f>
        <v>1.0045219812258095</v>
      </c>
      <c r="J153" s="15">
        <f t="shared" si="40"/>
        <v>1.0045219812258095</v>
      </c>
      <c r="K153" s="15">
        <f t="shared" si="40"/>
        <v>1.0045219812258095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65.934023432888864</v>
      </c>
      <c r="J157" s="45">
        <f>K157</f>
        <v>65.934023432888864</v>
      </c>
      <c r="K157" s="45">
        <f t="shared" ref="K157:K163" si="41">K81</f>
        <v>65.934023432888864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2">J158</f>
        <v>96.179437231556889</v>
      </c>
      <c r="J158" s="45">
        <f t="shared" si="42"/>
        <v>96.179437231556889</v>
      </c>
      <c r="K158" s="45">
        <f t="shared" si="41"/>
        <v>96.179437231556889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2"/>
        <v>25.610351957517732</v>
      </c>
      <c r="J159" s="45">
        <f t="shared" si="42"/>
        <v>25.610351957517732</v>
      </c>
      <c r="K159" s="45">
        <f t="shared" si="41"/>
        <v>25.610351957517732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2"/>
        <v>25.05483524255018</v>
      </c>
      <c r="J160" s="45">
        <f t="shared" si="42"/>
        <v>25.05483524255018</v>
      </c>
      <c r="K160" s="45">
        <f t="shared" si="41"/>
        <v>25.05483524255018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2"/>
        <v>25.993709176052839</v>
      </c>
      <c r="J161" s="45">
        <f t="shared" si="42"/>
        <v>25.993709176052839</v>
      </c>
      <c r="K161" s="45">
        <f t="shared" si="41"/>
        <v>25.993709176052839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2"/>
        <v>35.382047069576096</v>
      </c>
      <c r="J162" s="45">
        <f t="shared" si="42"/>
        <v>35.382047069576096</v>
      </c>
      <c r="K162" s="45">
        <f t="shared" si="41"/>
        <v>35.382047069576096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2"/>
        <v>25.121415453626287</v>
      </c>
      <c r="J163" s="45">
        <f t="shared" si="42"/>
        <v>25.121415453626287</v>
      </c>
      <c r="K163" s="45">
        <f t="shared" si="41"/>
        <v>25.121415453626287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3">I$35*I146*I157/1000</f>
        <v>2.2001057524012704</v>
      </c>
      <c r="J167" s="10">
        <f t="shared" si="43"/>
        <v>0</v>
      </c>
      <c r="K167" s="10">
        <f t="shared" si="43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4">H$35*H147*H158/1000</f>
        <v>0</v>
      </c>
      <c r="I168" s="10">
        <f t="shared" si="44"/>
        <v>0</v>
      </c>
      <c r="J168" s="10">
        <f t="shared" si="44"/>
        <v>0</v>
      </c>
      <c r="K168" s="10">
        <f t="shared" si="44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4"/>
        <v>0</v>
      </c>
      <c r="I169" s="10">
        <f t="shared" si="44"/>
        <v>5.9820159320438133</v>
      </c>
      <c r="J169" s="10">
        <f t="shared" si="44"/>
        <v>3.6786435721529664</v>
      </c>
      <c r="K169" s="10">
        <f t="shared" si="44"/>
        <v>2.1492080678930865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4"/>
        <v>0</v>
      </c>
      <c r="I170" s="10">
        <f t="shared" si="44"/>
        <v>0</v>
      </c>
      <c r="J170" s="10">
        <f t="shared" si="44"/>
        <v>0</v>
      </c>
      <c r="K170" s="10">
        <f t="shared" si="44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4"/>
        <v>0</v>
      </c>
      <c r="I171" s="10">
        <f t="shared" si="44"/>
        <v>0.59779882851063926</v>
      </c>
      <c r="J171" s="10">
        <f t="shared" si="44"/>
        <v>0.36761667687332567</v>
      </c>
      <c r="K171" s="10">
        <f t="shared" si="44"/>
        <v>0.21477610220492002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4"/>
        <v>0</v>
      </c>
      <c r="I172" s="10">
        <f t="shared" si="44"/>
        <v>19.791026486332036</v>
      </c>
      <c r="J172" s="10">
        <f t="shared" si="44"/>
        <v>12.170501248628442</v>
      </c>
      <c r="K172" s="10">
        <f t="shared" si="44"/>
        <v>7.1104848732454107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4"/>
        <v>0</v>
      </c>
      <c r="I173" s="10">
        <f t="shared" si="44"/>
        <v>62.869404637776114</v>
      </c>
      <c r="J173" s="10">
        <f t="shared" si="44"/>
        <v>39.177058202715223</v>
      </c>
      <c r="K173" s="10">
        <f t="shared" si="44"/>
        <v>22.888776233440254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5">SUM(I167:I173)</f>
        <v>91.44035163706387</v>
      </c>
      <c r="J174" s="11">
        <f t="shared" si="45"/>
        <v>55.39381970036996</v>
      </c>
      <c r="K174" s="11">
        <f t="shared" si="45"/>
        <v>32.363245276783672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6498.4699124721237</v>
      </c>
      <c r="I179" s="10">
        <f t="shared" ref="I179:K179" si="46">I$36*($J$73*I45+(1-$J$73)*I59)+I$35*I146</f>
        <v>5612.530023115286</v>
      </c>
      <c r="J179" s="10">
        <f t="shared" si="46"/>
        <v>4977.1055218802221</v>
      </c>
      <c r="K179" s="10">
        <f t="shared" si="46"/>
        <v>4177.9552130758066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7">H$36*($J$73*H46+(1-$J$73)*H60)+H$35*H147</f>
        <v>26784.997726189446</v>
      </c>
      <c r="I180" s="10">
        <f t="shared" si="47"/>
        <v>25446.691560171599</v>
      </c>
      <c r="J180" s="10">
        <f t="shared" si="47"/>
        <v>25606.828213585231</v>
      </c>
      <c r="K180" s="10">
        <f t="shared" si="47"/>
        <v>24896.100014234817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7"/>
        <v>4238.1325516122542</v>
      </c>
      <c r="I181" s="10">
        <f t="shared" si="47"/>
        <v>5090.9260170875714</v>
      </c>
      <c r="J181" s="10">
        <f t="shared" si="47"/>
        <v>4967.9310456944013</v>
      </c>
      <c r="K181" s="10">
        <f t="shared" si="47"/>
        <v>4708.3073394358589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7"/>
        <v>508.57590619347047</v>
      </c>
      <c r="I182" s="10">
        <f t="shared" si="47"/>
        <v>630.09754895796368</v>
      </c>
      <c r="J182" s="10">
        <f t="shared" si="47"/>
        <v>791.51022607296716</v>
      </c>
      <c r="K182" s="10">
        <f t="shared" si="47"/>
        <v>932.8806480142789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7"/>
        <v>452.0674721719738</v>
      </c>
      <c r="I183" s="10">
        <f t="shared" si="47"/>
        <v>502.8830085258117</v>
      </c>
      <c r="J183" s="10">
        <f t="shared" si="47"/>
        <v>551.05993696932012</v>
      </c>
      <c r="K183" s="10">
        <f t="shared" si="47"/>
        <v>586.31109775732045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7"/>
        <v>14409.650675481666</v>
      </c>
      <c r="I184" s="10">
        <f t="shared" si="47"/>
        <v>12854.351100284455</v>
      </c>
      <c r="J184" s="10">
        <f t="shared" si="47"/>
        <v>11555.075542608756</v>
      </c>
      <c r="K184" s="10">
        <f t="shared" si="47"/>
        <v>10119.387671731009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7"/>
        <v>3616.5397773757904</v>
      </c>
      <c r="I185" s="10">
        <f t="shared" si="47"/>
        <v>8784.6319646155061</v>
      </c>
      <c r="J185" s="10">
        <f t="shared" si="47"/>
        <v>11197.473161792997</v>
      </c>
      <c r="K185" s="10">
        <f t="shared" si="47"/>
        <v>13588.177195774904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56508.434021496723</v>
      </c>
      <c r="I186" s="10">
        <f t="shared" si="47"/>
        <v>58922.111222758176</v>
      </c>
      <c r="J186" s="10">
        <f t="shared" si="47"/>
        <v>59646.983648603898</v>
      </c>
      <c r="K186" s="10">
        <f t="shared" si="47"/>
        <v>59009.119180023998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  <pageSetUpPr fitToPage="1"/>
  </sheetPr>
  <dimension ref="A1:GB1593"/>
  <sheetViews>
    <sheetView showGridLines="0" topLeftCell="A37" zoomScale="115" zoomScaleNormal="115" workbookViewId="0">
      <selection activeCell="I122" sqref="I12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57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58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59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41814.604215450461</v>
      </c>
      <c r="I7" s="10">
        <f t="shared" si="0"/>
        <v>43442.364577824766</v>
      </c>
      <c r="J7" s="10">
        <f t="shared" si="0"/>
        <v>44086.623326910783</v>
      </c>
      <c r="K7" s="10">
        <f t="shared" si="0"/>
        <v>43661.027277509813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2714.940071976017</v>
      </c>
      <c r="J8" s="76">
        <f t="shared" si="0"/>
        <v>1773.7602281094607</v>
      </c>
      <c r="K8" s="76">
        <f t="shared" si="0"/>
        <v>1146.2522064996804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41814.604215450461</v>
      </c>
      <c r="I9" s="96">
        <f t="shared" si="1"/>
        <v>40727.42450584875</v>
      </c>
      <c r="J9" s="96">
        <f t="shared" si="1"/>
        <v>42312.863098801325</v>
      </c>
      <c r="K9" s="96">
        <f t="shared" si="1"/>
        <v>42514.775071010132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60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1184.8678605253267</v>
      </c>
      <c r="I13" s="86">
        <f t="shared" ref="I13:K13" si="2">I133+I167</f>
        <v>869.56559609581188</v>
      </c>
      <c r="J13" s="86">
        <f t="shared" si="2"/>
        <v>745.39706248910841</v>
      </c>
      <c r="K13" s="86">
        <f t="shared" si="2"/>
        <v>606.19537127465651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2573.6286999919075</v>
      </c>
      <c r="I14" s="86">
        <f t="shared" si="3"/>
        <v>2018.4325148574621</v>
      </c>
      <c r="J14" s="86">
        <f t="shared" si="3"/>
        <v>1867.099180897721</v>
      </c>
      <c r="K14" s="86">
        <f t="shared" si="3"/>
        <v>1658.1870679388794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324.73142968208481</v>
      </c>
      <c r="I15" s="86">
        <f t="shared" si="3"/>
        <v>337.82086392474281</v>
      </c>
      <c r="J15" s="86">
        <f t="shared" si="3"/>
        <v>299.45708436039803</v>
      </c>
      <c r="K15" s="86">
        <f t="shared" si="3"/>
        <v>259.72403746490124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87.743683724161968</v>
      </c>
      <c r="I16" s="86">
        <f t="shared" si="3"/>
        <v>76.551150368717714</v>
      </c>
      <c r="J16" s="86">
        <f t="shared" si="3"/>
        <v>78.589529784994056</v>
      </c>
      <c r="K16" s="86">
        <f t="shared" si="3"/>
        <v>77.264855347845526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74.66951741609185</v>
      </c>
      <c r="I17" s="86">
        <f t="shared" si="3"/>
        <v>59.782466396329269</v>
      </c>
      <c r="J17" s="86">
        <f t="shared" si="3"/>
        <v>51.130879556713985</v>
      </c>
      <c r="K17" s="86">
        <f t="shared" si="3"/>
        <v>41.658887814115026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601.96304228562485</v>
      </c>
      <c r="I18" s="86">
        <f t="shared" si="3"/>
        <v>439.96417648707074</v>
      </c>
      <c r="J18" s="86">
        <f t="shared" si="3"/>
        <v>381.02143888609356</v>
      </c>
      <c r="K18" s="86">
        <f t="shared" si="3"/>
        <v>302.88320874930008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131.45762730537484</v>
      </c>
      <c r="I19" s="86">
        <f t="shared" si="3"/>
        <v>233.33035679121053</v>
      </c>
      <c r="J19" s="86">
        <f t="shared" si="3"/>
        <v>281.0272204675864</v>
      </c>
      <c r="K19" s="86">
        <f t="shared" si="3"/>
        <v>320.30157377091541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4979.061860930572</v>
      </c>
      <c r="I20" s="13">
        <f t="shared" ref="I20:K20" si="4">SUM(I13:I19)</f>
        <v>4035.4471249213448</v>
      </c>
      <c r="J20" s="13">
        <f t="shared" si="4"/>
        <v>3703.7223964426148</v>
      </c>
      <c r="K20" s="13">
        <f t="shared" si="4"/>
        <v>3266.2150023606137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-0.34255000000000002</v>
      </c>
      <c r="J23" s="177">
        <f t="shared" ref="J23:K23" si="5">J118/$G118-1</f>
        <v>-0.41814835418624174</v>
      </c>
      <c r="K23" s="177">
        <f t="shared" si="5"/>
        <v>-0.51704629189655349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-0.12710026974411293</v>
      </c>
      <c r="J24" s="177">
        <f t="shared" ref="J24:K24" si="6">J129/$G129-1</f>
        <v>-0.17195608635623383</v>
      </c>
      <c r="K24" s="177">
        <f t="shared" si="6"/>
        <v>-0.23962457846693264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61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62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41814.604215450461</v>
      </c>
      <c r="H34" s="125">
        <f>'Init. parc'!C11</f>
        <v>41814.604215450461</v>
      </c>
      <c r="I34" s="125">
        <f>'Init. parc'!D11</f>
        <v>43442.364577824766</v>
      </c>
      <c r="J34" s="125">
        <f>'Init. parc'!E11</f>
        <v>44086.623326910783</v>
      </c>
      <c r="K34" s="125">
        <f>'Init. parc'!F11</f>
        <v>43661.027277509813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parc'!N11</f>
        <v>2714.940071976017</v>
      </c>
      <c r="J35" s="125">
        <f>'Init. parc'!O11</f>
        <v>1773.7602281094607</v>
      </c>
      <c r="K35" s="125">
        <f>'Init. parc'!P11</f>
        <v>1146.2522064996804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41814.604215450461</v>
      </c>
      <c r="H36" s="125">
        <f>H34-H35</f>
        <v>41814.604215450461</v>
      </c>
      <c r="I36" s="125">
        <f>I34-I35</f>
        <v>40727.42450584875</v>
      </c>
      <c r="J36" s="125">
        <f>J34-J35</f>
        <v>42312.863098801325</v>
      </c>
      <c r="K36" s="125">
        <f>K34-K35</f>
        <v>42514.775071010132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0.19600000000000001</v>
      </c>
      <c r="H45" s="55">
        <f>'Init. énergie'!B66</f>
        <v>0.19600000000000001</v>
      </c>
      <c r="I45" s="47">
        <f>H45+((K45-H45)/3)</f>
        <v>0.17400000000000002</v>
      </c>
      <c r="J45" s="47">
        <f>H45+((K45-H45)/3*2)</f>
        <v>0.152</v>
      </c>
      <c r="K45" s="47">
        <v>0.13</v>
      </c>
      <c r="L45" s="64"/>
      <c r="M45" s="493" t="s">
        <v>384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0.41</v>
      </c>
      <c r="H46" s="55">
        <f>'Init. énergie'!B67</f>
        <v>0.41</v>
      </c>
      <c r="I46" s="47">
        <f t="shared" ref="I46:I51" si="8">H46+((K46-H46)/3)</f>
        <v>0.3833333333333333</v>
      </c>
      <c r="J46" s="47">
        <f t="shared" ref="J46:J50" si="9">H46+((K46-H46)/3*2)</f>
        <v>0.35666666666666669</v>
      </c>
      <c r="K46" s="47">
        <v>0.33</v>
      </c>
      <c r="L46" s="64"/>
      <c r="M46" s="494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6.2E-2</v>
      </c>
      <c r="H47" s="55">
        <f>'Init. énergie'!B68</f>
        <v>6.2E-2</v>
      </c>
      <c r="I47" s="47">
        <v>0.09</v>
      </c>
      <c r="J47" s="47">
        <v>0.08</v>
      </c>
      <c r="K47" s="47">
        <v>7.0000000000000007E-2</v>
      </c>
      <c r="L47" s="64"/>
      <c r="M47" s="494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1.7000000000000001E-2</v>
      </c>
      <c r="H48" s="55">
        <f>'Init. énergie'!B69</f>
        <v>1.7000000000000001E-2</v>
      </c>
      <c r="I48" s="47">
        <f t="shared" si="8"/>
        <v>1.8000000000000002E-2</v>
      </c>
      <c r="J48" s="47">
        <f t="shared" si="9"/>
        <v>1.9E-2</v>
      </c>
      <c r="K48" s="47">
        <v>0.02</v>
      </c>
      <c r="L48" s="64"/>
      <c r="M48" s="494"/>
      <c r="N48" s="33"/>
      <c r="O48" s="42"/>
    </row>
    <row r="49" spans="1:15">
      <c r="C49" s="40"/>
      <c r="D49" s="32"/>
      <c r="E49" s="6" t="s">
        <v>42</v>
      </c>
      <c r="F49" s="55"/>
      <c r="G49" s="55">
        <f t="shared" si="7"/>
        <v>1.4E-2</v>
      </c>
      <c r="H49" s="55">
        <f>'Init. énergie'!B70</f>
        <v>1.4E-2</v>
      </c>
      <c r="I49" s="47">
        <f t="shared" si="8"/>
        <v>1.2666666666666666E-2</v>
      </c>
      <c r="J49" s="47">
        <f t="shared" si="9"/>
        <v>1.1333333333333334E-2</v>
      </c>
      <c r="K49" s="47">
        <v>0.01</v>
      </c>
      <c r="L49" s="64"/>
      <c r="M49" s="494"/>
      <c r="N49" s="33"/>
      <c r="O49" s="42"/>
    </row>
    <row r="50" spans="1:15">
      <c r="C50" s="40"/>
      <c r="D50" s="32"/>
      <c r="E50" s="6" t="s">
        <v>25</v>
      </c>
      <c r="F50" s="55"/>
      <c r="G50" s="55">
        <f t="shared" si="7"/>
        <v>0.23599999999999999</v>
      </c>
      <c r="H50" s="55">
        <f>'Init. énergie'!B71</f>
        <v>0.23599999999999999</v>
      </c>
      <c r="I50" s="47">
        <v>0.19</v>
      </c>
      <c r="J50" s="47">
        <f t="shared" si="9"/>
        <v>0.18533333333333332</v>
      </c>
      <c r="K50" s="47">
        <f>1-K45-K46-K47-K48-K49-K51</f>
        <v>0.15999999999999998</v>
      </c>
      <c r="L50" s="64"/>
      <c r="M50" s="494"/>
      <c r="N50" s="33"/>
      <c r="O50" s="42"/>
    </row>
    <row r="51" spans="1:15">
      <c r="C51" s="40"/>
      <c r="D51" s="32"/>
      <c r="E51" s="6" t="s">
        <v>26</v>
      </c>
      <c r="F51" s="55"/>
      <c r="G51" s="55">
        <f t="shared" si="7"/>
        <v>6.6000000000000003E-2</v>
      </c>
      <c r="H51" s="55">
        <f>'Init. énergie'!B72</f>
        <v>6.6000000000000003E-2</v>
      </c>
      <c r="I51" s="47">
        <f t="shared" si="8"/>
        <v>0.13733333333333336</v>
      </c>
      <c r="J51" s="47">
        <v>0.2</v>
      </c>
      <c r="K51" s="123">
        <v>0.28000000000000003</v>
      </c>
      <c r="L51" s="64"/>
      <c r="M51" s="495"/>
      <c r="N51" s="33"/>
      <c r="O51" s="42"/>
    </row>
    <row r="52" spans="1:15">
      <c r="C52" s="40"/>
      <c r="D52" s="32"/>
      <c r="E52" s="7" t="s">
        <v>17</v>
      </c>
      <c r="F52" s="53"/>
      <c r="G52" s="149">
        <f t="shared" ref="G52:J52" si="10">SUM(G45:G51)</f>
        <v>1.0009999999999999</v>
      </c>
      <c r="H52" s="149">
        <f t="shared" si="10"/>
        <v>1.0009999999999999</v>
      </c>
      <c r="I52" s="155">
        <f t="shared" si="10"/>
        <v>1.0053333333333334</v>
      </c>
      <c r="J52" s="155">
        <f t="shared" si="10"/>
        <v>1.0043333333333333</v>
      </c>
      <c r="K52" s="155">
        <f>SUM(K45:K51)</f>
        <v>1</v>
      </c>
      <c r="L52" s="63"/>
      <c r="N52" s="33"/>
      <c r="O52" s="42"/>
    </row>
    <row r="53" spans="1:15" s="17" customFormat="1">
      <c r="A53" s="56"/>
      <c r="C53" s="40"/>
      <c r="D53" s="32"/>
      <c r="E53" s="30"/>
      <c r="F53" s="31"/>
      <c r="G53" s="31"/>
      <c r="H53" s="31"/>
      <c r="N53" s="33"/>
      <c r="O53" s="42"/>
    </row>
    <row r="54" spans="1:15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N54" s="33"/>
      <c r="O54" s="42"/>
    </row>
    <row r="55" spans="1:15" ht="10.35" customHeight="1">
      <c r="C55" s="40"/>
      <c r="D55" s="32"/>
      <c r="E55" s="5"/>
      <c r="F55" s="4"/>
      <c r="G55" s="4"/>
      <c r="H55" s="142">
        <f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-2.6296973121779147E-2</v>
      </c>
      <c r="J55" s="142">
        <f>(I$81*(J45-I45)+I$82*(J46-I46)+I$83*(J47-I47)+I$84*(J48-I48)+I$85*(J49-I49)+I$86*(J50-I50)+I$87*(J51-I51))/(I$81*I45+I$82*I46+I$83*I47+I$84*I48+I$85*I49+I$86*I50+I$87*I51)</f>
        <v>-4.9874255310420008E-2</v>
      </c>
      <c r="K55" s="142">
        <f>(J$81*(K45-J45)+J$82*(K46-J46)+J$83*(K47-J47)+J$84*(K48-J48)+J$85*(K49-J49)+J$86*(K50-J50)+J$87*(K51-J51))/(J$81*J45+J$82*J46+J$83*J47+J$84*J48+J$85*J49+J$86*J50+J$87*J51)</f>
        <v>-5.6441192506027707E-2</v>
      </c>
      <c r="L55" s="63"/>
      <c r="N55" s="33"/>
      <c r="O55" s="42"/>
    </row>
    <row r="56" spans="1:15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N56" s="33"/>
      <c r="O56" s="42"/>
    </row>
    <row r="57" spans="1:15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N57" s="38"/>
      <c r="O57" s="43"/>
    </row>
    <row r="58" spans="1:15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N58" s="33"/>
      <c r="O58" s="43"/>
    </row>
    <row r="59" spans="1:15" ht="11.25" customHeight="1">
      <c r="C59" s="40"/>
      <c r="D59" s="32"/>
      <c r="E59" s="6" t="s">
        <v>15</v>
      </c>
      <c r="F59" s="55"/>
      <c r="G59" s="55">
        <f>H59</f>
        <v>0.19600000000000001</v>
      </c>
      <c r="H59" s="55">
        <f>H45</f>
        <v>0.19600000000000001</v>
      </c>
      <c r="I59" s="47">
        <f>H59+((K59-H59)/3)</f>
        <v>0.18066666666666667</v>
      </c>
      <c r="J59" s="47">
        <f>H59+((K59-H59)/3*2)</f>
        <v>0.16533333333333333</v>
      </c>
      <c r="K59" s="47">
        <v>0.15</v>
      </c>
      <c r="L59" s="64"/>
      <c r="M59" s="493" t="s">
        <v>385</v>
      </c>
      <c r="N59" s="39"/>
      <c r="O59" s="42"/>
    </row>
    <row r="60" spans="1:15">
      <c r="C60" s="40"/>
      <c r="D60" s="32"/>
      <c r="E60" s="6" t="s">
        <v>16</v>
      </c>
      <c r="F60" s="55"/>
      <c r="G60" s="55">
        <f t="shared" ref="G60:G65" si="11">H60</f>
        <v>0.41</v>
      </c>
      <c r="H60" s="55">
        <f t="shared" ref="H60:H65" si="12">H46</f>
        <v>0.41</v>
      </c>
      <c r="I60" s="47">
        <f t="shared" ref="I60:I65" si="13">H60+((K60-H60)/3)</f>
        <v>0.40333333333333332</v>
      </c>
      <c r="J60" s="47">
        <f t="shared" ref="J60:J65" si="14">H60+((K60-H60)/3*2)</f>
        <v>0.39666666666666667</v>
      </c>
      <c r="K60" s="47">
        <v>0.39</v>
      </c>
      <c r="L60" s="64"/>
      <c r="M60" s="494"/>
      <c r="N60" s="33"/>
      <c r="O60" s="42"/>
    </row>
    <row r="61" spans="1:15">
      <c r="C61" s="40"/>
      <c r="D61" s="32"/>
      <c r="E61" s="150" t="s">
        <v>68</v>
      </c>
      <c r="F61" s="55"/>
      <c r="G61" s="55">
        <f t="shared" si="11"/>
        <v>6.2E-2</v>
      </c>
      <c r="H61" s="55">
        <f t="shared" si="12"/>
        <v>6.2E-2</v>
      </c>
      <c r="I61" s="47">
        <f t="shared" si="13"/>
        <v>6.133333333333333E-2</v>
      </c>
      <c r="J61" s="47">
        <v>0.06</v>
      </c>
      <c r="K61" s="47">
        <v>0.06</v>
      </c>
      <c r="L61" s="64"/>
      <c r="M61" s="494"/>
      <c r="N61" s="33"/>
      <c r="O61" s="42"/>
    </row>
    <row r="62" spans="1:15">
      <c r="C62" s="40"/>
      <c r="D62" s="32"/>
      <c r="E62" s="150" t="s">
        <v>22</v>
      </c>
      <c r="F62" s="55"/>
      <c r="G62" s="55">
        <f t="shared" si="11"/>
        <v>1.7000000000000001E-2</v>
      </c>
      <c r="H62" s="55">
        <f t="shared" si="12"/>
        <v>1.7000000000000001E-2</v>
      </c>
      <c r="I62" s="47">
        <f t="shared" si="13"/>
        <v>1.8000000000000002E-2</v>
      </c>
      <c r="J62" s="47">
        <f t="shared" si="14"/>
        <v>1.9E-2</v>
      </c>
      <c r="K62" s="47">
        <v>0.02</v>
      </c>
      <c r="L62" s="64"/>
      <c r="M62" s="494"/>
      <c r="N62" s="33"/>
      <c r="O62" s="42"/>
    </row>
    <row r="63" spans="1:15">
      <c r="C63" s="40"/>
      <c r="D63" s="32"/>
      <c r="E63" s="150" t="s">
        <v>42</v>
      </c>
      <c r="F63" s="55"/>
      <c r="G63" s="55">
        <f t="shared" si="11"/>
        <v>1.4E-2</v>
      </c>
      <c r="H63" s="55">
        <f t="shared" si="12"/>
        <v>1.4E-2</v>
      </c>
      <c r="I63" s="47">
        <f t="shared" si="13"/>
        <v>1.2666666666666666E-2</v>
      </c>
      <c r="J63" s="47">
        <f t="shared" si="14"/>
        <v>1.1333333333333334E-2</v>
      </c>
      <c r="K63" s="47">
        <v>0.01</v>
      </c>
      <c r="L63" s="64"/>
      <c r="M63" s="494"/>
      <c r="N63" s="33"/>
      <c r="O63" s="42"/>
    </row>
    <row r="64" spans="1:15" ht="11.25" customHeight="1">
      <c r="C64" s="40"/>
      <c r="D64" s="32"/>
      <c r="E64" s="151" t="s">
        <v>25</v>
      </c>
      <c r="F64" s="55"/>
      <c r="G64" s="55">
        <f t="shared" si="11"/>
        <v>0.23599999999999999</v>
      </c>
      <c r="H64" s="55">
        <f t="shared" si="12"/>
        <v>0.23599999999999999</v>
      </c>
      <c r="I64" s="47">
        <f t="shared" si="13"/>
        <v>0.2173333333333333</v>
      </c>
      <c r="J64" s="47">
        <f t="shared" si="14"/>
        <v>0.19866666666666663</v>
      </c>
      <c r="K64" s="47">
        <f>1-K59-K60-K61-K62-K63-K65</f>
        <v>0.17999999999999994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1"/>
        <v>6.6000000000000003E-2</v>
      </c>
      <c r="H65" s="55">
        <f t="shared" si="12"/>
        <v>6.6000000000000003E-2</v>
      </c>
      <c r="I65" s="47">
        <f t="shared" si="13"/>
        <v>0.10733333333333334</v>
      </c>
      <c r="J65" s="47">
        <f t="shared" si="14"/>
        <v>0.14866666666666667</v>
      </c>
      <c r="K65" s="123">
        <v>0.19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1.0009999999999999</v>
      </c>
      <c r="H66" s="149">
        <v>1</v>
      </c>
      <c r="I66" s="47">
        <f t="shared" ref="I66:J66" si="16">SUM(I59:I65)</f>
        <v>1.0006666666666666</v>
      </c>
      <c r="J66" s="47">
        <f t="shared" si="16"/>
        <v>0.9996666666666667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-2.1142333757725652E-2</v>
      </c>
      <c r="J69" s="142">
        <f>(I$101*(J59-I59)+I$102*(J60-I60)+I$103*(J61-I61)+I$104*(J62-I62)+I$105*(J63-I63)+I$106*(J64-I64)+I$107*(J65-I65))/(I$101*I59+I$102*I60+I$103*I61+I$104*I62+I$105*I63+I$106*I64+I$107*I65)</f>
        <v>-2.2510681200166579E-2</v>
      </c>
      <c r="K69" s="142">
        <f>(J$101*(K59-J59)+J$102*(K60-J60)+J$103*(K61-J61)+J$104*(K62-J62)+J$105*(K63-J63)+J$106*(K64-J64)+J$107*(K65-J65))/(J$101*J59+J$102*J60+J$103*J61+J$104*J62+J$105*J63+J$106*J64+J$107*J65)</f>
        <v>-2.1676107050483326E-2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s="17" customFormat="1">
      <c r="A71" s="56"/>
      <c r="C71" s="40"/>
      <c r="D71" s="32"/>
      <c r="G71" s="1"/>
      <c r="H71" s="30"/>
      <c r="I71" s="30"/>
      <c r="J71" s="30"/>
      <c r="M71" s="61" t="s">
        <v>32</v>
      </c>
      <c r="N71" s="33"/>
      <c r="O71" s="42"/>
    </row>
    <row r="72" spans="1:15" s="17" customFormat="1" ht="33" customHeight="1">
      <c r="A72" s="56"/>
      <c r="C72" s="40"/>
      <c r="D72" s="32"/>
      <c r="G72" s="90"/>
      <c r="H72" s="130" t="s">
        <v>84</v>
      </c>
      <c r="I72" s="129" t="s">
        <v>83</v>
      </c>
      <c r="J72" s="129" t="s">
        <v>35</v>
      </c>
      <c r="M72" s="68" t="s">
        <v>73</v>
      </c>
      <c r="N72" s="33"/>
      <c r="O72" s="42"/>
    </row>
    <row r="73" spans="1:15" s="17" customFormat="1" ht="24.75" customHeight="1">
      <c r="A73" s="56"/>
      <c r="C73" s="40"/>
      <c r="D73" s="32"/>
      <c r="G73" s="84" t="s">
        <v>23</v>
      </c>
      <c r="H73" s="55">
        <f>'Tableau de bord'!L12</f>
        <v>0.86</v>
      </c>
      <c r="I73" s="92">
        <f>'Tableau de bord'!L24</f>
        <v>0.52500000000000002</v>
      </c>
      <c r="J73" s="92">
        <f>'Tableau de bord'!L27</f>
        <v>0.45150000000000001</v>
      </c>
      <c r="N73" s="33"/>
      <c r="O73" s="42"/>
    </row>
    <row r="74" spans="1:15" s="17" customFormat="1" ht="15" customHeight="1">
      <c r="A74" s="56"/>
      <c r="C74" s="40"/>
      <c r="D74" s="32"/>
      <c r="N74" s="33"/>
      <c r="O74" s="42"/>
    </row>
    <row r="75" spans="1:15" s="17" customFormat="1" ht="12.75">
      <c r="A75" s="56"/>
      <c r="C75" s="40"/>
      <c r="D75" s="32"/>
      <c r="H75" s="327">
        <v>2030</v>
      </c>
      <c r="I75" s="327">
        <v>2040</v>
      </c>
      <c r="J75" s="327">
        <v>2050</v>
      </c>
      <c r="M75" s="61" t="s">
        <v>32</v>
      </c>
      <c r="N75" s="33"/>
      <c r="O75" s="42"/>
    </row>
    <row r="76" spans="1:15" s="17" customFormat="1" ht="48.75" customHeight="1">
      <c r="A76" s="56"/>
      <c r="C76" s="40"/>
      <c r="D76" s="32"/>
      <c r="H76" s="320" t="s">
        <v>319</v>
      </c>
      <c r="I76" s="320" t="s">
        <v>317</v>
      </c>
      <c r="J76" s="320" t="s">
        <v>318</v>
      </c>
      <c r="M76" s="68" t="s">
        <v>320</v>
      </c>
      <c r="N76" s="33"/>
      <c r="O76" s="42"/>
    </row>
    <row r="77" spans="1:15" s="17" customFormat="1" ht="33" customHeight="1">
      <c r="A77" s="56"/>
      <c r="C77" s="40"/>
      <c r="D77" s="32"/>
      <c r="H77" s="92">
        <f>'Tableau de bord'!F56</f>
        <v>0.32500000000000001</v>
      </c>
      <c r="I77" s="92">
        <f>'Tableau de bord'!U56</f>
        <v>0.42499999999999999</v>
      </c>
      <c r="J77" s="92">
        <f>'Tableau de bord'!AJ56</f>
        <v>0.52500000000000002</v>
      </c>
      <c r="N77" s="33"/>
      <c r="O77" s="42"/>
    </row>
    <row r="78" spans="1:15" s="17" customFormat="1" ht="17.25" customHeigh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4"/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54"/>
      <c r="G81" s="81">
        <f>H81/0.998^10</f>
        <v>147.49606862713017</v>
      </c>
      <c r="H81" s="54">
        <f>'Init. énergie'!D66</f>
        <v>144.57255544511395</v>
      </c>
      <c r="I81" s="81">
        <f>G81*(1-H$77)/(1+I$55)</f>
        <v>102.24867703504081</v>
      </c>
      <c r="J81" s="81">
        <f>G81*(1-I$77)/(1+I$55)/(1+J$55)</f>
        <v>91.672839483113378</v>
      </c>
      <c r="K81" s="81">
        <f>G81*(1-J$77)/(1+I$55)/(1+J$55)/(1+K$55)</f>
        <v>80.259689552836733</v>
      </c>
      <c r="M81" s="512" t="s">
        <v>321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54"/>
      <c r="G82" s="81">
        <f t="shared" ref="G82:G87" si="17">H82/0.998^10</f>
        <v>153.15410119902847</v>
      </c>
      <c r="H82" s="54">
        <f>'Init. énergie'!D67</f>
        <v>150.1184403986914</v>
      </c>
      <c r="I82" s="81">
        <f t="shared" ref="I82:I87" si="18">G82*(1-H$77)/(1+I$55)</f>
        <v>106.17099408716703</v>
      </c>
      <c r="J82" s="81">
        <f t="shared" ref="J82:J87" si="19">G82*(1-I$77)/(1+I$55)/(1+J$55)</f>
        <v>95.189461428238573</v>
      </c>
      <c r="K82" s="81">
        <f t="shared" ref="K82:K87" si="20">G82*(1-J$77)/(1+I$55)/(1+J$55)/(1+K$55)</f>
        <v>83.338496614795716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54"/>
      <c r="G83" s="81">
        <f t="shared" si="17"/>
        <v>127.79069490556745</v>
      </c>
      <c r="H83" s="54">
        <f>'Init. énergie'!D68</f>
        <v>125.25776108181995</v>
      </c>
      <c r="I83" s="81">
        <f t="shared" si="18"/>
        <v>88.58832383197084</v>
      </c>
      <c r="J83" s="81">
        <f t="shared" si="19"/>
        <v>79.425410931656344</v>
      </c>
      <c r="K83" s="81">
        <f t="shared" si="20"/>
        <v>69.537050013111781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54"/>
      <c r="G84" s="81">
        <f t="shared" si="17"/>
        <v>125.93125708529116</v>
      </c>
      <c r="H84" s="54">
        <f>'Init. énergie'!D69</f>
        <v>123.43517909796911</v>
      </c>
      <c r="I84" s="81">
        <f t="shared" si="18"/>
        <v>87.299306036975864</v>
      </c>
      <c r="J84" s="81">
        <f t="shared" si="19"/>
        <v>78.269719485683368</v>
      </c>
      <c r="K84" s="81">
        <f t="shared" si="20"/>
        <v>68.525240657192938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54"/>
      <c r="G85" s="81">
        <f t="shared" si="17"/>
        <v>130.1313410964313</v>
      </c>
      <c r="H85" s="54">
        <f>'Init. énergie'!D70</f>
        <v>127.55201342600625</v>
      </c>
      <c r="I85" s="81">
        <f t="shared" si="18"/>
        <v>90.210929631912236</v>
      </c>
      <c r="J85" s="81">
        <f t="shared" si="19"/>
        <v>80.880186537128679</v>
      </c>
      <c r="K85" s="81">
        <f t="shared" si="20"/>
        <v>70.810707937559044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54"/>
      <c r="G86" s="81">
        <f t="shared" si="17"/>
        <v>62.233528061767529</v>
      </c>
      <c r="H86" s="54">
        <f>'Init. énergie'!D71</f>
        <v>61</v>
      </c>
      <c r="I86" s="81">
        <f t="shared" si="18"/>
        <v>43.142139114400536</v>
      </c>
      <c r="J86" s="81">
        <f t="shared" si="19"/>
        <v>38.679839276915182</v>
      </c>
      <c r="K86" s="81">
        <f t="shared" si="20"/>
        <v>33.864249322076319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54"/>
      <c r="G87" s="81">
        <f t="shared" si="17"/>
        <v>48.596887025627844</v>
      </c>
      <c r="H87" s="54">
        <f>'Init. énergie'!D72</f>
        <v>47.633650234662667</v>
      </c>
      <c r="I87" s="81">
        <f t="shared" si="18"/>
        <v>33.688812540172364</v>
      </c>
      <c r="J87" s="81">
        <f t="shared" si="19"/>
        <v>30.204294020484344</v>
      </c>
      <c r="K87" s="81">
        <f t="shared" si="20"/>
        <v>26.443898486347468</v>
      </c>
      <c r="M87" s="512"/>
      <c r="N87" s="33"/>
      <c r="O87" s="42"/>
      <c r="Q87" s="52"/>
      <c r="R87" s="52"/>
      <c r="V87" s="101"/>
    </row>
    <row r="88" spans="1:22" s="17" customFormat="1" ht="28.5" customHeight="1">
      <c r="A88" s="56"/>
      <c r="C88" s="40"/>
      <c r="D88" s="32"/>
      <c r="E88" s="91"/>
      <c r="F88" s="89"/>
      <c r="G88" s="122" t="s">
        <v>67</v>
      </c>
      <c r="H88" s="89"/>
      <c r="M88" s="97"/>
      <c r="N88" s="33"/>
      <c r="O88" s="42"/>
    </row>
    <row r="89" spans="1:22" s="17" customFormat="1" ht="69" customHeight="1">
      <c r="A89" s="56"/>
      <c r="C89" s="40"/>
      <c r="D89" s="32"/>
      <c r="F89" s="489" t="s">
        <v>63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64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>G81</f>
        <v>147.49606862713017</v>
      </c>
      <c r="H101" s="54">
        <f>H81</f>
        <v>144.57255544511395</v>
      </c>
      <c r="I101" s="81">
        <f>$H101*(1+$G91)^(I$100-$H$100)</f>
        <v>134.35017088941282</v>
      </c>
      <c r="J101" s="81">
        <f>$H101*(1+$G91)^(J$100-$H$100)</f>
        <v>124.85058704566502</v>
      </c>
      <c r="K101" s="81">
        <f>$H101*(1+$G91)^(K$100-$H$100)</f>
        <v>116.02269637958108</v>
      </c>
      <c r="L101" s="67"/>
      <c r="M101" s="79">
        <f>(K101-G101)/H101</f>
        <v>-0.21769949455930976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ref="G102:H107" si="22">G82</f>
        <v>153.15410119902847</v>
      </c>
      <c r="H102" s="54">
        <f t="shared" si="22"/>
        <v>150.1184403986914</v>
      </c>
      <c r="I102" s="81">
        <f t="shared" ref="I102:K107" si="23">$H102*(1+$G92)^(I$100-$H$100)</f>
        <v>140.95842499899163</v>
      </c>
      <c r="J102" s="81">
        <f t="shared" si="23"/>
        <v>132.35734081320464</v>
      </c>
      <c r="K102" s="81">
        <f t="shared" si="23"/>
        <v>124.28108264737018</v>
      </c>
      <c r="L102" s="67"/>
      <c r="M102" s="79">
        <f t="shared" ref="M102:M107" si="24">(K102-G102)/H102</f>
        <v>-0.19233492217862116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127.79069490556745</v>
      </c>
      <c r="H103" s="54">
        <f t="shared" si="22"/>
        <v>125.25776108181995</v>
      </c>
      <c r="I103" s="81">
        <f t="shared" si="23"/>
        <v>120.2666884611311</v>
      </c>
      <c r="J103" s="81">
        <f t="shared" si="23"/>
        <v>115.47449218702421</v>
      </c>
      <c r="K103" s="81">
        <f t="shared" si="23"/>
        <v>110.87324775023333</v>
      </c>
      <c r="L103" s="67"/>
      <c r="M103" s="79">
        <f t="shared" si="24"/>
        <v>-0.13506106934390619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125.93125708529116</v>
      </c>
      <c r="H104" s="54">
        <f t="shared" si="22"/>
        <v>123.43517909796911</v>
      </c>
      <c r="I104" s="81">
        <f t="shared" si="23"/>
        <v>118.51672983378921</v>
      </c>
      <c r="J104" s="81">
        <f t="shared" si="23"/>
        <v>113.79426313585255</v>
      </c>
      <c r="K104" s="81">
        <f t="shared" si="23"/>
        <v>109.25996980166288</v>
      </c>
      <c r="L104" s="67"/>
      <c r="M104" s="79">
        <f t="shared" si="24"/>
        <v>-0.13506106934390621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130.1313410964313</v>
      </c>
      <c r="H105" s="54">
        <f t="shared" si="22"/>
        <v>127.55201342600625</v>
      </c>
      <c r="I105" s="81">
        <f t="shared" si="23"/>
        <v>122.46952307629908</v>
      </c>
      <c r="J105" s="81">
        <f>$H105*(1+$G95)^(J$100-$H$100)</f>
        <v>117.58955174186289</v>
      </c>
      <c r="K105" s="81">
        <f>$H105*(1+$G95)^(K$100-$H$100)</f>
        <v>112.90402976614661</v>
      </c>
      <c r="L105" s="67"/>
      <c r="M105" s="79">
        <f t="shared" si="24"/>
        <v>-0.13506106934390624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62.233528061767529</v>
      </c>
      <c r="H106" s="54">
        <f t="shared" si="22"/>
        <v>61</v>
      </c>
      <c r="I106" s="81">
        <f t="shared" si="23"/>
        <v>55.408235880301092</v>
      </c>
      <c r="J106" s="81">
        <f t="shared" si="23"/>
        <v>50.329059071591566</v>
      </c>
      <c r="K106" s="81">
        <f t="shared" si="23"/>
        <v>45.715481584792663</v>
      </c>
      <c r="L106" s="67"/>
      <c r="M106" s="79">
        <f t="shared" si="24"/>
        <v>-0.27078764716352238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48.596887025627844</v>
      </c>
      <c r="H107" s="54">
        <f t="shared" si="22"/>
        <v>47.633650234662667</v>
      </c>
      <c r="I107" s="81">
        <f t="shared" si="23"/>
        <v>43.267156197408987</v>
      </c>
      <c r="J107" s="81">
        <f t="shared" si="23"/>
        <v>39.300931089440468</v>
      </c>
      <c r="K107" s="81">
        <f t="shared" si="23"/>
        <v>35.698282952773376</v>
      </c>
      <c r="L107" s="67"/>
      <c r="M107" s="79">
        <f t="shared" si="24"/>
        <v>-0.27078764716352233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85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G$36*G45*$J$73*G81/1000</f>
        <v>545.78583643018783</v>
      </c>
      <c r="H111" s="54">
        <f t="shared" si="25"/>
        <v>534.96783902718494</v>
      </c>
      <c r="I111" s="125">
        <f t="shared" si="25"/>
        <v>327.1535579110124</v>
      </c>
      <c r="J111" s="125">
        <f t="shared" si="25"/>
        <v>266.20391538381125</v>
      </c>
      <c r="K111" s="125">
        <f t="shared" si="25"/>
        <v>200.28040836004391</v>
      </c>
      <c r="L111" s="46"/>
      <c r="M111" s="79">
        <f>(K111-G111)/H111</f>
        <v>-0.64584336265602449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1185.4909222223732</v>
      </c>
      <c r="H112" s="54">
        <f t="shared" si="25"/>
        <v>1161.9933580463464</v>
      </c>
      <c r="I112" s="125">
        <f t="shared" si="25"/>
        <v>748.38861366248921</v>
      </c>
      <c r="J112" s="125">
        <f t="shared" si="25"/>
        <v>648.60689348047708</v>
      </c>
      <c r="K112" s="125">
        <f t="shared" si="25"/>
        <v>527.90678272460104</v>
      </c>
      <c r="L112" s="46"/>
      <c r="M112" s="79">
        <f t="shared" ref="M112:M118" si="26">(K112-G112)/H112</f>
        <v>-0.56591041157357824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149.58108061571394</v>
      </c>
      <c r="H113" s="54">
        <f t="shared" si="25"/>
        <v>146.61624050146131</v>
      </c>
      <c r="I113" s="125">
        <f t="shared" si="25"/>
        <v>146.61003450071456</v>
      </c>
      <c r="J113" s="125">
        <f t="shared" si="25"/>
        <v>121.38908140013773</v>
      </c>
      <c r="K113" s="125">
        <f t="shared" si="25"/>
        <v>93.435506237127385</v>
      </c>
      <c r="L113" s="46"/>
      <c r="M113" s="79">
        <f t="shared" si="26"/>
        <v>-0.38294239564836585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40.417384425994364</v>
      </c>
      <c r="H114" s="54">
        <f t="shared" si="25"/>
        <v>39.616273201459137</v>
      </c>
      <c r="I114" s="125">
        <f t="shared" si="25"/>
        <v>28.895352607067679</v>
      </c>
      <c r="J114" s="125">
        <f t="shared" si="25"/>
        <v>28.410412915866345</v>
      </c>
      <c r="K114" s="125">
        <f t="shared" si="25"/>
        <v>26.307416794843391</v>
      </c>
      <c r="L114" s="46"/>
      <c r="M114" s="79">
        <f t="shared" si="26"/>
        <v>-0.35616595128466749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34.395029502033701</v>
      </c>
      <c r="H115" s="54">
        <f t="shared" si="25"/>
        <v>33.713287113365467</v>
      </c>
      <c r="I115" s="125">
        <f t="shared" si="25"/>
        <v>21.011942426958534</v>
      </c>
      <c r="J115" s="125">
        <f t="shared" si="25"/>
        <v>17.511767156216273</v>
      </c>
      <c r="K115" s="125">
        <f t="shared" si="25"/>
        <v>13.592413462438181</v>
      </c>
      <c r="L115" s="46"/>
      <c r="M115" s="79">
        <f t="shared" si="26"/>
        <v>-0.61704502351384261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277.28231432343551</v>
      </c>
      <c r="H116" s="54">
        <f t="shared" si="25"/>
        <v>271.78631359195958</v>
      </c>
      <c r="I116" s="125">
        <f t="shared" si="25"/>
        <v>150.73009672105366</v>
      </c>
      <c r="J116" s="125">
        <f t="shared" si="25"/>
        <v>136.95199566908053</v>
      </c>
      <c r="K116" s="125">
        <f t="shared" si="25"/>
        <v>104.00616331341149</v>
      </c>
      <c r="L116" s="46"/>
      <c r="M116" s="79">
        <f t="shared" si="26"/>
        <v>-0.63754553612353115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60.553343933374634</v>
      </c>
      <c r="H117" s="54">
        <f t="shared" si="25"/>
        <v>59.353118728376728</v>
      </c>
      <c r="I117" s="125">
        <f t="shared" si="25"/>
        <v>85.07586365555332</v>
      </c>
      <c r="J117" s="125">
        <f t="shared" si="25"/>
        <v>115.4061232569882</v>
      </c>
      <c r="K117" s="125">
        <f t="shared" si="25"/>
        <v>142.12849360099071</v>
      </c>
      <c r="L117" s="46"/>
      <c r="M117" s="79">
        <f t="shared" si="26"/>
        <v>1.3744037620152045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2293.5059114531132</v>
      </c>
      <c r="H118" s="146">
        <f>SUM(H111:H117)</f>
        <v>2248.0464302101532</v>
      </c>
      <c r="I118" s="144">
        <f t="shared" ref="I118:J118" si="27">SUM(I111:I117)</f>
        <v>1507.8654614848492</v>
      </c>
      <c r="J118" s="144">
        <f t="shared" si="27"/>
        <v>1334.4801892625776</v>
      </c>
      <c r="K118" s="144">
        <f>SUM(K111:K117)</f>
        <v>1107.657184493456</v>
      </c>
      <c r="L118" s="21"/>
      <c r="M118" s="79">
        <f t="shared" si="26"/>
        <v>-0.52750188386847552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86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G$36*G45*(1-$J$73)*G101/1000</f>
        <v>663.04215123357244</v>
      </c>
      <c r="H122" s="147">
        <f t="shared" si="28"/>
        <v>649.90002149814165</v>
      </c>
      <c r="I122" s="143">
        <f>I$36*I59*(1-$J$73)*I101/1000</f>
        <v>542.22537056870567</v>
      </c>
      <c r="J122" s="143">
        <f t="shared" ref="J122:K122" si="29">J$36*J59*(1-$J$73)*J101/1000</f>
        <v>479.07119097200308</v>
      </c>
      <c r="K122" s="143">
        <f t="shared" si="29"/>
        <v>405.83615153713947</v>
      </c>
      <c r="L122" s="46"/>
      <c r="M122" s="79">
        <f>(K122-G122)/H122</f>
        <v>-0.39576241142987628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1440.1811092778996</v>
      </c>
      <c r="H123" s="147">
        <f t="shared" si="28"/>
        <v>1411.6353419455611</v>
      </c>
      <c r="I123" s="143">
        <f t="shared" ref="I123:K128" si="30">I$36*I60*(1-$J$73)*I102/1000</f>
        <v>1270.0439011949729</v>
      </c>
      <c r="J123" s="143">
        <f t="shared" si="30"/>
        <v>1218.4922874172439</v>
      </c>
      <c r="K123" s="143">
        <f t="shared" si="30"/>
        <v>1130.2802852142784</v>
      </c>
      <c r="L123" s="46"/>
      <c r="M123" s="79">
        <f t="shared" ref="M123:M129" si="31">(K123-G123)/H123</f>
        <v>-0.21953320015104327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181.71699383769453</v>
      </c>
      <c r="H124" s="147">
        <f t="shared" si="28"/>
        <v>178.11518918062353</v>
      </c>
      <c r="I124" s="143">
        <f t="shared" si="30"/>
        <v>164.7803801245646</v>
      </c>
      <c r="J124" s="143">
        <f t="shared" si="30"/>
        <v>160.80011544319603</v>
      </c>
      <c r="K124" s="143">
        <f t="shared" si="30"/>
        <v>155.12955164623276</v>
      </c>
      <c r="L124" s="46"/>
      <c r="M124" s="79">
        <f t="shared" si="31"/>
        <v>-0.14927105494916501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49.100632021390702</v>
      </c>
      <c r="H125" s="147">
        <f t="shared" si="28"/>
        <v>48.127410522702839</v>
      </c>
      <c r="I125" s="143">
        <f t="shared" si="30"/>
        <v>47.655797761650042</v>
      </c>
      <c r="J125" s="143">
        <f t="shared" si="30"/>
        <v>50.179116869127718</v>
      </c>
      <c r="K125" s="143">
        <f t="shared" si="30"/>
        <v>50.957438553002135</v>
      </c>
      <c r="L125" s="46"/>
      <c r="M125" s="79">
        <f t="shared" si="31"/>
        <v>3.8581060386274749E-2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41.784437833589109</v>
      </c>
      <c r="H126" s="147">
        <f t="shared" si="28"/>
        <v>40.956230302726375</v>
      </c>
      <c r="I126" s="143">
        <f t="shared" si="30"/>
        <v>34.654046015470541</v>
      </c>
      <c r="J126" s="143">
        <f t="shared" si="30"/>
        <v>30.929681075701211</v>
      </c>
      <c r="K126" s="143">
        <f t="shared" si="30"/>
        <v>26.328490524199179</v>
      </c>
      <c r="L126" s="46"/>
      <c r="M126" s="79">
        <f t="shared" si="31"/>
        <v>-0.37737719499934197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336.85348705737408</v>
      </c>
      <c r="H127" s="147">
        <f t="shared" si="28"/>
        <v>330.17672869366521</v>
      </c>
      <c r="I127" s="143">
        <f t="shared" si="30"/>
        <v>269.00741011780093</v>
      </c>
      <c r="J127" s="143">
        <f t="shared" si="30"/>
        <v>232.05603149655667</v>
      </c>
      <c r="K127" s="143">
        <f t="shared" si="30"/>
        <v>191.88999074464925</v>
      </c>
      <c r="L127" s="46"/>
      <c r="M127" s="79">
        <f t="shared" si="31"/>
        <v>-0.4390481936333574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73.562589473878162</v>
      </c>
      <c r="H128" s="147">
        <f t="shared" si="28"/>
        <v>72.1045085769981</v>
      </c>
      <c r="I128" s="143">
        <f t="shared" si="30"/>
        <v>103.7424613465498</v>
      </c>
      <c r="J128" s="143">
        <f t="shared" si="30"/>
        <v>135.60181054740005</v>
      </c>
      <c r="K128" s="143">
        <f t="shared" si="30"/>
        <v>158.16757135756134</v>
      </c>
      <c r="L128" s="46"/>
      <c r="M128" s="79">
        <f t="shared" si="31"/>
        <v>1.1733660426148835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2786.2414007353987</v>
      </c>
      <c r="H129" s="148">
        <f>SUM(H122:H128)</f>
        <v>2731.0154307204189</v>
      </c>
      <c r="I129" s="145">
        <f t="shared" ref="I129:K129" si="32">SUM(I122:I128)</f>
        <v>2432.1093671297144</v>
      </c>
      <c r="J129" s="145">
        <f t="shared" si="32"/>
        <v>2307.1302338212286</v>
      </c>
      <c r="K129" s="145">
        <f t="shared" si="32"/>
        <v>2118.5894795770628</v>
      </c>
      <c r="L129" s="21"/>
      <c r="M129" s="79">
        <f t="shared" si="31"/>
        <v>-0.2444702119395257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65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1184.8678605253267</v>
      </c>
      <c r="I133" s="143">
        <f t="shared" ref="I133:K133" si="33">I111+I122</f>
        <v>869.37892847971807</v>
      </c>
      <c r="J133" s="143">
        <f t="shared" si="33"/>
        <v>745.27510635581439</v>
      </c>
      <c r="K133" s="143">
        <f t="shared" si="33"/>
        <v>606.11655989718338</v>
      </c>
      <c r="L133" s="46"/>
      <c r="M133" s="79">
        <f>(K133-G133)/H133</f>
        <v>0.5115478105959036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4">H112+H123</f>
        <v>2573.6286999919075</v>
      </c>
      <c r="I134" s="143">
        <f t="shared" si="34"/>
        <v>2018.4325148574621</v>
      </c>
      <c r="J134" s="143">
        <f t="shared" si="34"/>
        <v>1867.099180897721</v>
      </c>
      <c r="K134" s="143">
        <f t="shared" si="34"/>
        <v>1658.1870679388794</v>
      </c>
      <c r="L134" s="46"/>
      <c r="M134" s="79">
        <f t="shared" ref="M134:M140" si="35">(K134-G134)/H134</f>
        <v>0.64429926039606777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4"/>
        <v>324.73142968208481</v>
      </c>
      <c r="I135" s="143">
        <f t="shared" si="34"/>
        <v>311.39041462527916</v>
      </c>
      <c r="J135" s="143">
        <f t="shared" si="34"/>
        <v>282.18919684333378</v>
      </c>
      <c r="K135" s="143">
        <f t="shared" si="34"/>
        <v>248.56505788336014</v>
      </c>
      <c r="L135" s="46"/>
      <c r="M135" s="79">
        <f t="shared" si="35"/>
        <v>0.76544810622953163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4"/>
        <v>87.743683724161968</v>
      </c>
      <c r="I136" s="143">
        <f t="shared" si="34"/>
        <v>76.551150368717714</v>
      </c>
      <c r="J136" s="143">
        <f t="shared" si="34"/>
        <v>78.589529784994056</v>
      </c>
      <c r="K136" s="143">
        <f t="shared" si="34"/>
        <v>77.264855347845526</v>
      </c>
      <c r="L136" s="46"/>
      <c r="M136" s="79">
        <f t="shared" si="35"/>
        <v>0.88057455612123003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4"/>
        <v>74.66951741609185</v>
      </c>
      <c r="I137" s="143">
        <f t="shared" si="34"/>
        <v>55.665988442429075</v>
      </c>
      <c r="J137" s="143">
        <f t="shared" si="34"/>
        <v>48.441448231917484</v>
      </c>
      <c r="K137" s="143">
        <f t="shared" si="34"/>
        <v>39.920903986637356</v>
      </c>
      <c r="L137" s="46"/>
      <c r="M137" s="79">
        <f t="shared" si="35"/>
        <v>0.53463455193074672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4"/>
        <v>601.96304228562485</v>
      </c>
      <c r="I138" s="143">
        <f t="shared" si="34"/>
        <v>419.73750683885459</v>
      </c>
      <c r="J138" s="143">
        <f t="shared" si="34"/>
        <v>369.0080271656372</v>
      </c>
      <c r="K138" s="143">
        <f t="shared" si="34"/>
        <v>295.89615405806074</v>
      </c>
      <c r="L138" s="46"/>
      <c r="M138" s="79">
        <f t="shared" si="35"/>
        <v>0.49155202773671491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4"/>
        <v>131.45762730537484</v>
      </c>
      <c r="I139" s="143">
        <f t="shared" si="34"/>
        <v>188.81832500210311</v>
      </c>
      <c r="J139" s="143">
        <f t="shared" si="34"/>
        <v>251.00793380438824</v>
      </c>
      <c r="K139" s="143">
        <f t="shared" si="34"/>
        <v>300.29606495855205</v>
      </c>
      <c r="L139" s="46"/>
      <c r="M139" s="79">
        <f t="shared" si="35"/>
        <v>2.284356344428514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4979.061860930572</v>
      </c>
      <c r="I140" s="145">
        <f t="shared" ref="I140:K140" si="36">SUM(I133:I139)</f>
        <v>3939.9748286145632</v>
      </c>
      <c r="J140" s="145">
        <f t="shared" si="36"/>
        <v>3641.6104230838064</v>
      </c>
      <c r="K140" s="145">
        <f t="shared" si="36"/>
        <v>3226.2466640705188</v>
      </c>
      <c r="L140" s="21"/>
      <c r="M140" s="79">
        <f t="shared" si="35"/>
        <v>0.64796275968893924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69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énergie'!C66</f>
        <v>8.566654622007622E-4</v>
      </c>
      <c r="I146" s="47">
        <f>H146</f>
        <v>8.566654622007622E-4</v>
      </c>
      <c r="J146" s="47">
        <f>I146</f>
        <v>8.566654622007622E-4</v>
      </c>
      <c r="K146" s="47">
        <f>J146</f>
        <v>8.566654622007622E-4</v>
      </c>
      <c r="M146" s="493" t="s">
        <v>386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énergie'!C67</f>
        <v>0.12133733261175747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énergie'!C68</f>
        <v>0.13508370055286556</v>
      </c>
      <c r="I148" s="47">
        <v>0.14000000000000001</v>
      </c>
      <c r="J148" s="47">
        <v>0.14000000000000001</v>
      </c>
      <c r="K148" s="47">
        <v>0.14000000000000001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énergie'!C69</f>
        <v>2.0851083900283521E-2</v>
      </c>
      <c r="I149" s="47">
        <v>0</v>
      </c>
      <c r="J149" s="47">
        <v>0</v>
      </c>
      <c r="K149" s="47">
        <f t="shared" ref="K149" si="37">J149</f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énergie'!C70</f>
        <v>2.1412462228474215E-2</v>
      </c>
      <c r="I150" s="47">
        <f t="shared" ref="I150:K150" si="38">H150</f>
        <v>2.1412462228474215E-2</v>
      </c>
      <c r="J150" s="47">
        <f t="shared" si="38"/>
        <v>2.1412462228474215E-2</v>
      </c>
      <c r="K150" s="47">
        <f t="shared" si="38"/>
        <v>2.1412462228474215E-2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énergie'!C71</f>
        <v>0.23233774569965782</v>
      </c>
      <c r="I151" s="47">
        <v>0.22</v>
      </c>
      <c r="J151" s="47">
        <v>0.2</v>
      </c>
      <c r="K151" s="47">
        <v>0.18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énergie'!C72</f>
        <v>0.46812100954476071</v>
      </c>
      <c r="I152" s="47">
        <v>0.62</v>
      </c>
      <c r="J152" s="47">
        <v>0.64</v>
      </c>
      <c r="K152" s="47">
        <v>0.66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39">SUM(I146:I152)</f>
        <v>1.002269127690675</v>
      </c>
      <c r="J153" s="15">
        <f t="shared" si="39"/>
        <v>1.002269127690675</v>
      </c>
      <c r="K153" s="15">
        <f t="shared" si="39"/>
        <v>1.002269127690675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70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80.259689552836733</v>
      </c>
      <c r="J157" s="45">
        <f>K157</f>
        <v>80.259689552836733</v>
      </c>
      <c r="K157" s="45">
        <f t="shared" ref="K157:K163" si="40">K81</f>
        <v>80.259689552836733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1">J158</f>
        <v>83.338496614795716</v>
      </c>
      <c r="J158" s="45">
        <f t="shared" si="41"/>
        <v>83.338496614795716</v>
      </c>
      <c r="K158" s="45">
        <f t="shared" si="40"/>
        <v>83.338496614795716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1"/>
        <v>69.537050013111781</v>
      </c>
      <c r="J159" s="45">
        <f t="shared" si="41"/>
        <v>69.537050013111781</v>
      </c>
      <c r="K159" s="45">
        <f t="shared" si="40"/>
        <v>69.537050013111781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1"/>
        <v>68.525240657192938</v>
      </c>
      <c r="J160" s="45">
        <f t="shared" si="41"/>
        <v>68.525240657192938</v>
      </c>
      <c r="K160" s="45">
        <f t="shared" si="40"/>
        <v>68.525240657192938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1"/>
        <v>70.810707937559044</v>
      </c>
      <c r="J161" s="45">
        <f t="shared" si="41"/>
        <v>70.810707937559044</v>
      </c>
      <c r="K161" s="45">
        <f t="shared" si="40"/>
        <v>70.810707937559044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1"/>
        <v>33.864249322076319</v>
      </c>
      <c r="J162" s="45">
        <f t="shared" si="41"/>
        <v>33.864249322076319</v>
      </c>
      <c r="K162" s="45">
        <f t="shared" si="40"/>
        <v>33.864249322076319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1"/>
        <v>26.443898486347468</v>
      </c>
      <c r="J163" s="45">
        <f t="shared" si="41"/>
        <v>26.443898486347468</v>
      </c>
      <c r="K163" s="45">
        <f t="shared" si="40"/>
        <v>26.443898486347468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66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2">I$35*I146*I157/1000</f>
        <v>0.1866676160937725</v>
      </c>
      <c r="J167" s="10">
        <f t="shared" si="42"/>
        <v>0.1219561332940037</v>
      </c>
      <c r="K167" s="10">
        <f t="shared" si="42"/>
        <v>7.8811377473164385E-2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3">H$35*H147*H158/1000</f>
        <v>0</v>
      </c>
      <c r="I168" s="10">
        <f t="shared" si="43"/>
        <v>0</v>
      </c>
      <c r="J168" s="10">
        <f t="shared" si="43"/>
        <v>0</v>
      </c>
      <c r="K168" s="10">
        <f t="shared" si="43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3"/>
        <v>0</v>
      </c>
      <c r="I169" s="10">
        <f t="shared" si="43"/>
        <v>26.430449299463664</v>
      </c>
      <c r="J169" s="10">
        <f t="shared" si="43"/>
        <v>17.26788751706426</v>
      </c>
      <c r="K169" s="10">
        <f t="shared" si="43"/>
        <v>11.158979581541121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3"/>
        <v>0</v>
      </c>
      <c r="I170" s="10">
        <f t="shared" si="43"/>
        <v>0</v>
      </c>
      <c r="J170" s="10">
        <f t="shared" si="43"/>
        <v>0</v>
      </c>
      <c r="K170" s="10">
        <f t="shared" si="43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3"/>
        <v>0</v>
      </c>
      <c r="I171" s="10">
        <f t="shared" si="43"/>
        <v>4.1164779539001914</v>
      </c>
      <c r="J171" s="10">
        <f t="shared" si="43"/>
        <v>2.6894313247965016</v>
      </c>
      <c r="K171" s="10">
        <f t="shared" si="43"/>
        <v>1.7379838274776716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3"/>
        <v>0</v>
      </c>
      <c r="I172" s="10">
        <f t="shared" si="43"/>
        <v>20.226669648216163</v>
      </c>
      <c r="J172" s="10">
        <f t="shared" si="43"/>
        <v>12.01341172045635</v>
      </c>
      <c r="K172" s="10">
        <f t="shared" si="43"/>
        <v>6.9870546912393507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3"/>
        <v>0</v>
      </c>
      <c r="I173" s="10">
        <f t="shared" si="43"/>
        <v>44.512031789107425</v>
      </c>
      <c r="J173" s="10">
        <f t="shared" si="43"/>
        <v>30.019286663198148</v>
      </c>
      <c r="K173" s="10">
        <f t="shared" si="43"/>
        <v>20.005508812363367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4">SUM(I167:I173)</f>
        <v>95.472296306781217</v>
      </c>
      <c r="J174" s="11">
        <f t="shared" si="44"/>
        <v>62.111973358809266</v>
      </c>
      <c r="K174" s="11">
        <f t="shared" si="44"/>
        <v>39.968338290094678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E177" s="508" t="s">
        <v>277</v>
      </c>
      <c r="F177" s="508"/>
      <c r="G177" s="508"/>
      <c r="H177" s="508"/>
      <c r="I177" s="508"/>
      <c r="J177" s="508"/>
      <c r="K177" s="508"/>
      <c r="L177" s="508"/>
      <c r="M177" s="508"/>
    </row>
    <row r="178" spans="1:13" s="17" customFormat="1">
      <c r="A178" s="56"/>
      <c r="E178" s="5" t="s">
        <v>20</v>
      </c>
      <c r="F178" s="4"/>
      <c r="G178" s="4"/>
      <c r="H178" s="4">
        <v>2020</v>
      </c>
      <c r="I178" s="4">
        <v>2030</v>
      </c>
      <c r="J178" s="4">
        <v>2040</v>
      </c>
      <c r="K178" s="4">
        <v>2050</v>
      </c>
      <c r="M178" s="65"/>
    </row>
    <row r="179" spans="1:13" s="17" customFormat="1">
      <c r="A179" s="56"/>
      <c r="E179" s="6" t="s">
        <v>15</v>
      </c>
      <c r="F179" s="82"/>
      <c r="G179" s="82"/>
      <c r="H179" s="10">
        <f>H$36*($J$73*H45+(1-$J$73)*H59)+H$35*H146</f>
        <v>8195.6624262282912</v>
      </c>
      <c r="I179" s="10">
        <f t="shared" ref="I179:K179" si="45">I$36*($J$73*I45+(1-$J$73)*I59)+I$35*I146</f>
        <v>7237.8242750190102</v>
      </c>
      <c r="J179" s="10">
        <f t="shared" si="45"/>
        <v>6742.5227822726811</v>
      </c>
      <c r="K179" s="10">
        <f t="shared" si="45"/>
        <v>5994.2897964365793</v>
      </c>
      <c r="M179" s="65"/>
    </row>
    <row r="180" spans="1:13" s="17" customFormat="1">
      <c r="A180" s="56"/>
      <c r="E180" s="6" t="s">
        <v>16</v>
      </c>
      <c r="F180" s="82"/>
      <c r="G180" s="82"/>
      <c r="H180" s="10">
        <f t="shared" ref="H180:K186" si="46">H$36*($J$73*H46+(1-$J$73)*H60)+H$35*H147</f>
        <v>17143.987728334687</v>
      </c>
      <c r="I180" s="10">
        <f t="shared" si="46"/>
        <v>16058.95924073785</v>
      </c>
      <c r="J180" s="10">
        <f t="shared" si="46"/>
        <v>16019.932054960173</v>
      </c>
      <c r="K180" s="10">
        <f t="shared" si="46"/>
        <v>15429.037021020287</v>
      </c>
      <c r="M180" s="65"/>
    </row>
    <row r="181" spans="1:13" s="17" customFormat="1">
      <c r="A181" s="56"/>
      <c r="E181" s="6" t="s">
        <v>68</v>
      </c>
      <c r="F181" s="82"/>
      <c r="G181" s="82"/>
      <c r="H181" s="10">
        <f t="shared" si="46"/>
        <v>2592.5054613579287</v>
      </c>
      <c r="I181" s="10">
        <f t="shared" si="46"/>
        <v>3405.1753684812329</v>
      </c>
      <c r="J181" s="10">
        <f t="shared" si="46"/>
        <v>3169.1833716455794</v>
      </c>
      <c r="K181" s="10">
        <f t="shared" si="46"/>
        <v>2903.3160226161735</v>
      </c>
      <c r="M181" s="65"/>
    </row>
    <row r="182" spans="1:13" s="17" customFormat="1">
      <c r="A182" s="56"/>
      <c r="E182" s="6" t="s">
        <v>22</v>
      </c>
      <c r="F182" s="82"/>
      <c r="G182" s="82"/>
      <c r="H182" s="10">
        <f t="shared" si="46"/>
        <v>710.84827166265791</v>
      </c>
      <c r="I182" s="10">
        <f t="shared" si="46"/>
        <v>733.09364110527758</v>
      </c>
      <c r="J182" s="10">
        <f t="shared" si="46"/>
        <v>803.94439887722513</v>
      </c>
      <c r="K182" s="10">
        <f t="shared" si="46"/>
        <v>850.29550142020264</v>
      </c>
      <c r="M182" s="65"/>
    </row>
    <row r="183" spans="1:13" s="17" customFormat="1">
      <c r="A183" s="56"/>
      <c r="E183" s="6" t="s">
        <v>42</v>
      </c>
      <c r="F183" s="82"/>
      <c r="G183" s="82"/>
      <c r="H183" s="10">
        <f t="shared" si="46"/>
        <v>585.40445901630642</v>
      </c>
      <c r="I183" s="10">
        <f t="shared" si="46"/>
        <v>574.01426215117499</v>
      </c>
      <c r="J183" s="10">
        <f t="shared" si="46"/>
        <v>517.52635567317861</v>
      </c>
      <c r="K183" s="10">
        <f t="shared" si="46"/>
        <v>449.69183278608097</v>
      </c>
      <c r="M183" s="65"/>
    </row>
    <row r="184" spans="1:13" s="17" customFormat="1">
      <c r="A184" s="56"/>
      <c r="E184" s="6" t="s">
        <v>25</v>
      </c>
      <c r="F184" s="82"/>
      <c r="G184" s="82"/>
      <c r="H184" s="10">
        <f t="shared" si="46"/>
        <v>9868.2465948463087</v>
      </c>
      <c r="I184" s="10">
        <f t="shared" si="46"/>
        <v>8946.0965959458372</v>
      </c>
      <c r="J184" s="10">
        <f t="shared" si="46"/>
        <v>8506.1840787289693</v>
      </c>
      <c r="K184" s="10">
        <f t="shared" si="46"/>
        <v>7475.076491060543</v>
      </c>
      <c r="M184" s="65"/>
    </row>
    <row r="185" spans="1:13" s="17" customFormat="1">
      <c r="A185" s="56"/>
      <c r="E185" s="6" t="s">
        <v>26</v>
      </c>
      <c r="F185" s="82"/>
      <c r="G185" s="82"/>
      <c r="H185" s="10">
        <f t="shared" si="46"/>
        <v>2759.7638782197305</v>
      </c>
      <c r="I185" s="10">
        <f t="shared" si="46"/>
        <v>6606.3260398512848</v>
      </c>
      <c r="J185" s="10">
        <f t="shared" si="46"/>
        <v>8406.40408805277</v>
      </c>
      <c r="K185" s="10">
        <f t="shared" si="46"/>
        <v>10561.921604792211</v>
      </c>
      <c r="M185" s="65"/>
    </row>
    <row r="186" spans="1:13" s="17" customFormat="1">
      <c r="A186" s="56"/>
      <c r="E186" s="7" t="s">
        <v>17</v>
      </c>
      <c r="F186" s="82"/>
      <c r="G186" s="82"/>
      <c r="H186" s="10">
        <f>H$36*($J$73*H52+(1-$J$73)*H66)+H$35*H153</f>
        <v>41833.48350925374</v>
      </c>
      <c r="I186" s="10">
        <f t="shared" si="46"/>
        <v>43561.489423291663</v>
      </c>
      <c r="J186" s="10">
        <f t="shared" si="46"/>
        <v>44165.697130210574</v>
      </c>
      <c r="K186" s="10">
        <f t="shared" si="46"/>
        <v>43663.628270132074</v>
      </c>
      <c r="M186" s="65"/>
    </row>
    <row r="187" spans="1:13" s="17" customFormat="1">
      <c r="A187" s="56"/>
      <c r="M187" s="65"/>
    </row>
    <row r="188" spans="1:13" s="17" customFormat="1">
      <c r="A188" s="56"/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7:M177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M45:M51"/>
    <mergeCell ref="F54:K54"/>
    <mergeCell ref="F57:K57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V130"/>
  <sheetViews>
    <sheetView zoomScaleNormal="100" workbookViewId="0">
      <pane ySplit="1" topLeftCell="A101" activePane="bottomLeft" state="frozen"/>
      <selection pane="bottomLeft" activeCell="C1" sqref="C1:C1048576"/>
    </sheetView>
  </sheetViews>
  <sheetFormatPr baseColWidth="10" defaultRowHeight="15"/>
  <cols>
    <col min="1" max="1" width="23.5703125" customWidth="1"/>
    <col min="2" max="2" width="16.7109375" customWidth="1"/>
    <col min="3" max="3" width="17.85546875" customWidth="1"/>
    <col min="4" max="4" width="19" customWidth="1"/>
    <col min="5" max="5" width="18.42578125" customWidth="1"/>
    <col min="6" max="6" width="19" customWidth="1"/>
    <col min="7" max="7" width="20.28515625" customWidth="1"/>
    <col min="8" max="8" width="17.5703125" customWidth="1"/>
    <col min="9" max="9" width="24.85546875" customWidth="1"/>
    <col min="10" max="10" width="19.7109375" customWidth="1"/>
    <col min="11" max="11" width="31.5703125" customWidth="1"/>
    <col min="12" max="12" width="17.28515625" bestFit="1" customWidth="1"/>
  </cols>
  <sheetData>
    <row r="1" spans="1:18" ht="90">
      <c r="A1" s="74" t="s">
        <v>325</v>
      </c>
      <c r="B1" s="104" t="s">
        <v>323</v>
      </c>
      <c r="C1" s="104" t="s">
        <v>324</v>
      </c>
      <c r="D1" s="104" t="s">
        <v>377</v>
      </c>
      <c r="E1" s="104" t="s">
        <v>326</v>
      </c>
      <c r="F1" s="104" t="s">
        <v>327</v>
      </c>
      <c r="G1" s="104" t="s">
        <v>328</v>
      </c>
    </row>
    <row r="2" spans="1:18">
      <c r="A2" s="516" t="s">
        <v>0</v>
      </c>
      <c r="B2" s="516"/>
      <c r="C2" s="516"/>
      <c r="D2" s="516"/>
      <c r="E2" s="516"/>
      <c r="F2" s="516"/>
      <c r="G2" s="516"/>
      <c r="L2" s="16" t="s">
        <v>207</v>
      </c>
      <c r="M2" s="521" t="s">
        <v>18</v>
      </c>
      <c r="N2" s="521"/>
      <c r="O2" s="521"/>
      <c r="P2" s="521"/>
    </row>
    <row r="3" spans="1:18">
      <c r="A3" s="6" t="s">
        <v>15</v>
      </c>
      <c r="B3" s="55">
        <v>0.09</v>
      </c>
      <c r="C3" s="55">
        <v>2.5832473286687414E-3</v>
      </c>
      <c r="D3" s="126">
        <v>143.27774761989451</v>
      </c>
      <c r="E3" s="338"/>
      <c r="F3" s="338"/>
      <c r="G3" s="339"/>
      <c r="L3" t="s">
        <v>208</v>
      </c>
      <c r="M3" s="16">
        <v>2020</v>
      </c>
      <c r="N3" s="16">
        <v>2030</v>
      </c>
      <c r="O3" s="16">
        <v>2040</v>
      </c>
      <c r="P3" s="16">
        <v>2050</v>
      </c>
      <c r="R3" t="s">
        <v>279</v>
      </c>
    </row>
    <row r="4" spans="1:18" ht="30">
      <c r="A4" s="6" t="s">
        <v>16</v>
      </c>
      <c r="B4" s="55">
        <v>0.42499999999999999</v>
      </c>
      <c r="C4" s="55">
        <v>0.18262447255667691</v>
      </c>
      <c r="D4" s="126">
        <v>143.46337556823548</v>
      </c>
      <c r="E4" s="338"/>
      <c r="F4" s="338"/>
      <c r="G4" s="339"/>
      <c r="H4" s="332" t="s">
        <v>329</v>
      </c>
      <c r="I4" s="332" t="s">
        <v>279</v>
      </c>
      <c r="J4" s="331" t="s">
        <v>331</v>
      </c>
      <c r="L4" s="6" t="s">
        <v>15</v>
      </c>
      <c r="M4" s="107">
        <v>270.95450323639699</v>
      </c>
      <c r="N4" s="107">
        <v>270.95450323639699</v>
      </c>
      <c r="O4" s="107">
        <v>270.95450323639699</v>
      </c>
      <c r="P4" s="107">
        <v>270.95450323639699</v>
      </c>
      <c r="R4" t="s">
        <v>280</v>
      </c>
    </row>
    <row r="5" spans="1:18" ht="30">
      <c r="A5" s="6" t="s">
        <v>68</v>
      </c>
      <c r="B5" s="55">
        <v>0.08</v>
      </c>
      <c r="C5" s="55">
        <v>0.13911656645249823</v>
      </c>
      <c r="D5" s="126">
        <v>120.33544112585447</v>
      </c>
      <c r="E5" s="338"/>
      <c r="F5" s="338"/>
      <c r="G5" s="339"/>
      <c r="H5" s="332" t="s">
        <v>330</v>
      </c>
      <c r="I5" s="517" t="s">
        <v>361</v>
      </c>
      <c r="J5" s="519" t="s">
        <v>395</v>
      </c>
      <c r="L5" s="6" t="s">
        <v>16</v>
      </c>
      <c r="M5" s="107">
        <v>205.21567582745899</v>
      </c>
      <c r="N5" s="107">
        <v>205.21567582745899</v>
      </c>
      <c r="O5" s="107">
        <v>205.21567582745899</v>
      </c>
      <c r="P5" s="107">
        <v>205.21567582745899</v>
      </c>
      <c r="R5" t="s">
        <v>280</v>
      </c>
    </row>
    <row r="6" spans="1:18">
      <c r="A6" s="6" t="s">
        <v>22</v>
      </c>
      <c r="B6" s="55">
        <v>1.2999999999999999E-2</v>
      </c>
      <c r="C6" s="55">
        <v>2.2541262662018457E-2</v>
      </c>
      <c r="D6" s="126">
        <v>105.48221754152573</v>
      </c>
      <c r="E6" s="338"/>
      <c r="F6" s="338"/>
      <c r="G6" s="339"/>
      <c r="H6" s="332" t="s">
        <v>334</v>
      </c>
      <c r="I6" s="518"/>
      <c r="J6" s="520"/>
      <c r="L6" s="6" t="s">
        <v>68</v>
      </c>
      <c r="M6" s="107">
        <v>150</v>
      </c>
      <c r="N6" s="107">
        <f>M6+(P6-M6)*(N3-M3)/30</f>
        <v>116.66666666666666</v>
      </c>
      <c r="O6" s="107">
        <f>N6+(Q6-N6)*(O3-N3)/30</f>
        <v>77.777777777777771</v>
      </c>
      <c r="P6" s="107">
        <v>50</v>
      </c>
      <c r="R6" t="s">
        <v>282</v>
      </c>
    </row>
    <row r="7" spans="1:18" ht="45">
      <c r="A7" s="6" t="s">
        <v>42</v>
      </c>
      <c r="B7" s="55">
        <v>1.2E-2</v>
      </c>
      <c r="C7" s="55">
        <v>2.2378153328661055E-2</v>
      </c>
      <c r="D7" s="126">
        <v>119.38786370580362</v>
      </c>
      <c r="E7" s="338"/>
      <c r="F7" s="338"/>
      <c r="G7" s="339"/>
      <c r="H7" s="332" t="s">
        <v>333</v>
      </c>
      <c r="I7" s="518"/>
      <c r="J7" s="520"/>
      <c r="L7" s="6" t="s">
        <v>22</v>
      </c>
      <c r="M7" s="107">
        <v>270.95450323639699</v>
      </c>
      <c r="N7" s="107">
        <v>270.95450323639699</v>
      </c>
      <c r="O7" s="107">
        <v>270.95450323639699</v>
      </c>
      <c r="P7" s="107">
        <v>270.95450323639699</v>
      </c>
      <c r="R7" t="s">
        <v>280</v>
      </c>
    </row>
    <row r="8" spans="1:18">
      <c r="A8" s="6" t="s">
        <v>25</v>
      </c>
      <c r="B8" s="55">
        <v>0.30599999999999999</v>
      </c>
      <c r="C8" s="55">
        <v>0.17192765066376023</v>
      </c>
      <c r="D8" s="126">
        <v>73</v>
      </c>
      <c r="E8" s="338"/>
      <c r="F8" s="338"/>
      <c r="G8" s="339"/>
      <c r="L8" s="6" t="s">
        <v>42</v>
      </c>
      <c r="M8" s="107">
        <v>0</v>
      </c>
      <c r="N8" s="107">
        <v>0</v>
      </c>
      <c r="O8" s="107">
        <v>0</v>
      </c>
      <c r="P8" s="107">
        <v>0</v>
      </c>
      <c r="R8" t="s">
        <v>280</v>
      </c>
    </row>
    <row r="9" spans="1:18">
      <c r="A9" s="6" t="s">
        <v>26</v>
      </c>
      <c r="B9" s="55">
        <v>7.2999999999999995E-2</v>
      </c>
      <c r="C9" s="55">
        <v>0.45882864700771653</v>
      </c>
      <c r="D9" s="126">
        <v>54.925506119527036</v>
      </c>
      <c r="E9" s="338"/>
      <c r="F9" s="338"/>
      <c r="G9" s="339"/>
      <c r="L9" s="6" t="s">
        <v>25</v>
      </c>
      <c r="M9" s="107">
        <v>79</v>
      </c>
      <c r="N9" s="107">
        <f>M9+(P9-M9)*(N3-M3)/30</f>
        <v>69.333333333333329</v>
      </c>
      <c r="O9" s="107">
        <f>N9+(Q9-N9)*(O3-N3)/30</f>
        <v>46.222222222222221</v>
      </c>
      <c r="P9" s="107">
        <v>50</v>
      </c>
      <c r="R9" t="s">
        <v>281</v>
      </c>
    </row>
    <row r="10" spans="1:18">
      <c r="B10" s="55">
        <f>SUM(B3:B9)</f>
        <v>0.99899999999999989</v>
      </c>
      <c r="C10" s="55">
        <f>SUM(C3:C9)</f>
        <v>1</v>
      </c>
      <c r="E10" s="338"/>
      <c r="F10" s="338"/>
      <c r="L10" s="6" t="s">
        <v>26</v>
      </c>
      <c r="M10" s="107">
        <v>79</v>
      </c>
      <c r="N10" s="107">
        <f>M10+(P10-M10)*(N3-M3)/30</f>
        <v>69.333333333333329</v>
      </c>
      <c r="O10" s="107">
        <f>N10+(Q10-N10)*(O3-N3)/30</f>
        <v>46.222222222222221</v>
      </c>
      <c r="P10" s="107">
        <v>50</v>
      </c>
      <c r="R10" t="s">
        <v>281</v>
      </c>
    </row>
    <row r="11" spans="1:18">
      <c r="A11" s="516" t="s">
        <v>48</v>
      </c>
      <c r="B11" s="516"/>
      <c r="C11" s="516"/>
      <c r="D11" s="516"/>
      <c r="E11" s="516"/>
      <c r="F11" s="516"/>
      <c r="G11" s="516"/>
    </row>
    <row r="12" spans="1:18">
      <c r="A12" s="6" t="s">
        <v>15</v>
      </c>
      <c r="B12" s="55">
        <v>0.08</v>
      </c>
      <c r="C12" s="55">
        <v>0</v>
      </c>
      <c r="D12" s="54">
        <v>213.18589628380153</v>
      </c>
      <c r="E12" s="338"/>
      <c r="F12" s="338"/>
      <c r="G12" s="339"/>
    </row>
    <row r="13" spans="1:18">
      <c r="A13" s="6" t="s">
        <v>16</v>
      </c>
      <c r="B13" s="55">
        <v>0.34499999999999997</v>
      </c>
      <c r="C13" s="55">
        <v>0.38923402073260943</v>
      </c>
      <c r="D13" s="54">
        <v>158.46053551606883</v>
      </c>
      <c r="E13" s="338"/>
      <c r="F13" s="338"/>
      <c r="G13" s="339"/>
      <c r="L13" s="16" t="s">
        <v>207</v>
      </c>
      <c r="M13" s="521" t="s">
        <v>19</v>
      </c>
      <c r="N13" s="521"/>
      <c r="O13" s="521"/>
      <c r="P13" s="521"/>
    </row>
    <row r="14" spans="1:18">
      <c r="A14" s="6" t="s">
        <v>68</v>
      </c>
      <c r="B14" s="55">
        <v>6.6000000000000003E-2</v>
      </c>
      <c r="C14" s="55">
        <v>6.6076657693018501E-2</v>
      </c>
      <c r="D14" s="54">
        <v>140.53752265291996</v>
      </c>
      <c r="E14" s="338"/>
      <c r="F14" s="338"/>
      <c r="G14" s="339"/>
      <c r="L14" t="s">
        <v>208</v>
      </c>
      <c r="M14" s="16">
        <v>2020</v>
      </c>
      <c r="N14" s="16">
        <v>2030</v>
      </c>
      <c r="O14" s="16">
        <v>2040</v>
      </c>
      <c r="P14" s="16">
        <v>2050</v>
      </c>
      <c r="R14" t="s">
        <v>279</v>
      </c>
    </row>
    <row r="15" spans="1:18">
      <c r="A15" s="6" t="s">
        <v>22</v>
      </c>
      <c r="B15" s="55">
        <v>1.4E-2</v>
      </c>
      <c r="C15" s="55">
        <v>1.4740928196769911E-2</v>
      </c>
      <c r="D15" s="54">
        <v>133.41371741069062</v>
      </c>
      <c r="E15" s="338"/>
      <c r="F15" s="338"/>
      <c r="G15" s="339"/>
      <c r="L15" s="6" t="s">
        <v>15</v>
      </c>
      <c r="M15" s="107">
        <v>270.95450323639699</v>
      </c>
      <c r="N15" s="107">
        <v>270.95450323639699</v>
      </c>
      <c r="O15" s="107">
        <v>270.95450323639699</v>
      </c>
      <c r="P15" s="107">
        <v>270.95450323639699</v>
      </c>
      <c r="R15" t="s">
        <v>280</v>
      </c>
    </row>
    <row r="16" spans="1:18">
      <c r="A16" s="6" t="s">
        <v>42</v>
      </c>
      <c r="B16" s="55">
        <v>2.7E-2</v>
      </c>
      <c r="C16" s="55">
        <v>2.5736644706610589E-2</v>
      </c>
      <c r="D16" s="54">
        <v>117.86752281231102</v>
      </c>
      <c r="E16" s="338"/>
      <c r="F16" s="338"/>
      <c r="G16" s="339"/>
      <c r="L16" s="6" t="s">
        <v>16</v>
      </c>
      <c r="M16" s="107">
        <v>205.21567582745899</v>
      </c>
      <c r="N16" s="107">
        <f>M16*0.85</f>
        <v>174.43332445334013</v>
      </c>
      <c r="O16" s="107">
        <f>N16*0.5</f>
        <v>87.216662226670067</v>
      </c>
      <c r="P16" s="107">
        <v>0</v>
      </c>
      <c r="R16" t="s">
        <v>280</v>
      </c>
    </row>
    <row r="17" spans="1:22">
      <c r="A17" s="6" t="s">
        <v>25</v>
      </c>
      <c r="B17" s="55">
        <v>0.36199999999999999</v>
      </c>
      <c r="C17" s="55">
        <v>8.0042733231366181E-2</v>
      </c>
      <c r="D17" s="54">
        <v>48</v>
      </c>
      <c r="E17" s="338"/>
      <c r="F17" s="338"/>
      <c r="G17" s="339"/>
      <c r="L17" s="6" t="s">
        <v>68</v>
      </c>
      <c r="M17" s="107">
        <v>150</v>
      </c>
      <c r="N17" s="107">
        <f>M17+(P17-M17)*(N14-M14)/30</f>
        <v>116.66666666666666</v>
      </c>
      <c r="O17" s="107">
        <f>N17+(Q17-N17)*(O14-N14)/30</f>
        <v>77.777777777777771</v>
      </c>
      <c r="P17" s="107">
        <f>M17/3</f>
        <v>50</v>
      </c>
      <c r="R17" t="s">
        <v>282</v>
      </c>
    </row>
    <row r="18" spans="1:22">
      <c r="A18" s="6" t="s">
        <v>26</v>
      </c>
      <c r="B18" s="55">
        <v>0.107</v>
      </c>
      <c r="C18" s="55">
        <v>0.42416901543962537</v>
      </c>
      <c r="D18" s="54">
        <v>45.999932951694888</v>
      </c>
      <c r="E18" s="338"/>
      <c r="F18" s="338"/>
      <c r="G18" s="339"/>
      <c r="L18" s="6" t="s">
        <v>22</v>
      </c>
      <c r="M18" s="107">
        <v>270.95450323639699</v>
      </c>
      <c r="N18" s="107">
        <v>270.95450323639699</v>
      </c>
      <c r="O18" s="107">
        <v>270.95450323639699</v>
      </c>
      <c r="P18" s="107">
        <v>270.95450323639699</v>
      </c>
      <c r="R18" t="s">
        <v>280</v>
      </c>
    </row>
    <row r="19" spans="1:22">
      <c r="B19" s="55">
        <f>SUM(B12:B18)</f>
        <v>1.0010000000000001</v>
      </c>
      <c r="C19" s="55">
        <f>SUM(C12:C18)</f>
        <v>1</v>
      </c>
      <c r="E19" s="338"/>
      <c r="F19" s="338"/>
      <c r="L19" s="6" t="s">
        <v>42</v>
      </c>
      <c r="M19" s="107">
        <v>0</v>
      </c>
      <c r="N19" s="107">
        <v>0</v>
      </c>
      <c r="O19" s="107">
        <v>0</v>
      </c>
      <c r="P19" s="107">
        <v>0</v>
      </c>
      <c r="R19" t="s">
        <v>280</v>
      </c>
    </row>
    <row r="20" spans="1:22">
      <c r="A20" s="516" t="s">
        <v>3</v>
      </c>
      <c r="B20" s="516"/>
      <c r="C20" s="516"/>
      <c r="D20" s="516"/>
      <c r="E20" s="516"/>
      <c r="F20" s="516"/>
      <c r="G20" s="516"/>
      <c r="L20" s="6" t="s">
        <v>25</v>
      </c>
      <c r="M20" s="107">
        <v>79</v>
      </c>
      <c r="N20" s="107">
        <f>M20+(P20-M20)*(N14-M14)/30</f>
        <v>66</v>
      </c>
      <c r="O20" s="107">
        <f>N20+(Q20-N20)*(O14-N14)/30</f>
        <v>44</v>
      </c>
      <c r="P20" s="107">
        <v>40</v>
      </c>
      <c r="R20" t="s">
        <v>281</v>
      </c>
    </row>
    <row r="21" spans="1:22">
      <c r="A21" s="6" t="s">
        <v>15</v>
      </c>
      <c r="B21" s="55">
        <v>0.184</v>
      </c>
      <c r="C21" s="55">
        <v>4.1021151124009851E-5</v>
      </c>
      <c r="D21" s="54">
        <v>101.20496711697824</v>
      </c>
      <c r="E21" s="338"/>
      <c r="F21" s="338"/>
      <c r="G21" s="339"/>
      <c r="L21" s="6" t="s">
        <v>26</v>
      </c>
      <c r="M21" s="107">
        <v>79</v>
      </c>
      <c r="N21" s="107">
        <f>M21+(P21-M21)*(N14-M14)/30</f>
        <v>66</v>
      </c>
      <c r="O21" s="107">
        <f>N21+(Q21-N21)*(O14-N14)/30</f>
        <v>44</v>
      </c>
      <c r="P21" s="107">
        <v>40</v>
      </c>
      <c r="R21" t="s">
        <v>281</v>
      </c>
    </row>
    <row r="22" spans="1:22">
      <c r="A22" s="6" t="s">
        <v>16</v>
      </c>
      <c r="B22" s="55">
        <v>0.39300000000000002</v>
      </c>
      <c r="C22" s="55">
        <v>0.24387457929202933</v>
      </c>
      <c r="D22" s="54">
        <v>108.58725762596659</v>
      </c>
      <c r="E22" s="338"/>
      <c r="F22" s="338"/>
      <c r="G22" s="339"/>
    </row>
    <row r="23" spans="1:22">
      <c r="A23" s="6" t="s">
        <v>68</v>
      </c>
      <c r="B23" s="55">
        <v>4.2000000000000003E-2</v>
      </c>
      <c r="C23" s="55">
        <v>3.8798739172946649E-2</v>
      </c>
      <c r="D23" s="54">
        <v>50.751277606007875</v>
      </c>
      <c r="E23" s="338"/>
      <c r="F23" s="338"/>
      <c r="G23" s="339"/>
    </row>
    <row r="24" spans="1:22">
      <c r="A24" s="6" t="s">
        <v>22</v>
      </c>
      <c r="B24" s="55">
        <v>1.7999999999999999E-2</v>
      </c>
      <c r="C24" s="55">
        <v>1.4755157309534661E-2</v>
      </c>
      <c r="D24" s="54">
        <v>47.976367366236985</v>
      </c>
      <c r="E24" s="338"/>
      <c r="F24" s="338"/>
      <c r="G24" s="339"/>
    </row>
    <row r="25" spans="1:22">
      <c r="A25" s="6" t="s">
        <v>42</v>
      </c>
      <c r="B25" s="55">
        <v>1.4E-2</v>
      </c>
      <c r="C25" s="55">
        <v>1.1548604741342878E-2</v>
      </c>
      <c r="D25" s="54">
        <v>55.138631733186472</v>
      </c>
      <c r="E25" s="338"/>
      <c r="F25" s="338"/>
      <c r="G25" s="339"/>
    </row>
    <row r="26" spans="1:22">
      <c r="A26" s="6" t="s">
        <v>25</v>
      </c>
      <c r="B26" s="55">
        <v>0.26200000000000001</v>
      </c>
      <c r="C26" s="55">
        <v>0.37540666329243721</v>
      </c>
      <c r="D26" s="54">
        <v>55</v>
      </c>
      <c r="E26" s="338"/>
      <c r="F26" s="338"/>
      <c r="G26" s="339"/>
      <c r="L26" t="s">
        <v>258</v>
      </c>
    </row>
    <row r="27" spans="1:22">
      <c r="A27" s="6" t="s">
        <v>26</v>
      </c>
      <c r="B27" s="55">
        <v>8.7999999999999995E-2</v>
      </c>
      <c r="C27" s="55">
        <v>0.31557523504058516</v>
      </c>
      <c r="D27" s="54">
        <v>50.720582443629688</v>
      </c>
      <c r="E27" s="338"/>
      <c r="F27" s="338"/>
      <c r="G27" s="339"/>
    </row>
    <row r="28" spans="1:22" ht="45">
      <c r="B28" s="55">
        <f>SUM(B21:B27)</f>
        <v>1.0010000000000001</v>
      </c>
      <c r="C28" s="55">
        <f>SUM(C21:C27)</f>
        <v>0.99999999999999989</v>
      </c>
      <c r="E28" s="338">
        <f>SUM(E21:E27)</f>
        <v>0</v>
      </c>
      <c r="F28" s="338"/>
      <c r="L28" s="262" t="s">
        <v>233</v>
      </c>
      <c r="M28" s="263" t="s">
        <v>131</v>
      </c>
      <c r="N28" s="263" t="s">
        <v>226</v>
      </c>
      <c r="O28" s="263" t="s">
        <v>227</v>
      </c>
      <c r="P28" s="263" t="s">
        <v>16</v>
      </c>
      <c r="Q28" s="263" t="s">
        <v>228</v>
      </c>
      <c r="R28" s="263" t="s">
        <v>229</v>
      </c>
      <c r="S28" s="263" t="s">
        <v>230</v>
      </c>
      <c r="T28" s="263" t="s">
        <v>79</v>
      </c>
      <c r="U28" s="263" t="s">
        <v>231</v>
      </c>
      <c r="V28" s="263" t="s">
        <v>17</v>
      </c>
    </row>
    <row r="29" spans="1:22">
      <c r="A29" s="516" t="s">
        <v>43</v>
      </c>
      <c r="B29" s="516"/>
      <c r="C29" s="516"/>
      <c r="D29" s="516"/>
      <c r="E29" s="516"/>
      <c r="F29" s="516"/>
      <c r="G29" s="516"/>
      <c r="K29">
        <v>2019</v>
      </c>
      <c r="L29" t="s">
        <v>232</v>
      </c>
      <c r="M29" s="220">
        <v>0.40432760307999993</v>
      </c>
      <c r="N29" s="220">
        <v>0</v>
      </c>
      <c r="O29" s="220">
        <v>32.93541245267501</v>
      </c>
      <c r="P29" s="220">
        <v>70.504948999999996</v>
      </c>
      <c r="Q29" s="220">
        <v>0</v>
      </c>
      <c r="R29" s="220">
        <v>0</v>
      </c>
      <c r="S29" s="220">
        <v>11.474464380852645</v>
      </c>
      <c r="T29" s="220">
        <v>137.76608700000003</v>
      </c>
      <c r="U29" s="220">
        <v>9.3080608682609078</v>
      </c>
      <c r="V29" s="264">
        <v>262.3933013048686</v>
      </c>
    </row>
    <row r="30" spans="1:22">
      <c r="A30" s="6" t="s">
        <v>15</v>
      </c>
      <c r="B30" s="55">
        <v>0.20200000000000001</v>
      </c>
      <c r="C30" s="55">
        <v>5.6584972145073235E-2</v>
      </c>
      <c r="D30" s="54">
        <v>106.20162996399759</v>
      </c>
      <c r="E30" s="338"/>
      <c r="F30" s="338"/>
      <c r="G30" s="339"/>
      <c r="K30">
        <v>2020</v>
      </c>
      <c r="L30" t="s">
        <v>232</v>
      </c>
      <c r="M30" s="220">
        <v>0.35525487623000002</v>
      </c>
      <c r="N30" s="220">
        <v>0</v>
      </c>
      <c r="O30" s="220">
        <v>32.886842187182005</v>
      </c>
      <c r="P30" s="220">
        <v>62.61667825</v>
      </c>
      <c r="Q30" s="220">
        <v>0</v>
      </c>
      <c r="R30" s="220">
        <v>0</v>
      </c>
      <c r="S30" s="220">
        <v>11.563797787814609</v>
      </c>
      <c r="T30" s="220">
        <v>127.63966800000001</v>
      </c>
      <c r="U30" s="220">
        <v>9.5330378016015072</v>
      </c>
      <c r="V30" s="264">
        <v>244.59527890282811</v>
      </c>
    </row>
    <row r="31" spans="1:22">
      <c r="A31" s="6" t="s">
        <v>16</v>
      </c>
      <c r="B31" s="55">
        <v>0.58799999999999997</v>
      </c>
      <c r="C31" s="55">
        <v>0.5881912261494745</v>
      </c>
      <c r="D31" s="54">
        <v>91.367679124341691</v>
      </c>
      <c r="E31" s="338"/>
      <c r="F31" s="338"/>
      <c r="G31" s="339"/>
      <c r="K31">
        <v>2021</v>
      </c>
      <c r="L31" t="s">
        <v>232</v>
      </c>
      <c r="M31" s="220">
        <v>0.42171975636000003</v>
      </c>
      <c r="N31" s="220">
        <v>0</v>
      </c>
      <c r="O31" s="220">
        <v>31.687498104564003</v>
      </c>
      <c r="P31" s="220">
        <v>75.02500775</v>
      </c>
      <c r="Q31" s="220">
        <v>0</v>
      </c>
      <c r="R31" s="220">
        <v>0</v>
      </c>
      <c r="S31" s="220">
        <v>13.583177007092438</v>
      </c>
      <c r="T31" s="220">
        <v>133.36982900000001</v>
      </c>
      <c r="U31" s="220">
        <v>10.601388055555557</v>
      </c>
      <c r="V31" s="264">
        <v>264.68861967357202</v>
      </c>
    </row>
    <row r="32" spans="1:22">
      <c r="A32" s="6" t="s">
        <v>68</v>
      </c>
      <c r="B32" s="55">
        <v>8.4000000000000005E-2</v>
      </c>
      <c r="C32" s="55">
        <v>8.0741361547576412E-2</v>
      </c>
      <c r="D32" s="54">
        <v>96.691613105737261</v>
      </c>
      <c r="E32" s="338"/>
      <c r="F32" s="338"/>
      <c r="G32" s="339"/>
    </row>
    <row r="33" spans="1:18">
      <c r="A33" s="6" t="s">
        <v>22</v>
      </c>
      <c r="B33" s="55">
        <v>1.2999999999999999E-2</v>
      </c>
      <c r="C33" s="55">
        <v>1.2731783152525081E-2</v>
      </c>
      <c r="D33" s="54">
        <v>98.676610154660196</v>
      </c>
      <c r="E33" s="338"/>
      <c r="F33" s="338"/>
      <c r="G33" s="339"/>
      <c r="O33" s="515" t="s">
        <v>255</v>
      </c>
      <c r="P33" s="515"/>
      <c r="Q33" s="16" t="s">
        <v>180</v>
      </c>
    </row>
    <row r="34" spans="1:18">
      <c r="A34" s="6" t="s">
        <v>42</v>
      </c>
      <c r="B34" s="55">
        <v>8.9999999999999993E-3</v>
      </c>
      <c r="C34" s="55">
        <v>9.0821371602788342E-3</v>
      </c>
      <c r="D34" s="54">
        <v>94.25487452068927</v>
      </c>
      <c r="E34" s="338"/>
      <c r="F34" s="338"/>
      <c r="G34" s="339"/>
      <c r="N34" s="8" t="s">
        <v>20</v>
      </c>
      <c r="O34" s="9">
        <v>2019</v>
      </c>
      <c r="P34" s="9" t="s">
        <v>256</v>
      </c>
      <c r="Q34" s="9" t="s">
        <v>257</v>
      </c>
      <c r="R34" t="s">
        <v>234</v>
      </c>
    </row>
    <row r="35" spans="1:18">
      <c r="A35" s="6" t="s">
        <v>25</v>
      </c>
      <c r="B35" s="55">
        <v>0.09</v>
      </c>
      <c r="C35" s="55">
        <v>2.1278159067402536E-2</v>
      </c>
      <c r="D35" s="54">
        <v>50</v>
      </c>
      <c r="E35" s="338"/>
      <c r="F35" s="338"/>
      <c r="G35" s="339"/>
      <c r="N35" s="124" t="s">
        <v>15</v>
      </c>
      <c r="O35" s="266">
        <f>Résultats!Y35</f>
        <v>22595.21120051519</v>
      </c>
      <c r="P35" s="220">
        <f>O35/1000</f>
        <v>22.595211200515191</v>
      </c>
      <c r="Q35" s="220">
        <f>O29</f>
        <v>32.93541245267501</v>
      </c>
      <c r="R35" s="220">
        <f>P35-Q35</f>
        <v>-10.340201252159819</v>
      </c>
    </row>
    <row r="36" spans="1:18">
      <c r="A36" s="6" t="s">
        <v>26</v>
      </c>
      <c r="B36" s="55">
        <v>1.2999999999999999E-2</v>
      </c>
      <c r="C36" s="55">
        <v>0.23139036077766945</v>
      </c>
      <c r="D36" s="54">
        <v>53.512424377058124</v>
      </c>
      <c r="E36" s="338"/>
      <c r="F36" s="338"/>
      <c r="G36" s="339"/>
      <c r="N36" s="124" t="s">
        <v>16</v>
      </c>
      <c r="O36" s="266">
        <f>Résultats!Y36</f>
        <v>72856.92088779372</v>
      </c>
      <c r="P36" s="220">
        <f>(O38+O36)/1000</f>
        <v>74.129499568227757</v>
      </c>
      <c r="Q36" s="220">
        <f>P29</f>
        <v>70.504948999999996</v>
      </c>
      <c r="R36" s="220">
        <f t="shared" ref="R36:R40" si="0">P36-Q36</f>
        <v>3.624550568227761</v>
      </c>
    </row>
    <row r="37" spans="1:18">
      <c r="B37" s="55">
        <f>SUM(B30:B36)</f>
        <v>0.999</v>
      </c>
      <c r="C37" s="55">
        <f>SUM(C30:C36)</f>
        <v>1</v>
      </c>
      <c r="E37" s="338"/>
      <c r="F37" s="338"/>
      <c r="N37" s="124" t="s">
        <v>21</v>
      </c>
      <c r="O37" s="266">
        <f>Résultats!Y37</f>
        <v>8956.0754726763953</v>
      </c>
      <c r="P37" s="220">
        <f t="shared" ref="P37:P40" si="1">O37/1000</f>
        <v>8.956075472676396</v>
      </c>
      <c r="Q37" s="220">
        <f>U29</f>
        <v>9.3080608682609078</v>
      </c>
      <c r="R37" s="220">
        <f t="shared" si="0"/>
        <v>-0.35198539558451181</v>
      </c>
    </row>
    <row r="38" spans="1:18">
      <c r="A38" s="516" t="s">
        <v>1</v>
      </c>
      <c r="B38" s="516"/>
      <c r="C38" s="516"/>
      <c r="D38" s="516"/>
      <c r="E38" s="516"/>
      <c r="F38" s="516"/>
      <c r="G38" s="516"/>
      <c r="N38" s="124" t="s">
        <v>22</v>
      </c>
      <c r="O38" s="266">
        <f>Résultats!Y38</f>
        <v>1272.578680434025</v>
      </c>
      <c r="P38" s="220"/>
      <c r="R38" s="220"/>
    </row>
    <row r="39" spans="1:18">
      <c r="A39" s="6" t="s">
        <v>15</v>
      </c>
      <c r="B39" s="55"/>
      <c r="C39" s="55"/>
      <c r="D39" s="54"/>
      <c r="E39" s="338"/>
      <c r="F39" s="338"/>
      <c r="G39" s="339"/>
      <c r="N39" s="124" t="s">
        <v>42</v>
      </c>
      <c r="O39" s="266">
        <f>Résultats!Y39</f>
        <v>1509.2890182714993</v>
      </c>
      <c r="P39" s="220">
        <f t="shared" si="1"/>
        <v>1.5092890182714993</v>
      </c>
      <c r="Q39" s="220">
        <f>S29</f>
        <v>11.474464380852645</v>
      </c>
      <c r="R39" s="220">
        <f>P39-Q39</f>
        <v>-9.9651753625811459</v>
      </c>
    </row>
    <row r="40" spans="1:18">
      <c r="A40" s="6" t="s">
        <v>16</v>
      </c>
      <c r="B40" s="55"/>
      <c r="C40" s="55"/>
      <c r="D40" s="54"/>
      <c r="E40" s="338"/>
      <c r="F40" s="338"/>
      <c r="G40" s="339"/>
      <c r="N40" s="124" t="s">
        <v>200</v>
      </c>
      <c r="O40" s="266">
        <f>Résultats!Y40</f>
        <v>145662.83125130209</v>
      </c>
      <c r="P40" s="220">
        <f t="shared" si="1"/>
        <v>145.66283125130209</v>
      </c>
      <c r="Q40" s="220">
        <f>T29</f>
        <v>137.76608700000003</v>
      </c>
      <c r="R40" s="220">
        <f t="shared" si="0"/>
        <v>7.8967442513020671</v>
      </c>
    </row>
    <row r="41" spans="1:18">
      <c r="A41" s="6" t="s">
        <v>68</v>
      </c>
      <c r="B41" s="55"/>
      <c r="C41" s="55"/>
      <c r="D41" s="54"/>
      <c r="E41" s="338"/>
      <c r="F41" s="338"/>
      <c r="G41" s="339"/>
      <c r="N41" s="231" t="s">
        <v>17</v>
      </c>
      <c r="O41" s="267">
        <f>SUM(O35:O40)</f>
        <v>252852.90651099294</v>
      </c>
      <c r="P41" s="220">
        <f>SUM(P35:P40)</f>
        <v>252.85290651099297</v>
      </c>
      <c r="Q41" s="220">
        <f>SUM(Q35:Q40)</f>
        <v>261.98897370178861</v>
      </c>
      <c r="R41" s="220">
        <f>P41-Q41</f>
        <v>-9.136067190795643</v>
      </c>
    </row>
    <row r="42" spans="1:18">
      <c r="A42" s="6" t="s">
        <v>22</v>
      </c>
      <c r="B42" s="55"/>
      <c r="C42" s="55"/>
      <c r="D42" s="54"/>
      <c r="E42" s="338"/>
      <c r="F42" s="338"/>
      <c r="G42" s="339"/>
    </row>
    <row r="43" spans="1:18">
      <c r="A43" s="6" t="s">
        <v>42</v>
      </c>
      <c r="B43" s="55"/>
      <c r="C43" s="55"/>
      <c r="D43" s="54"/>
      <c r="E43" s="338"/>
      <c r="F43" s="338"/>
      <c r="G43" s="339"/>
    </row>
    <row r="44" spans="1:18">
      <c r="A44" s="6" t="s">
        <v>25</v>
      </c>
      <c r="B44" s="55"/>
      <c r="C44" s="55"/>
      <c r="D44" s="54"/>
      <c r="E44" s="338"/>
      <c r="F44" s="338"/>
      <c r="G44" s="339"/>
    </row>
    <row r="45" spans="1:18">
      <c r="A45" s="6" t="s">
        <v>26</v>
      </c>
      <c r="B45" s="55"/>
      <c r="C45" s="55"/>
      <c r="D45" s="54"/>
      <c r="E45" s="338"/>
      <c r="F45" s="338"/>
      <c r="G45" s="339"/>
    </row>
    <row r="46" spans="1:18">
      <c r="B46" s="55"/>
      <c r="C46" s="55"/>
      <c r="E46" s="338"/>
      <c r="F46" s="338"/>
    </row>
    <row r="47" spans="1:18">
      <c r="A47" s="516" t="s">
        <v>45</v>
      </c>
      <c r="B47" s="516"/>
      <c r="C47" s="516"/>
      <c r="D47" s="516"/>
      <c r="E47" s="516"/>
      <c r="F47" s="516"/>
      <c r="G47" s="516"/>
    </row>
    <row r="48" spans="1:18">
      <c r="A48" s="6" t="s">
        <v>15</v>
      </c>
      <c r="B48" s="55">
        <v>0.158</v>
      </c>
      <c r="C48" s="55">
        <v>1.1068404808735261E-2</v>
      </c>
      <c r="D48" s="54">
        <v>134.52715105091531</v>
      </c>
      <c r="E48" s="338"/>
      <c r="F48" s="338"/>
      <c r="G48" s="339"/>
    </row>
    <row r="49" spans="1:7">
      <c r="A49" s="6" t="s">
        <v>16</v>
      </c>
      <c r="B49" s="55">
        <v>0.52700000000000002</v>
      </c>
      <c r="C49" s="55">
        <v>0.44151844048973238</v>
      </c>
      <c r="D49" s="54">
        <v>111.57561660808248</v>
      </c>
      <c r="E49" s="338"/>
      <c r="F49" s="338"/>
      <c r="G49" s="339"/>
    </row>
    <row r="50" spans="1:7">
      <c r="A50" s="6" t="s">
        <v>68</v>
      </c>
      <c r="B50" s="55">
        <v>8.5999999999999993E-2</v>
      </c>
      <c r="C50" s="55">
        <v>0.19276276753541544</v>
      </c>
      <c r="D50" s="54">
        <v>113.21212196009803</v>
      </c>
      <c r="E50" s="338"/>
      <c r="F50" s="338"/>
      <c r="G50" s="339"/>
    </row>
    <row r="51" spans="1:7">
      <c r="A51" s="6" t="s">
        <v>22</v>
      </c>
      <c r="B51" s="55">
        <v>1.4999999999999999E-2</v>
      </c>
      <c r="C51" s="55">
        <v>3.6575030316210601E-2</v>
      </c>
      <c r="D51" s="54">
        <v>99.969165808532892</v>
      </c>
      <c r="E51" s="338"/>
      <c r="F51" s="338"/>
      <c r="G51" s="339"/>
    </row>
    <row r="52" spans="1:7">
      <c r="A52" s="6" t="s">
        <v>42</v>
      </c>
      <c r="B52" s="55">
        <v>1.2999999999999999E-2</v>
      </c>
      <c r="C52" s="55">
        <v>3.1736685713051743E-2</v>
      </c>
      <c r="D52" s="54">
        <v>124.11158383895697</v>
      </c>
      <c r="E52" s="338"/>
      <c r="F52" s="338"/>
      <c r="G52" s="339"/>
    </row>
    <row r="53" spans="1:7">
      <c r="A53" s="6" t="s">
        <v>25</v>
      </c>
      <c r="B53" s="55">
        <v>0.16900000000000001</v>
      </c>
      <c r="C53" s="55">
        <v>8.5410409228175652E-2</v>
      </c>
      <c r="D53" s="54">
        <v>69</v>
      </c>
      <c r="E53" s="338"/>
      <c r="F53" s="338"/>
      <c r="G53" s="339"/>
    </row>
    <row r="54" spans="1:7">
      <c r="A54" s="6" t="s">
        <v>26</v>
      </c>
      <c r="B54" s="55">
        <v>3.2000000000000001E-2</v>
      </c>
      <c r="C54" s="55">
        <v>0.20092826190867891</v>
      </c>
      <c r="D54" s="54">
        <v>44.991916579518737</v>
      </c>
      <c r="E54" s="338"/>
      <c r="F54" s="338"/>
      <c r="G54" s="339"/>
    </row>
    <row r="55" spans="1:7">
      <c r="B55" s="55">
        <f>SUM(B48:B54)</f>
        <v>1</v>
      </c>
      <c r="C55" s="55">
        <f>SUM(C48:C54)</f>
        <v>1</v>
      </c>
      <c r="E55" s="338"/>
      <c r="F55" s="338"/>
    </row>
    <row r="56" spans="1:7">
      <c r="A56" s="516" t="s">
        <v>44</v>
      </c>
      <c r="B56" s="516"/>
      <c r="C56" s="516"/>
      <c r="D56" s="516"/>
      <c r="E56" s="516"/>
      <c r="F56" s="516"/>
      <c r="G56" s="516"/>
    </row>
    <row r="57" spans="1:7">
      <c r="A57" s="6" t="s">
        <v>15</v>
      </c>
      <c r="B57" s="55">
        <v>0.115</v>
      </c>
      <c r="C57" s="55">
        <v>1.9344819899405983E-2</v>
      </c>
      <c r="D57" s="54">
        <v>119.26323797509556</v>
      </c>
      <c r="E57" s="338"/>
      <c r="F57" s="338"/>
      <c r="G57" s="339"/>
    </row>
    <row r="58" spans="1:7">
      <c r="A58" s="6" t="s">
        <v>16</v>
      </c>
      <c r="B58" s="55">
        <v>0.47399999999999998</v>
      </c>
      <c r="C58" s="55">
        <v>0.52399466367463399</v>
      </c>
      <c r="D58" s="54">
        <v>173.97195732387533</v>
      </c>
      <c r="E58" s="338"/>
      <c r="F58" s="338"/>
      <c r="G58" s="339"/>
    </row>
    <row r="59" spans="1:7">
      <c r="A59" s="6" t="s">
        <v>68</v>
      </c>
      <c r="B59" s="55">
        <v>7.4999999999999997E-2</v>
      </c>
      <c r="C59" s="55">
        <v>6.7035227617333368E-2</v>
      </c>
      <c r="D59" s="54">
        <v>46.324694613006521</v>
      </c>
      <c r="E59" s="338"/>
      <c r="F59" s="338"/>
      <c r="G59" s="339"/>
    </row>
    <row r="60" spans="1:7">
      <c r="A60" s="6" t="s">
        <v>22</v>
      </c>
      <c r="B60" s="55">
        <v>8.9999999999999993E-3</v>
      </c>
      <c r="C60" s="55">
        <v>7.5158331919586794E-3</v>
      </c>
      <c r="D60" s="54">
        <v>45.319861012282082</v>
      </c>
      <c r="E60" s="338"/>
      <c r="F60" s="338"/>
      <c r="G60" s="339"/>
    </row>
    <row r="61" spans="1:7">
      <c r="A61" s="6" t="s">
        <v>42</v>
      </c>
      <c r="B61" s="55">
        <v>8.0000000000000002E-3</v>
      </c>
      <c r="C61" s="55">
        <v>6.8921199229294077E-3</v>
      </c>
      <c r="D61" s="54">
        <v>47.018121478275241</v>
      </c>
      <c r="E61" s="338"/>
      <c r="F61" s="338"/>
      <c r="G61" s="339"/>
    </row>
    <row r="62" spans="1:7">
      <c r="A62" s="6" t="s">
        <v>25</v>
      </c>
      <c r="B62" s="55">
        <v>0.255</v>
      </c>
      <c r="C62" s="55">
        <v>0.16762986130287999</v>
      </c>
      <c r="D62" s="54">
        <v>64</v>
      </c>
      <c r="E62" s="338"/>
      <c r="F62" s="338"/>
      <c r="G62" s="339"/>
    </row>
    <row r="63" spans="1:7">
      <c r="A63" s="6" t="s">
        <v>26</v>
      </c>
      <c r="B63" s="55">
        <v>6.4000000000000001E-2</v>
      </c>
      <c r="C63" s="55">
        <v>0.20758747439085867</v>
      </c>
      <c r="D63" s="54">
        <v>45.44029309187578</v>
      </c>
      <c r="E63" s="338"/>
      <c r="F63" s="338"/>
      <c r="G63" s="339"/>
    </row>
    <row r="64" spans="1:7">
      <c r="B64" s="55">
        <f>SUM(B57:B63)</f>
        <v>1</v>
      </c>
      <c r="C64" s="55">
        <f>SUM(C57:C63)</f>
        <v>1</v>
      </c>
      <c r="E64" s="338"/>
      <c r="F64" s="338"/>
    </row>
    <row r="65" spans="1:20">
      <c r="A65" s="516" t="s">
        <v>4</v>
      </c>
      <c r="B65" s="516"/>
      <c r="C65" s="516"/>
      <c r="D65" s="516"/>
      <c r="E65" s="516"/>
      <c r="F65" s="516"/>
      <c r="G65" s="516"/>
    </row>
    <row r="66" spans="1:20">
      <c r="A66" s="6" t="s">
        <v>15</v>
      </c>
      <c r="B66" s="55">
        <v>0.19600000000000001</v>
      </c>
      <c r="C66" s="55">
        <v>8.566654622007622E-4</v>
      </c>
      <c r="D66" s="54">
        <v>144.57255544511395</v>
      </c>
      <c r="E66" s="338"/>
      <c r="F66" s="338"/>
      <c r="G66" s="339"/>
    </row>
    <row r="67" spans="1:20">
      <c r="A67" s="6" t="s">
        <v>16</v>
      </c>
      <c r="B67" s="55">
        <v>0.41</v>
      </c>
      <c r="C67" s="55">
        <v>0.12133733261175747</v>
      </c>
      <c r="D67" s="54">
        <v>150.1184403986914</v>
      </c>
      <c r="E67" s="338"/>
      <c r="F67" s="338"/>
      <c r="G67" s="339"/>
    </row>
    <row r="68" spans="1:20">
      <c r="A68" s="6" t="s">
        <v>68</v>
      </c>
      <c r="B68" s="55">
        <v>6.2E-2</v>
      </c>
      <c r="C68" s="55">
        <v>0.13508370055286556</v>
      </c>
      <c r="D68" s="54">
        <v>125.25776108181995</v>
      </c>
      <c r="E68" s="338"/>
      <c r="F68" s="338"/>
      <c r="G68" s="339"/>
    </row>
    <row r="69" spans="1:20">
      <c r="A69" s="6" t="s">
        <v>22</v>
      </c>
      <c r="B69" s="55">
        <v>1.7000000000000001E-2</v>
      </c>
      <c r="C69" s="55">
        <v>2.0851083900283521E-2</v>
      </c>
      <c r="D69" s="54">
        <v>123.43517909796911</v>
      </c>
      <c r="E69" s="338"/>
      <c r="F69" s="338"/>
      <c r="G69" s="339"/>
    </row>
    <row r="70" spans="1:20">
      <c r="A70" s="6" t="s">
        <v>42</v>
      </c>
      <c r="B70" s="55">
        <v>1.4E-2</v>
      </c>
      <c r="C70" s="55">
        <v>2.1412462228474215E-2</v>
      </c>
      <c r="D70" s="54">
        <v>127.55201342600625</v>
      </c>
      <c r="E70" s="338"/>
      <c r="F70" s="338"/>
      <c r="G70" s="339"/>
    </row>
    <row r="71" spans="1:20">
      <c r="A71" s="6" t="s">
        <v>25</v>
      </c>
      <c r="B71" s="55">
        <v>0.23599999999999999</v>
      </c>
      <c r="C71" s="55">
        <v>0.23233774569965782</v>
      </c>
      <c r="D71" s="54">
        <v>61</v>
      </c>
      <c r="E71" s="338"/>
      <c r="F71" s="338"/>
      <c r="G71" s="339"/>
    </row>
    <row r="72" spans="1:20">
      <c r="A72" s="6" t="s">
        <v>26</v>
      </c>
      <c r="B72" s="55">
        <v>6.6000000000000003E-2</v>
      </c>
      <c r="C72" s="55">
        <v>0.46812100954476071</v>
      </c>
      <c r="D72" s="54">
        <v>47.633650234662667</v>
      </c>
      <c r="E72" s="338"/>
      <c r="F72" s="338"/>
      <c r="G72" s="339"/>
    </row>
    <row r="73" spans="1:20">
      <c r="B73" s="55">
        <f>SUM(B66:B72)</f>
        <v>1.0009999999999999</v>
      </c>
      <c r="C73" s="55">
        <f>SUM(C66:C72)</f>
        <v>1</v>
      </c>
      <c r="E73" s="338"/>
      <c r="F73" s="338"/>
    </row>
    <row r="75" spans="1:20">
      <c r="A75" s="514" t="s">
        <v>360</v>
      </c>
      <c r="B75" s="514"/>
      <c r="C75" s="514"/>
      <c r="D75" s="514"/>
    </row>
    <row r="76" spans="1:20">
      <c r="B76" s="361">
        <v>1995</v>
      </c>
      <c r="C76" s="361">
        <v>2000</v>
      </c>
      <c r="D76" s="361">
        <v>2005</v>
      </c>
      <c r="E76" s="361">
        <v>2010</v>
      </c>
      <c r="F76" s="361">
        <v>2015</v>
      </c>
      <c r="G76" s="362">
        <v>2020</v>
      </c>
      <c r="H76" s="336"/>
      <c r="I76" s="137" t="s">
        <v>336</v>
      </c>
      <c r="J76" s="138" t="s">
        <v>74</v>
      </c>
      <c r="K76" s="138" t="s">
        <v>75</v>
      </c>
      <c r="L76" s="138" t="s">
        <v>80</v>
      </c>
      <c r="Q76" s="131"/>
      <c r="R76" s="131"/>
      <c r="S76" s="131"/>
      <c r="T76" s="131"/>
    </row>
    <row r="77" spans="1:20">
      <c r="A77" s="132" t="s">
        <v>76</v>
      </c>
      <c r="B77" s="255">
        <v>144.20029880566577</v>
      </c>
      <c r="C77" s="255">
        <v>146.2666517582841</v>
      </c>
      <c r="D77" s="255">
        <v>136.57421239289641</v>
      </c>
      <c r="E77" s="255">
        <v>128.44733116483138</v>
      </c>
      <c r="F77" s="255">
        <v>119.12615737447211</v>
      </c>
      <c r="G77" s="363">
        <v>106.21213396312017</v>
      </c>
      <c r="H77" s="334"/>
      <c r="I77" s="134">
        <f>G77/E77-1</f>
        <v>-0.17310750640025108</v>
      </c>
      <c r="J77" s="135">
        <f>1+I77</f>
        <v>0.82689249359974892</v>
      </c>
      <c r="K77" s="303">
        <f>J77^0.1</f>
        <v>0.98117145514094439</v>
      </c>
      <c r="L77" s="318">
        <f>K77-1</f>
        <v>-1.8828544859055607E-2</v>
      </c>
      <c r="Q77" s="131"/>
      <c r="R77" s="131"/>
      <c r="S77" s="131"/>
      <c r="T77" s="131"/>
    </row>
    <row r="78" spans="1:20">
      <c r="A78" s="132" t="s">
        <v>77</v>
      </c>
      <c r="B78" s="255">
        <v>168.53255767943179</v>
      </c>
      <c r="C78" s="255">
        <v>172.66010876844641</v>
      </c>
      <c r="D78" s="255">
        <v>166.38819521289994</v>
      </c>
      <c r="E78" s="255">
        <v>151.95478449153515</v>
      </c>
      <c r="F78" s="255">
        <v>135.1534989915672</v>
      </c>
      <c r="G78" s="363">
        <v>121.74809106277199</v>
      </c>
      <c r="H78" s="334"/>
      <c r="I78" s="134">
        <f t="shared" ref="I78:I81" si="2">G78/E78-1</f>
        <v>-0.19878737961321558</v>
      </c>
      <c r="J78" s="135">
        <f t="shared" ref="J78:J80" si="3">1+I78</f>
        <v>0.80121262038678442</v>
      </c>
      <c r="K78" s="303">
        <f t="shared" ref="K78:K81" si="4">J78^0.1</f>
        <v>0.9780809001820524</v>
      </c>
      <c r="L78" s="318">
        <f t="shared" ref="L78:L80" si="5">K78-1</f>
        <v>-2.1919099817947596E-2</v>
      </c>
      <c r="Q78" s="131"/>
      <c r="R78" s="131"/>
      <c r="S78" s="131"/>
      <c r="T78" s="131"/>
    </row>
    <row r="79" spans="1:20">
      <c r="A79" s="132" t="s">
        <v>78</v>
      </c>
      <c r="B79" s="255">
        <v>131.49727536036906</v>
      </c>
      <c r="C79" s="255">
        <v>129.25631328722389</v>
      </c>
      <c r="D79" s="255">
        <v>121.23847603268428</v>
      </c>
      <c r="E79" s="255">
        <v>116.16490775888079</v>
      </c>
      <c r="F79" s="255">
        <v>109.392662901202</v>
      </c>
      <c r="G79" s="363">
        <v>102.77327280480316</v>
      </c>
      <c r="H79" s="334"/>
      <c r="I79" s="134">
        <f t="shared" si="2"/>
        <v>-0.11528124295397502</v>
      </c>
      <c r="J79" s="135">
        <f t="shared" si="3"/>
        <v>0.88471875704602498</v>
      </c>
      <c r="K79" s="303">
        <f t="shared" si="4"/>
        <v>0.98782616080973285</v>
      </c>
      <c r="L79" s="318">
        <f t="shared" si="5"/>
        <v>-1.2173839190267155E-2</v>
      </c>
      <c r="Q79" s="131"/>
      <c r="R79" s="131"/>
      <c r="S79" s="131"/>
      <c r="T79" s="131"/>
    </row>
    <row r="80" spans="1:20">
      <c r="A80" s="132" t="s">
        <v>79</v>
      </c>
      <c r="B80" s="133">
        <v>87.004717391657124</v>
      </c>
      <c r="C80" s="133">
        <v>87.395910050408347</v>
      </c>
      <c r="D80" s="133">
        <v>80.416397613434597</v>
      </c>
      <c r="E80" s="133">
        <v>74.878682749879246</v>
      </c>
      <c r="F80" s="133">
        <v>67.802754050118168</v>
      </c>
      <c r="G80" s="364">
        <v>55.958701433044055</v>
      </c>
      <c r="H80" s="335"/>
      <c r="I80" s="134">
        <f t="shared" si="2"/>
        <v>-0.25267513559278931</v>
      </c>
      <c r="J80" s="136">
        <f t="shared" si="3"/>
        <v>0.74732486440721069</v>
      </c>
      <c r="K80" s="303">
        <f t="shared" si="4"/>
        <v>0.97129453057288506</v>
      </c>
      <c r="L80" s="319">
        <f t="shared" si="5"/>
        <v>-2.8705469427114938E-2</v>
      </c>
      <c r="Q80" s="131"/>
      <c r="R80" s="131"/>
      <c r="S80" s="131"/>
      <c r="T80" s="131"/>
    </row>
    <row r="81" spans="1:12">
      <c r="B81" s="255">
        <f t="shared" ref="B81:G81" si="6">SUM(B77:B80)</f>
        <v>531.23484923712374</v>
      </c>
      <c r="C81" s="255">
        <f t="shared" si="6"/>
        <v>535.57898386436273</v>
      </c>
      <c r="D81" s="255">
        <f t="shared" si="6"/>
        <v>504.61728125191519</v>
      </c>
      <c r="E81" s="255">
        <f t="shared" si="6"/>
        <v>471.44570616512652</v>
      </c>
      <c r="F81" s="255">
        <f>SUM(F77:F80)</f>
        <v>431.47507331735949</v>
      </c>
      <c r="G81" s="255">
        <f t="shared" si="6"/>
        <v>386.69219926373938</v>
      </c>
      <c r="H81" s="255"/>
      <c r="I81" s="134">
        <f t="shared" si="2"/>
        <v>-0.17977363202816343</v>
      </c>
      <c r="J81" s="136">
        <f t="shared" ref="J81" si="7">1+I81</f>
        <v>0.82022636797183657</v>
      </c>
      <c r="K81" s="303">
        <f t="shared" si="4"/>
        <v>0.98037758389684593</v>
      </c>
      <c r="L81" s="319">
        <f t="shared" ref="L81" si="8">K81-1</f>
        <v>-1.9622416103154072E-2</v>
      </c>
    </row>
    <row r="82" spans="1:12">
      <c r="A82" s="368" t="s">
        <v>364</v>
      </c>
    </row>
    <row r="83" spans="1:12">
      <c r="L83" s="74"/>
    </row>
    <row r="85" spans="1:12" ht="15.75">
      <c r="A85" s="292" t="s">
        <v>283</v>
      </c>
      <c r="B85" s="293"/>
      <c r="C85" s="293"/>
      <c r="D85" s="131"/>
      <c r="E85" s="131"/>
      <c r="F85" s="131"/>
      <c r="G85" s="337"/>
      <c r="H85" s="131"/>
      <c r="I85" s="131"/>
      <c r="J85" s="131"/>
      <c r="K85" s="131"/>
      <c r="L85" s="131"/>
    </row>
    <row r="86" spans="1:12">
      <c r="A86" s="131"/>
      <c r="B86" s="293"/>
      <c r="C86" s="293"/>
      <c r="D86" s="131"/>
      <c r="E86" s="294"/>
      <c r="F86" s="294"/>
      <c r="G86" s="131"/>
      <c r="H86" s="131" t="s">
        <v>284</v>
      </c>
      <c r="I86" s="131"/>
      <c r="J86" s="131"/>
      <c r="K86" s="131"/>
    </row>
    <row r="87" spans="1:12">
      <c r="A87" s="365" t="s">
        <v>285</v>
      </c>
      <c r="B87" s="366">
        <v>1990</v>
      </c>
      <c r="C87" s="366">
        <v>1995</v>
      </c>
      <c r="D87" s="366">
        <v>2000</v>
      </c>
      <c r="E87" s="366">
        <v>2005</v>
      </c>
      <c r="F87" s="366">
        <v>2010</v>
      </c>
      <c r="G87" s="366">
        <v>2015</v>
      </c>
      <c r="H87" s="366">
        <v>2021</v>
      </c>
      <c r="I87" s="131"/>
      <c r="J87" s="131"/>
      <c r="K87" s="131"/>
      <c r="L87" s="131">
        <v>2021</v>
      </c>
    </row>
    <row r="88" spans="1:12">
      <c r="A88" s="295" t="s">
        <v>76</v>
      </c>
      <c r="B88" s="296">
        <v>47.551331056918293</v>
      </c>
      <c r="C88" s="296">
        <v>55.909669220699968</v>
      </c>
      <c r="D88" s="296">
        <v>65.172740116307438</v>
      </c>
      <c r="E88" s="296">
        <v>69.089794014273409</v>
      </c>
      <c r="F88" s="296">
        <v>72.0224629382882</v>
      </c>
      <c r="G88" s="296">
        <v>71.062475043151011</v>
      </c>
      <c r="H88" s="296">
        <v>64.827811411054228</v>
      </c>
      <c r="I88" s="131"/>
      <c r="J88" s="131"/>
      <c r="K88" s="131"/>
      <c r="L88" s="131">
        <v>64.827811411054228</v>
      </c>
    </row>
    <row r="89" spans="1:12">
      <c r="A89" s="295" t="s">
        <v>77</v>
      </c>
      <c r="B89" s="296">
        <v>48.153213440620156</v>
      </c>
      <c r="C89" s="296">
        <v>43.697644780433826</v>
      </c>
      <c r="D89" s="296">
        <v>43.757611498699482</v>
      </c>
      <c r="E89" s="296">
        <v>39.945124003700919</v>
      </c>
      <c r="F89" s="296">
        <v>33.363774316458318</v>
      </c>
      <c r="G89" s="296">
        <v>27.751703026362769</v>
      </c>
      <c r="H89" s="296">
        <v>24.211952086576176</v>
      </c>
      <c r="I89" s="131"/>
      <c r="J89" s="131"/>
      <c r="K89" s="131"/>
      <c r="L89" s="131">
        <v>24.211952086576176</v>
      </c>
    </row>
    <row r="90" spans="1:12">
      <c r="A90" s="295" t="s">
        <v>78</v>
      </c>
      <c r="B90" s="296">
        <v>14.598803135801351</v>
      </c>
      <c r="C90" s="296">
        <v>14.91931314401527</v>
      </c>
      <c r="D90" s="296">
        <v>15.526643266808657</v>
      </c>
      <c r="E90" s="296">
        <v>15.176376956698309</v>
      </c>
      <c r="F90" s="296">
        <v>15.35320711625268</v>
      </c>
      <c r="G90" s="296">
        <v>15.27078889607626</v>
      </c>
      <c r="H90" s="296">
        <v>15.037796103445643</v>
      </c>
      <c r="I90" s="131"/>
      <c r="J90" s="131"/>
      <c r="K90" s="131"/>
      <c r="L90" s="131">
        <v>15.037796103445643</v>
      </c>
    </row>
    <row r="91" spans="1:12">
      <c r="A91" s="295" t="s">
        <v>79</v>
      </c>
      <c r="B91" s="296">
        <v>62.40239288529159</v>
      </c>
      <c r="C91" s="296">
        <v>72.741542996202099</v>
      </c>
      <c r="D91" s="296">
        <v>82.892225838476108</v>
      </c>
      <c r="E91" s="296">
        <v>92.446416644105639</v>
      </c>
      <c r="F91" s="296">
        <v>103.14676230845362</v>
      </c>
      <c r="G91" s="296">
        <v>109.11822248749205</v>
      </c>
      <c r="H91" s="296">
        <v>92.930291910746931</v>
      </c>
      <c r="I91" s="131"/>
      <c r="J91" s="131"/>
      <c r="K91" s="131"/>
      <c r="L91" s="131">
        <v>92.930291910746931</v>
      </c>
    </row>
    <row r="92" spans="1:12">
      <c r="A92" s="365" t="s">
        <v>262</v>
      </c>
      <c r="B92" s="367">
        <v>172.70574051863139</v>
      </c>
      <c r="C92" s="367">
        <v>187.26817014135116</v>
      </c>
      <c r="D92" s="367">
        <v>207.34922072029167</v>
      </c>
      <c r="E92" s="367">
        <v>216.65771161877825</v>
      </c>
      <c r="F92" s="367">
        <v>223.88620667945281</v>
      </c>
      <c r="G92" s="367">
        <v>223.20318945308208</v>
      </c>
      <c r="H92" s="367">
        <v>197.00785151182299</v>
      </c>
      <c r="I92" s="131"/>
      <c r="J92" s="131"/>
      <c r="K92" s="131"/>
      <c r="L92" s="131">
        <v>197.00785151182299</v>
      </c>
    </row>
    <row r="93" spans="1:12">
      <c r="A93" s="293"/>
      <c r="B93" s="297"/>
      <c r="C93" s="131"/>
      <c r="D93" s="131"/>
      <c r="E93" s="131"/>
      <c r="F93" s="131"/>
      <c r="G93" s="131"/>
      <c r="H93" s="131"/>
      <c r="I93" s="131"/>
      <c r="J93" s="131"/>
      <c r="K93" s="131"/>
      <c r="L93" s="298"/>
    </row>
    <row r="94" spans="1:12">
      <c r="A94" s="349" t="s">
        <v>337</v>
      </c>
      <c r="B94" s="297"/>
      <c r="C94" s="297"/>
      <c r="D94" s="131"/>
      <c r="E94" s="131"/>
      <c r="F94" s="131"/>
      <c r="G94" s="131" t="s">
        <v>378</v>
      </c>
      <c r="H94" s="348"/>
      <c r="I94" s="300">
        <f>H92/F92-1</f>
        <v>-0.12005364495773818</v>
      </c>
      <c r="J94" s="306">
        <f>1+I94</f>
        <v>0.87994635504226182</v>
      </c>
      <c r="K94" s="131"/>
    </row>
    <row r="95" spans="1:12" ht="30">
      <c r="A95" s="333" t="s">
        <v>363</v>
      </c>
      <c r="B95" s="330"/>
      <c r="G95" t="s">
        <v>286</v>
      </c>
      <c r="I95" s="301">
        <f>1-J95</f>
        <v>1.1559428043207531E-2</v>
      </c>
      <c r="J95" s="306">
        <f>J94^(1/11)</f>
        <v>0.98844057195679247</v>
      </c>
    </row>
    <row r="97" spans="1:13">
      <c r="L97" s="299">
        <v>-0.12005364495773818</v>
      </c>
      <c r="M97">
        <v>0.87994635504226182</v>
      </c>
    </row>
    <row r="98" spans="1:13">
      <c r="A98" s="349" t="s">
        <v>337</v>
      </c>
      <c r="L98">
        <v>1.1559428043207531E-2</v>
      </c>
      <c r="M98">
        <v>0.98844057195679247</v>
      </c>
    </row>
    <row r="99" spans="1:13" ht="30">
      <c r="A99" s="333" t="s">
        <v>332</v>
      </c>
      <c r="B99" s="330" t="s">
        <v>335</v>
      </c>
    </row>
    <row r="102" spans="1:13">
      <c r="A102" s="514" t="s">
        <v>339</v>
      </c>
      <c r="B102" s="516"/>
      <c r="C102" s="516"/>
      <c r="D102" s="516"/>
      <c r="E102" s="337"/>
    </row>
    <row r="104" spans="1:13">
      <c r="A104" s="268" t="s">
        <v>259</v>
      </c>
      <c r="B104" s="513" t="s">
        <v>121</v>
      </c>
      <c r="C104" s="513"/>
      <c r="F104" s="517" t="s">
        <v>361</v>
      </c>
      <c r="G104" s="519" t="s">
        <v>362</v>
      </c>
    </row>
    <row r="105" spans="1:13">
      <c r="A105" s="268"/>
      <c r="B105" s="268"/>
      <c r="F105" s="518"/>
      <c r="G105" s="520"/>
    </row>
    <row r="106" spans="1:13">
      <c r="A106" s="268" t="s">
        <v>260</v>
      </c>
      <c r="B106" s="268" t="s">
        <v>379</v>
      </c>
      <c r="F106" s="518"/>
      <c r="G106" s="520"/>
    </row>
    <row r="107" spans="1:13">
      <c r="A107" s="269" t="s">
        <v>178</v>
      </c>
      <c r="B107" s="270">
        <v>1550.4931364675842</v>
      </c>
      <c r="C107" s="254">
        <f>B107/1000</f>
        <v>1.5504931364675842</v>
      </c>
      <c r="D107" s="156">
        <f t="shared" ref="D107:D113" si="9">C107/C$113</f>
        <v>6.5264849886638152E-2</v>
      </c>
    </row>
    <row r="108" spans="1:13">
      <c r="A108" s="269" t="s">
        <v>79</v>
      </c>
      <c r="B108" s="270">
        <v>7230.8991560964541</v>
      </c>
      <c r="C108" s="254">
        <f t="shared" ref="C108:C113" si="10">B108/1000</f>
        <v>7.230899156096454</v>
      </c>
      <c r="D108" s="156">
        <f t="shared" si="9"/>
        <v>0.30436996905591907</v>
      </c>
    </row>
    <row r="109" spans="1:13">
      <c r="A109" s="269" t="s">
        <v>261</v>
      </c>
      <c r="B109" s="270">
        <v>143.55334794427199</v>
      </c>
      <c r="C109" s="254">
        <f t="shared" si="10"/>
        <v>0.14355334794427199</v>
      </c>
      <c r="D109" s="156">
        <f t="shared" si="9"/>
        <v>6.0425857322091549E-3</v>
      </c>
    </row>
    <row r="110" spans="1:13">
      <c r="A110" s="269" t="s">
        <v>77</v>
      </c>
      <c r="B110" s="270">
        <v>3076.9537814650894</v>
      </c>
      <c r="C110" s="254">
        <f t="shared" si="10"/>
        <v>3.0769537814650896</v>
      </c>
      <c r="D110" s="156">
        <f t="shared" si="9"/>
        <v>0.12951810100427433</v>
      </c>
    </row>
    <row r="111" spans="1:13">
      <c r="A111" s="269" t="s">
        <v>16</v>
      </c>
      <c r="B111" s="270">
        <v>11298.680810932789</v>
      </c>
      <c r="C111" s="254">
        <f t="shared" si="10"/>
        <v>11.298680810932789</v>
      </c>
      <c r="D111" s="156">
        <f t="shared" si="9"/>
        <v>0.4755949508570973</v>
      </c>
    </row>
    <row r="112" spans="1:13">
      <c r="A112" s="269" t="s">
        <v>22</v>
      </c>
      <c r="B112" s="270">
        <v>456.35997550177865</v>
      </c>
      <c r="C112" s="254">
        <f t="shared" si="10"/>
        <v>0.45635997550177865</v>
      </c>
      <c r="D112" s="156">
        <f t="shared" si="9"/>
        <v>1.9209543463861788E-2</v>
      </c>
    </row>
    <row r="113" spans="1:4">
      <c r="A113" s="271" t="s">
        <v>262</v>
      </c>
      <c r="B113" s="272">
        <f>SUM(B107:B112)</f>
        <v>23756.94020840797</v>
      </c>
      <c r="C113" s="273">
        <f t="shared" si="10"/>
        <v>23.756940208407972</v>
      </c>
      <c r="D113" s="156">
        <f t="shared" si="9"/>
        <v>1</v>
      </c>
    </row>
    <row r="115" spans="1:4">
      <c r="A115" s="268" t="s">
        <v>259</v>
      </c>
      <c r="B115" s="513" t="s">
        <v>263</v>
      </c>
      <c r="C115" s="513"/>
    </row>
    <row r="116" spans="1:4">
      <c r="A116" s="268"/>
      <c r="B116" s="268"/>
    </row>
    <row r="117" spans="1:4">
      <c r="A117" s="268" t="s">
        <v>260</v>
      </c>
      <c r="B117" s="268" t="s">
        <v>379</v>
      </c>
    </row>
    <row r="118" spans="1:4">
      <c r="A118" s="269" t="s">
        <v>178</v>
      </c>
      <c r="B118" s="270">
        <v>0</v>
      </c>
      <c r="C118" s="254">
        <f>B118/1000</f>
        <v>0</v>
      </c>
      <c r="D118" s="156">
        <f t="shared" ref="D118:D124" si="11">C118/C$124</f>
        <v>0</v>
      </c>
    </row>
    <row r="119" spans="1:4">
      <c r="A119" s="269" t="s">
        <v>79</v>
      </c>
      <c r="B119" s="270">
        <v>4470.645462660219</v>
      </c>
      <c r="C119" s="254">
        <f t="shared" ref="C119:C124" si="12">B119/1000</f>
        <v>4.4706454626602188</v>
      </c>
      <c r="D119" s="156">
        <f t="shared" si="11"/>
        <v>0.38145894795856289</v>
      </c>
    </row>
    <row r="120" spans="1:4">
      <c r="A120" s="269" t="s">
        <v>261</v>
      </c>
      <c r="B120" s="270">
        <v>71.062001966179707</v>
      </c>
      <c r="C120" s="254">
        <f t="shared" si="12"/>
        <v>7.1062001966179705E-2</v>
      </c>
      <c r="D120" s="156">
        <f t="shared" si="11"/>
        <v>6.0633831817471636E-3</v>
      </c>
    </row>
    <row r="121" spans="1:4">
      <c r="A121" s="269" t="s">
        <v>77</v>
      </c>
      <c r="B121" s="270">
        <v>76.356542304426611</v>
      </c>
      <c r="C121" s="254">
        <f t="shared" si="12"/>
        <v>7.6356542304426608E-2</v>
      </c>
      <c r="D121" s="156">
        <f t="shared" si="11"/>
        <v>6.5151411670806873E-3</v>
      </c>
    </row>
    <row r="122" spans="1:4">
      <c r="A122" s="269" t="s">
        <v>16</v>
      </c>
      <c r="B122" s="270">
        <v>5752.6702586794472</v>
      </c>
      <c r="C122" s="254">
        <f t="shared" si="12"/>
        <v>5.7526702586794469</v>
      </c>
      <c r="D122" s="156">
        <f t="shared" si="11"/>
        <v>0.4908480359618167</v>
      </c>
    </row>
    <row r="123" spans="1:4">
      <c r="A123" s="269" t="s">
        <v>22</v>
      </c>
      <c r="B123" s="270">
        <v>1349.1257261020071</v>
      </c>
      <c r="C123" s="254">
        <f t="shared" si="12"/>
        <v>1.3491257261020071</v>
      </c>
      <c r="D123" s="156">
        <f t="shared" si="11"/>
        <v>0.11511449173079231</v>
      </c>
    </row>
    <row r="124" spans="1:4">
      <c r="A124" s="271" t="s">
        <v>262</v>
      </c>
      <c r="B124" s="272">
        <f>SUM(B118:B123)</f>
        <v>11719.859991712281</v>
      </c>
      <c r="C124" s="273">
        <f t="shared" si="12"/>
        <v>11.719859991712282</v>
      </c>
      <c r="D124" s="156">
        <f t="shared" si="11"/>
        <v>1</v>
      </c>
    </row>
    <row r="126" spans="1:4">
      <c r="A126" s="268" t="s">
        <v>259</v>
      </c>
      <c r="B126" s="290" t="s">
        <v>264</v>
      </c>
      <c r="C126" s="290"/>
    </row>
    <row r="127" spans="1:4">
      <c r="A127" s="268"/>
      <c r="B127" s="268"/>
    </row>
    <row r="128" spans="1:4">
      <c r="A128" s="268" t="s">
        <v>260</v>
      </c>
      <c r="B128" s="268" t="s">
        <v>338</v>
      </c>
    </row>
    <row r="129" spans="1:3">
      <c r="A129" s="269" t="s">
        <v>79</v>
      </c>
      <c r="B129" s="373">
        <v>70302.699550271558</v>
      </c>
      <c r="C129" s="254">
        <f>B129/1000</f>
        <v>70.302699550271555</v>
      </c>
    </row>
    <row r="130" spans="1:3">
      <c r="A130" s="271" t="s">
        <v>262</v>
      </c>
      <c r="B130" s="272">
        <f>SUM(B129)</f>
        <v>70302.699550271558</v>
      </c>
      <c r="C130" s="273">
        <f t="shared" ref="C130" si="13">B130/1000</f>
        <v>70.302699550271555</v>
      </c>
    </row>
  </sheetData>
  <mergeCells count="19">
    <mergeCell ref="A29:G29"/>
    <mergeCell ref="A38:G38"/>
    <mergeCell ref="A47:G47"/>
    <mergeCell ref="A56:G56"/>
    <mergeCell ref="A65:G65"/>
    <mergeCell ref="M13:P13"/>
    <mergeCell ref="M2:P2"/>
    <mergeCell ref="A2:G2"/>
    <mergeCell ref="A11:G11"/>
    <mergeCell ref="A20:G20"/>
    <mergeCell ref="I5:I7"/>
    <mergeCell ref="J5:J7"/>
    <mergeCell ref="B104:C104"/>
    <mergeCell ref="B115:C115"/>
    <mergeCell ref="A75:D75"/>
    <mergeCell ref="O33:P33"/>
    <mergeCell ref="A102:D102"/>
    <mergeCell ref="F104:F106"/>
    <mergeCell ref="G104:G106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GB1593"/>
  <sheetViews>
    <sheetView showGridLines="0" topLeftCell="D1" zoomScale="145" zoomScaleNormal="145" workbookViewId="0">
      <selection activeCell="I14" sqref="I14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42.8554687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241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>H34</f>
        <v>287333.79208712652</v>
      </c>
      <c r="I7" s="10">
        <f t="shared" ref="I7:K8" si="0">I34</f>
        <v>274114.5318987302</v>
      </c>
      <c r="J7" s="10">
        <f t="shared" si="0"/>
        <v>260363.23380433657</v>
      </c>
      <c r="K7" s="10">
        <f t="shared" si="0"/>
        <v>238873.30956649425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6206.4099090819327</v>
      </c>
      <c r="J8" s="76">
        <f t="shared" si="0"/>
        <v>5920.8738890125724</v>
      </c>
      <c r="K8" s="76">
        <f t="shared" si="0"/>
        <v>5623.8458501736704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287333.79208712652</v>
      </c>
      <c r="I9" s="96">
        <f t="shared" si="1"/>
        <v>267908.12198964827</v>
      </c>
      <c r="J9" s="96">
        <f t="shared" si="1"/>
        <v>254442.35991532399</v>
      </c>
      <c r="K9" s="96">
        <f t="shared" si="1"/>
        <v>233249.46371632058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3705.1684690793891</v>
      </c>
      <c r="I13" s="86">
        <f t="shared" ref="I13:K13" si="2">I133+I167</f>
        <v>0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17519.297184247305</v>
      </c>
      <c r="I14" s="86">
        <f t="shared" si="3"/>
        <v>13129.714743857159</v>
      </c>
      <c r="J14" s="86">
        <f t="shared" si="3"/>
        <v>4837.8944854737329</v>
      </c>
      <c r="K14" s="86">
        <f>K134+K168</f>
        <v>497.08119139715041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2766.1150896935137</v>
      </c>
      <c r="I15" s="86">
        <f>I135+I169</f>
        <v>4639.6564054455166</v>
      </c>
      <c r="J15" s="86">
        <f t="shared" si="3"/>
        <v>5533.3594557992828</v>
      </c>
      <c r="K15" s="86">
        <f t="shared" si="3"/>
        <v>5150.4716088366185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394.01187233155554</v>
      </c>
      <c r="I16" s="86">
        <f t="shared" si="3"/>
        <v>226.20723470589087</v>
      </c>
      <c r="J16" s="86">
        <f t="shared" si="3"/>
        <v>95.300178882793176</v>
      </c>
      <c r="K16" s="86">
        <f t="shared" si="3"/>
        <v>8.4646577802936278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411.65001129323502</v>
      </c>
      <c r="I17" s="86">
        <f t="shared" si="3"/>
        <v>576.93107725102243</v>
      </c>
      <c r="J17" s="86">
        <f t="shared" si="3"/>
        <v>686.93113293917838</v>
      </c>
      <c r="K17" s="86">
        <f t="shared" si="3"/>
        <v>1321.9591356409603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6418.4622476422328</v>
      </c>
      <c r="I18" s="86">
        <f t="shared" si="3"/>
        <v>3809.5273159117105</v>
      </c>
      <c r="J18" s="86">
        <f t="shared" si="3"/>
        <v>1353.7704126014733</v>
      </c>
      <c r="K18" s="86">
        <f t="shared" si="3"/>
        <v>1007.1676951661581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1152.0826387608715</v>
      </c>
      <c r="I19" s="86">
        <f t="shared" si="3"/>
        <v>3999.2820265052492</v>
      </c>
      <c r="J19" s="86">
        <f t="shared" si="3"/>
        <v>5703.5505071053103</v>
      </c>
      <c r="K19" s="86">
        <f t="shared" si="3"/>
        <v>5550.115478615262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32366.787513048104</v>
      </c>
      <c r="I20" s="13">
        <f t="shared" ref="I20:K20" si="4">SUM(I13:I19)</f>
        <v>26381.318803676546</v>
      </c>
      <c r="J20" s="13">
        <f t="shared" si="4"/>
        <v>18210.806172801771</v>
      </c>
      <c r="K20" s="13">
        <f t="shared" si="4"/>
        <v>13535.259767436442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-0.34708107593751159</v>
      </c>
      <c r="J23" s="177">
        <f t="shared" ref="J23:K23" si="5">J118/$G118-1</f>
        <v>-0.56021169269320392</v>
      </c>
      <c r="K23" s="177">
        <f t="shared" si="5"/>
        <v>-0.67747387074335763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-0.35542565702123019</v>
      </c>
      <c r="J24" s="177">
        <f t="shared" ref="J24:K24" si="6">J129/$G129-1</f>
        <v>-0.50160004830103189</v>
      </c>
      <c r="K24" s="177">
        <f t="shared" si="6"/>
        <v>-0.61469859503204094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287333.79208712652</v>
      </c>
      <c r="H34" s="125">
        <f>'Init. parc'!C20</f>
        <v>287333.79208712652</v>
      </c>
      <c r="I34" s="125">
        <f>'Init. parc'!D20</f>
        <v>274114.5318987302</v>
      </c>
      <c r="J34" s="125">
        <f>'Init. parc'!E20</f>
        <v>260363.23380433657</v>
      </c>
      <c r="K34" s="125">
        <f>'Init. parc'!F20</f>
        <v>238873.30956649425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parc'!N20</f>
        <v>6206.4099090819327</v>
      </c>
      <c r="J35" s="125">
        <f>'Init. parc'!O20</f>
        <v>5920.8738890125724</v>
      </c>
      <c r="K35" s="125">
        <f>'Init. parc'!P20</f>
        <v>5623.8458501736704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287333.79208712652</v>
      </c>
      <c r="H36" s="125">
        <f>H34-H35</f>
        <v>287333.79208712652</v>
      </c>
      <c r="I36" s="125">
        <f>I34-I35</f>
        <v>267908.12198964827</v>
      </c>
      <c r="J36" s="125">
        <f>J34-J35</f>
        <v>254442.35991532399</v>
      </c>
      <c r="K36" s="125">
        <f>K34-K35</f>
        <v>233249.46371632058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0.09</v>
      </c>
      <c r="H45" s="55">
        <f>'Init. énergie'!B3</f>
        <v>0.09</v>
      </c>
      <c r="I45" s="47">
        <v>0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0.42499999999999999</v>
      </c>
      <c r="H46" s="55">
        <f>'Init. énergie'!B4</f>
        <v>0.42499999999999999</v>
      </c>
      <c r="I46" s="47">
        <f>H46*0.86</f>
        <v>0.36549999999999999</v>
      </c>
      <c r="J46" s="47">
        <f>H46*0.4</f>
        <v>0.17</v>
      </c>
      <c r="K46" s="47">
        <f>H46*0.05</f>
        <v>2.1250000000000002E-2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0.08</v>
      </c>
      <c r="H47" s="55">
        <f>'Init. énergie'!B5</f>
        <v>0.08</v>
      </c>
      <c r="I47" s="47">
        <v>0.16</v>
      </c>
      <c r="J47" s="47">
        <v>0.24</v>
      </c>
      <c r="K47" s="47">
        <v>0.27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1.2999999999999999E-2</v>
      </c>
      <c r="H48" s="55">
        <f>'Init. énergie'!B6</f>
        <v>1.2999999999999999E-2</v>
      </c>
      <c r="I48" s="47">
        <f t="shared" ref="I48" si="8">H48+((K48-H48)/3)</f>
        <v>8.6666666666666663E-3</v>
      </c>
      <c r="J48" s="47">
        <f t="shared" ref="J48" si="9">H48+((K48-H48)/3*2)</f>
        <v>4.3333333333333331E-3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1.2E-2</v>
      </c>
      <c r="H49" s="55">
        <f>'Init. énergie'!B7</f>
        <v>1.2E-2</v>
      </c>
      <c r="I49" s="47">
        <v>0.02</v>
      </c>
      <c r="J49" s="47">
        <v>0.03</v>
      </c>
      <c r="K49" s="47">
        <v>7.0000000000000007E-2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0.30599999999999999</v>
      </c>
      <c r="H50" s="55">
        <f>'Init. énergie'!B8</f>
        <v>0.30599999999999999</v>
      </c>
      <c r="I50" s="47">
        <f t="shared" ref="I50:J50" si="10">1-I45-I46-I47-I48-I49-I51</f>
        <v>0.18583333333333335</v>
      </c>
      <c r="J50" s="47">
        <f t="shared" si="10"/>
        <v>8.5666666666666669E-2</v>
      </c>
      <c r="K50" s="47">
        <f>1-K45-K46-K47-K48-K49-K51</f>
        <v>7.8749999999999876E-2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7.2999999999999995E-2</v>
      </c>
      <c r="H51" s="55">
        <f>'Init. énergie'!B9</f>
        <v>7.2999999999999995E-2</v>
      </c>
      <c r="I51" s="47">
        <v>0.26</v>
      </c>
      <c r="J51" s="47">
        <v>0.47</v>
      </c>
      <c r="K51" s="123">
        <v>0.56000000000000005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1">SUM(G45:G51)</f>
        <v>0.99899999999999989</v>
      </c>
      <c r="H52" s="149">
        <f t="shared" si="11"/>
        <v>0.99899999999999989</v>
      </c>
      <c r="I52" s="155">
        <f t="shared" si="11"/>
        <v>1</v>
      </c>
      <c r="J52" s="155">
        <f t="shared" si="11"/>
        <v>1</v>
      </c>
      <c r="K52" s="155">
        <f>SUM(K45:K51)</f>
        <v>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J55" si="12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-8.7063736474020659E-2</v>
      </c>
      <c r="J55" s="142">
        <f t="shared" si="12"/>
        <v>-0.13121170452247594</v>
      </c>
      <c r="K55" s="142">
        <f>(J$81*(K45-J45)+J$82*(K46-J46)+J$83*(K47-J47)+J$84*(K48-J48)+J$85*(K49-J49)+J$86*(K50-J50)+J$87*(K51-J51))/(J$81*J45+J$82*J46+J$83*J47+J$84*J48+J$85*J49+J$86*J50+J$87*J51)</f>
        <v>-9.9503910499587137E-2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0.09</v>
      </c>
      <c r="H59" s="55">
        <f>H45</f>
        <v>0.09</v>
      </c>
      <c r="I59" s="47">
        <f>I45</f>
        <v>0</v>
      </c>
      <c r="J59" s="47">
        <f t="shared" ref="J59:K59" si="13">J45</f>
        <v>0</v>
      </c>
      <c r="K59" s="47">
        <f t="shared" si="13"/>
        <v>0</v>
      </c>
      <c r="L59" s="64"/>
      <c r="M59" s="493" t="s">
        <v>265</v>
      </c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4">H60</f>
        <v>0.42499999999999999</v>
      </c>
      <c r="H60" s="55">
        <f t="shared" ref="H60:K65" si="15">H46</f>
        <v>0.42499999999999999</v>
      </c>
      <c r="I60" s="47">
        <f t="shared" si="15"/>
        <v>0.36549999999999999</v>
      </c>
      <c r="J60" s="47">
        <f t="shared" si="15"/>
        <v>0.17</v>
      </c>
      <c r="K60" s="47">
        <f t="shared" si="15"/>
        <v>2.1250000000000002E-2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4"/>
        <v>0.08</v>
      </c>
      <c r="H61" s="55">
        <f t="shared" si="15"/>
        <v>0.08</v>
      </c>
      <c r="I61" s="47">
        <f t="shared" si="15"/>
        <v>0.16</v>
      </c>
      <c r="J61" s="47">
        <f t="shared" si="15"/>
        <v>0.24</v>
      </c>
      <c r="K61" s="47">
        <f t="shared" si="15"/>
        <v>0.27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4"/>
        <v>1.2999999999999999E-2</v>
      </c>
      <c r="H62" s="55">
        <f t="shared" si="15"/>
        <v>1.2999999999999999E-2</v>
      </c>
      <c r="I62" s="47">
        <f t="shared" si="15"/>
        <v>8.6666666666666663E-3</v>
      </c>
      <c r="J62" s="47">
        <f t="shared" si="15"/>
        <v>4.3333333333333331E-3</v>
      </c>
      <c r="K62" s="47">
        <f t="shared" si="15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4"/>
        <v>1.2E-2</v>
      </c>
      <c r="H63" s="55">
        <f t="shared" si="15"/>
        <v>1.2E-2</v>
      </c>
      <c r="I63" s="47">
        <f t="shared" si="15"/>
        <v>0.02</v>
      </c>
      <c r="J63" s="47">
        <f t="shared" si="15"/>
        <v>0.03</v>
      </c>
      <c r="K63" s="47">
        <f t="shared" si="15"/>
        <v>7.0000000000000007E-2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4"/>
        <v>0.30599999999999999</v>
      </c>
      <c r="H64" s="55">
        <f t="shared" si="15"/>
        <v>0.30599999999999999</v>
      </c>
      <c r="I64" s="47">
        <f t="shared" si="15"/>
        <v>0.18583333333333335</v>
      </c>
      <c r="J64" s="47">
        <f t="shared" si="15"/>
        <v>8.5666666666666669E-2</v>
      </c>
      <c r="K64" s="47">
        <f t="shared" si="15"/>
        <v>7.8749999999999876E-2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4"/>
        <v>7.2999999999999995E-2</v>
      </c>
      <c r="H65" s="55">
        <f t="shared" si="15"/>
        <v>7.2999999999999995E-2</v>
      </c>
      <c r="I65" s="47">
        <f t="shared" si="15"/>
        <v>0.26</v>
      </c>
      <c r="J65" s="47">
        <f t="shared" si="15"/>
        <v>0.47</v>
      </c>
      <c r="K65" s="47">
        <f t="shared" si="15"/>
        <v>0.56000000000000005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6">SUM(G59:G65)</f>
        <v>0.99899999999999989</v>
      </c>
      <c r="H66" s="149">
        <v>1</v>
      </c>
      <c r="I66" s="47">
        <f t="shared" ref="I66:J66" si="17">SUM(I59:I65)</f>
        <v>1</v>
      </c>
      <c r="J66" s="47">
        <f t="shared" si="17"/>
        <v>1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-8.7063736474020659E-2</v>
      </c>
      <c r="J69" s="142">
        <f>(I$101*(J59-I59)+I$102*(J60-I60)+I$103*(J61-I61)+I$104*(J62-I62)+I$105*(J63-I63)+I$106*(J64-I64)+I$107*(J65-I65))/(I$101*I59+I$102*I60+I$103*I61+I$104*I62+I$105*I63+I$106*I64+I$107*I65)</f>
        <v>-0.13047375741800712</v>
      </c>
      <c r="K69" s="142">
        <f>(J$101*(K59-J59)+J$102*(K60-J60)+J$103*(K61-J61)+J$104*(K62-J62)+J$105*(K63-J63)+J$106*(K64-J64)+J$107*(K65-J65))/(J$101*J59+J$102*J60+J$103*J61+J$104*J62+J$105*J63+J$106*J64+J$107*J65)</f>
        <v>-0.10016776502799257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bord'!E12</f>
        <v>0.76</v>
      </c>
      <c r="G73" s="92">
        <f>'Tableau de bord'!E25</f>
        <v>0.91500000000000004</v>
      </c>
      <c r="H73" s="92">
        <f>'Tableau de bord'!E28</f>
        <v>0.85552500000000009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81">
        <v>2030</v>
      </c>
      <c r="G75" s="381">
        <v>2040</v>
      </c>
      <c r="H75" s="38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bord'!F37</f>
        <v>0.29499999999999998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178.82612426989408</v>
      </c>
      <c r="H81" s="54">
        <f>'Init. énergie'!D3</f>
        <v>143.27774761989451</v>
      </c>
      <c r="I81" s="81">
        <f>G81*(1-F$77)/(1+I$55)</f>
        <v>138.09553048462917</v>
      </c>
      <c r="J81" s="81">
        <f>G81*(1-G$77)/(1+I$55)/(1+J$55)</f>
        <v>112.73182782516426</v>
      </c>
      <c r="K81" s="81">
        <f>G81*(1-H$77)/(1+I$55)/(1+J$55)/(1+K$55)</f>
        <v>100.15086496396171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8">H82/F82^10</f>
        <v>173.49701040783395</v>
      </c>
      <c r="H82" s="54">
        <f>'Init. énergie'!D4</f>
        <v>143.46337556823548</v>
      </c>
      <c r="I82" s="81">
        <f t="shared" ref="I82:I87" si="19">G82*(1-F$77)/(1+I$55)</f>
        <v>133.98021003691045</v>
      </c>
      <c r="J82" s="81">
        <f t="shared" ref="J82:J87" si="20">G82*(1-G$77)/(1+I$55)/(1+J$55)</f>
        <v>109.37235924186177</v>
      </c>
      <c r="K82" s="81">
        <f t="shared" ref="K82:K87" si="21">G82*(1-H$77)/(1+I$55)/(1+J$55)/(1+K$55)</f>
        <v>97.166315782706477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8"/>
        <v>136.01547403339876</v>
      </c>
      <c r="H83" s="54">
        <f>'Init. énergie'!D5</f>
        <v>120.33544112585447</v>
      </c>
      <c r="I83" s="81">
        <f t="shared" si="19"/>
        <v>105.03571062364462</v>
      </c>
      <c r="J83" s="81">
        <f t="shared" si="20"/>
        <v>85.744032438735871</v>
      </c>
      <c r="K83" s="81">
        <f t="shared" si="21"/>
        <v>76.17492929818799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8"/>
        <v>119.22683530947032</v>
      </c>
      <c r="H84" s="54">
        <f>'Init. énergie'!D6</f>
        <v>105.48221754152573</v>
      </c>
      <c r="I84" s="81">
        <f t="shared" si="19"/>
        <v>92.070960757475305</v>
      </c>
      <c r="J84" s="81">
        <f t="shared" si="20"/>
        <v>75.160489694229753</v>
      </c>
      <c r="K84" s="81">
        <f t="shared" si="21"/>
        <v>66.772518455624294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8"/>
        <v>134.94442471687393</v>
      </c>
      <c r="H85" s="54">
        <f>'Init. énergie'!D7</f>
        <v>119.38786370580362</v>
      </c>
      <c r="I85" s="81">
        <f t="shared" si="19"/>
        <v>104.20861042145343</v>
      </c>
      <c r="J85" s="81">
        <f t="shared" si="20"/>
        <v>85.068843913369705</v>
      </c>
      <c r="K85" s="81">
        <f t="shared" si="21"/>
        <v>75.575092356538832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8"/>
        <v>97.681749232182625</v>
      </c>
      <c r="H86" s="54">
        <f>'Init. énergie'!D8</f>
        <v>73</v>
      </c>
      <c r="I86" s="81">
        <f t="shared" si="19"/>
        <v>75.433122727224273</v>
      </c>
      <c r="J86" s="81">
        <f t="shared" si="20"/>
        <v>61.578486818198968</v>
      </c>
      <c r="K86" s="81">
        <f t="shared" si="21"/>
        <v>54.706278049346921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8"/>
        <v>73.496157742717145</v>
      </c>
      <c r="H87" s="54">
        <f>'Init. énergie'!D9</f>
        <v>54.925506119527036</v>
      </c>
      <c r="I87" s="81">
        <f t="shared" si="19"/>
        <v>56.756197862591648</v>
      </c>
      <c r="J87" s="81">
        <f t="shared" si="20"/>
        <v>46.33191170635893</v>
      </c>
      <c r="K87" s="81">
        <f t="shared" si="21"/>
        <v>41.161233010629473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89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2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2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2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2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2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2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3">G81</f>
        <v>178.82612426989408</v>
      </c>
      <c r="H101" s="54">
        <f t="shared" si="23"/>
        <v>143.27774761989451</v>
      </c>
      <c r="I101" s="81">
        <f>$H101*(1+$G91)^(I$100-$H$100)</f>
        <v>133.14691587291546</v>
      </c>
      <c r="J101" s="81">
        <f>$H101*(1+$G91)^(J$100-$H$100)</f>
        <v>123.73241135462705</v>
      </c>
      <c r="K101" s="81">
        <f>$H101*(1+$G91)^(K$100-$H$100)</f>
        <v>114.98358425547968</v>
      </c>
      <c r="L101" s="67"/>
      <c r="M101" s="79">
        <f>(K101-G101)/H101</f>
        <v>-0.44558587132304756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3"/>
        <v>173.49701040783395</v>
      </c>
      <c r="H102" s="54">
        <f t="shared" si="23"/>
        <v>143.46337556823548</v>
      </c>
      <c r="I102" s="81">
        <f t="shared" ref="I102:K107" si="24">$H102*(1+$G92)^(I$100-$H$100)</f>
        <v>134.70944283347063</v>
      </c>
      <c r="J102" s="81">
        <f t="shared" si="24"/>
        <v>126.48966272143102</v>
      </c>
      <c r="K102" s="81">
        <f t="shared" si="24"/>
        <v>118.77144199282533</v>
      </c>
      <c r="L102" s="67"/>
      <c r="M102" s="79">
        <f t="shared" ref="M102:M107" si="25">(K102-G102)/H102</f>
        <v>-0.38146020333237945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3"/>
        <v>136.01547403339876</v>
      </c>
      <c r="H103" s="54">
        <f t="shared" si="23"/>
        <v>120.33544112585447</v>
      </c>
      <c r="I103" s="81">
        <f t="shared" si="24"/>
        <v>115.54050530459669</v>
      </c>
      <c r="J103" s="81">
        <f t="shared" si="24"/>
        <v>110.9366304817852</v>
      </c>
      <c r="K103" s="81">
        <f t="shared" si="24"/>
        <v>106.51620356175239</v>
      </c>
      <c r="L103" s="67"/>
      <c r="M103" s="79">
        <f t="shared" si="25"/>
        <v>-0.24514199803193601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3"/>
        <v>119.22683530947032</v>
      </c>
      <c r="H104" s="54">
        <f t="shared" si="23"/>
        <v>105.48221754152573</v>
      </c>
      <c r="I104" s="81">
        <f t="shared" si="24"/>
        <v>101.27912941833024</v>
      </c>
      <c r="J104" s="81">
        <f t="shared" si="24"/>
        <v>97.243519285103957</v>
      </c>
      <c r="K104" s="81">
        <f t="shared" si="24"/>
        <v>93.368713744501363</v>
      </c>
      <c r="L104" s="67"/>
      <c r="M104" s="79">
        <f t="shared" si="25"/>
        <v>-0.24514199803193609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3"/>
        <v>134.94442471687393</v>
      </c>
      <c r="H105" s="54">
        <f t="shared" si="23"/>
        <v>119.38786370580362</v>
      </c>
      <c r="I105" s="81">
        <f t="shared" si="24"/>
        <v>114.63068544684259</v>
      </c>
      <c r="J105" s="81">
        <f>$H105*(1+$G95)^(J$100-$H$100)</f>
        <v>110.06306368286415</v>
      </c>
      <c r="K105" s="81">
        <f>$H105*(1+$G95)^(K$100-$H$100)</f>
        <v>105.67744526726877</v>
      </c>
      <c r="L105" s="67"/>
      <c r="M105" s="79">
        <f t="shared" si="25"/>
        <v>-0.24514199803193604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3"/>
        <v>97.681749232182625</v>
      </c>
      <c r="H106" s="54">
        <f t="shared" si="23"/>
        <v>73</v>
      </c>
      <c r="I106" s="81">
        <f t="shared" si="24"/>
        <v>66.308216709212786</v>
      </c>
      <c r="J106" s="81">
        <f t="shared" si="24"/>
        <v>60.229857577478427</v>
      </c>
      <c r="K106" s="81">
        <f t="shared" si="24"/>
        <v>54.708691076883021</v>
      </c>
      <c r="L106" s="67"/>
      <c r="M106" s="79">
        <f t="shared" si="25"/>
        <v>-0.58867202952465214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3"/>
        <v>73.496157742717145</v>
      </c>
      <c r="H107" s="54">
        <f t="shared" si="23"/>
        <v>54.925506119527036</v>
      </c>
      <c r="I107" s="81">
        <f t="shared" si="24"/>
        <v>49.890580310093036</v>
      </c>
      <c r="J107" s="81">
        <f t="shared" si="24"/>
        <v>45.317197410274424</v>
      </c>
      <c r="K107" s="81">
        <f t="shared" si="24"/>
        <v>41.163048582666477</v>
      </c>
      <c r="L107" s="67"/>
      <c r="M107" s="79">
        <f t="shared" si="25"/>
        <v>-0.58867202952465192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6">G$36*G45*$H$73*G81/1000</f>
        <v>3956.3334049567247</v>
      </c>
      <c r="H111" s="54">
        <f t="shared" si="26"/>
        <v>3169.8642545091448</v>
      </c>
      <c r="I111" s="125">
        <f t="shared" si="26"/>
        <v>0</v>
      </c>
      <c r="J111" s="125">
        <f t="shared" si="26"/>
        <v>0</v>
      </c>
      <c r="K111" s="125">
        <f t="shared" si="26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6"/>
        <v>18125.931532289484</v>
      </c>
      <c r="H112" s="54">
        <f t="shared" si="26"/>
        <v>14988.196723553177</v>
      </c>
      <c r="I112" s="125">
        <f t="shared" si="26"/>
        <v>11223.973187161759</v>
      </c>
      <c r="J112" s="125">
        <f t="shared" si="26"/>
        <v>4047.4232444807631</v>
      </c>
      <c r="K112" s="125">
        <f t="shared" si="26"/>
        <v>412.02923249633358</v>
      </c>
      <c r="L112" s="46"/>
      <c r="M112" s="79">
        <f t="shared" ref="M112:M118" si="27">(K112-G112)/H112</f>
        <v>-1.1818568054925958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6"/>
        <v>2674.8394258209828</v>
      </c>
      <c r="H113" s="54">
        <f t="shared" si="26"/>
        <v>2366.4806121100437</v>
      </c>
      <c r="I113" s="125">
        <f t="shared" si="26"/>
        <v>3851.90480586184</v>
      </c>
      <c r="J113" s="125">
        <f t="shared" si="26"/>
        <v>4479.579676237182</v>
      </c>
      <c r="K113" s="125">
        <f t="shared" si="26"/>
        <v>4104.206301084947</v>
      </c>
      <c r="L113" s="46"/>
      <c r="M113" s="79">
        <f t="shared" si="27"/>
        <v>0.60400531825590853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6"/>
        <v>381.01035429829591</v>
      </c>
      <c r="H114" s="54">
        <f t="shared" si="26"/>
        <v>337.08700707645409</v>
      </c>
      <c r="I114" s="125">
        <f t="shared" si="26"/>
        <v>182.89142900036276</v>
      </c>
      <c r="J114" s="125">
        <f t="shared" si="26"/>
        <v>70.89797295970061</v>
      </c>
      <c r="K114" s="125">
        <f t="shared" si="26"/>
        <v>0</v>
      </c>
      <c r="L114" s="46"/>
      <c r="M114" s="79">
        <f t="shared" si="27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6"/>
        <v>398.06647378826148</v>
      </c>
      <c r="H115" s="54">
        <f t="shared" si="26"/>
        <v>352.17687591164491</v>
      </c>
      <c r="I115" s="125">
        <f t="shared" si="26"/>
        <v>477.6966387327667</v>
      </c>
      <c r="J115" s="125">
        <f t="shared" si="26"/>
        <v>555.5381719240936</v>
      </c>
      <c r="K115" s="125">
        <f t="shared" si="26"/>
        <v>1055.6746317628449</v>
      </c>
      <c r="L115" s="46"/>
      <c r="M115" s="79">
        <f t="shared" si="27"/>
        <v>1.8672667144096253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6"/>
        <v>7347.7481828064037</v>
      </c>
      <c r="H116" s="54">
        <f t="shared" si="26"/>
        <v>5491.1549144141218</v>
      </c>
      <c r="I116" s="125">
        <f t="shared" si="26"/>
        <v>3212.9523789387399</v>
      </c>
      <c r="J116" s="125">
        <f t="shared" si="26"/>
        <v>1148.32019113308</v>
      </c>
      <c r="K116" s="125">
        <f t="shared" si="26"/>
        <v>859.68844563504081</v>
      </c>
      <c r="L116" s="46"/>
      <c r="M116" s="79">
        <f t="shared" si="27"/>
        <v>-1.1815473863504369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6"/>
        <v>1318.8849273839112</v>
      </c>
      <c r="H117" s="54">
        <f t="shared" si="26"/>
        <v>985.63549952589472</v>
      </c>
      <c r="I117" s="125">
        <f t="shared" si="26"/>
        <v>3382.2462738471891</v>
      </c>
      <c r="J117" s="125">
        <f t="shared" si="26"/>
        <v>4740.2385499819602</v>
      </c>
      <c r="K117" s="125">
        <f t="shared" si="26"/>
        <v>4599.7026953170598</v>
      </c>
      <c r="L117" s="46"/>
      <c r="M117" s="79">
        <f t="shared" si="27"/>
        <v>3.3286319024743634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34202.814301344057</v>
      </c>
      <c r="H118" s="146">
        <f>SUM(H111:H117)</f>
        <v>27690.595887100484</v>
      </c>
      <c r="I118" s="144">
        <f t="shared" ref="I118:J118" si="28">SUM(I111:I117)</f>
        <v>22331.664713542654</v>
      </c>
      <c r="J118" s="144">
        <f t="shared" si="28"/>
        <v>15041.997806716779</v>
      </c>
      <c r="K118" s="144">
        <f>SUM(K111:K117)</f>
        <v>11031.301306296227</v>
      </c>
      <c r="L118" s="21"/>
      <c r="M118" s="79">
        <f t="shared" si="27"/>
        <v>-0.8368008073759855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9">G$36*G45*(1-$H$73)*G101/1000</f>
        <v>668.11755200739003</v>
      </c>
      <c r="H122" s="147">
        <f t="shared" si="29"/>
        <v>535.30421457024443</v>
      </c>
      <c r="I122" s="143">
        <f t="shared" ref="I122:I128" si="30">I$36*I59*(1-$H$73)*I101/1000</f>
        <v>0</v>
      </c>
      <c r="J122" s="143">
        <f t="shared" ref="J122:K122" si="31">J$36*J59*(1-$H$73)*J101/1000</f>
        <v>0</v>
      </c>
      <c r="K122" s="143">
        <f t="shared" si="31"/>
        <v>0</v>
      </c>
      <c r="L122" s="46"/>
      <c r="M122" s="79">
        <f>(K122-G122)/H122</f>
        <v>-1.2481081482681236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9"/>
        <v>3060.9788821221136</v>
      </c>
      <c r="H123" s="147">
        <f t="shared" si="29"/>
        <v>2531.1004606941278</v>
      </c>
      <c r="I123" s="143">
        <f t="shared" si="30"/>
        <v>1905.7415566954005</v>
      </c>
      <c r="J123" s="143">
        <f t="shared" ref="J123:K123" si="32">J$36*J60*(1-$H$73)*J102/1000</f>
        <v>790.47124099296946</v>
      </c>
      <c r="K123" s="143">
        <f t="shared" si="32"/>
        <v>85.051958900816842</v>
      </c>
      <c r="L123" s="46"/>
      <c r="M123" s="79">
        <f t="shared" ref="M123:M129" si="33">(K123-G123)/H123</f>
        <v>-1.1757442936125815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9"/>
        <v>451.70792910258172</v>
      </c>
      <c r="H124" s="147">
        <f t="shared" si="29"/>
        <v>399.63447758347019</v>
      </c>
      <c r="I124" s="143">
        <f t="shared" si="30"/>
        <v>715.53820698308516</v>
      </c>
      <c r="J124" s="143">
        <f t="shared" ref="J124:K124" si="34">J$36*J61*(1-$H$73)*J103/1000</f>
        <v>978.74223728155482</v>
      </c>
      <c r="K124" s="143">
        <f t="shared" si="34"/>
        <v>969.15401694791194</v>
      </c>
      <c r="L124" s="46"/>
      <c r="M124" s="79">
        <f t="shared" si="33"/>
        <v>1.2947984142265432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9"/>
        <v>64.342328905930586</v>
      </c>
      <c r="H125" s="147">
        <f t="shared" si="29"/>
        <v>56.924865255101437</v>
      </c>
      <c r="I125" s="143">
        <f t="shared" si="30"/>
        <v>33.974309276891219</v>
      </c>
      <c r="J125" s="143">
        <f t="shared" ref="J125:K125" si="35">J$36*J62*(1-$H$73)*J104/1000</f>
        <v>15.490480288006042</v>
      </c>
      <c r="K125" s="143">
        <f t="shared" si="35"/>
        <v>0</v>
      </c>
      <c r="L125" s="46"/>
      <c r="M125" s="79">
        <f t="shared" si="33"/>
        <v>-1.1303027001924157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9"/>
        <v>67.222645510720369</v>
      </c>
      <c r="H126" s="147">
        <f t="shared" si="29"/>
        <v>59.473135381590083</v>
      </c>
      <c r="I126" s="143">
        <f t="shared" si="30"/>
        <v>88.737965652869363</v>
      </c>
      <c r="J126" s="143">
        <f t="shared" ref="J126:K126" si="36">J$36*J63*(1-$H$73)*J105/1000</f>
        <v>121.37939551976467</v>
      </c>
      <c r="K126" s="143">
        <f t="shared" si="36"/>
        <v>249.28359709708297</v>
      </c>
      <c r="L126" s="46"/>
      <c r="M126" s="79">
        <f t="shared" si="33"/>
        <v>3.0612300901613398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9"/>
        <v>1240.8356491171553</v>
      </c>
      <c r="H127" s="147">
        <f t="shared" si="29"/>
        <v>927.30733322811091</v>
      </c>
      <c r="I127" s="143">
        <f t="shared" si="30"/>
        <v>476.94637062841855</v>
      </c>
      <c r="J127" s="143">
        <f t="shared" ref="J127:K127" si="37">J$36*J64*(1-$H$73)*J106/1000</f>
        <v>189.67313519230586</v>
      </c>
      <c r="K127" s="143">
        <f t="shared" si="37"/>
        <v>145.18449682739768</v>
      </c>
      <c r="L127" s="46"/>
      <c r="M127" s="79">
        <f t="shared" si="33"/>
        <v>-1.1815404807331933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9"/>
        <v>222.72394130363276</v>
      </c>
      <c r="H128" s="147">
        <f t="shared" si="29"/>
        <v>166.44713923497682</v>
      </c>
      <c r="I128" s="143">
        <f t="shared" si="30"/>
        <v>502.07718466581929</v>
      </c>
      <c r="J128" s="143">
        <f t="shared" ref="J128:K128" si="38">J$36*J65*(1-$H$73)*J107/1000</f>
        <v>782.96620949192322</v>
      </c>
      <c r="K128" s="143">
        <f t="shared" si="38"/>
        <v>776.79946120705722</v>
      </c>
      <c r="L128" s="46"/>
      <c r="M128" s="79">
        <f t="shared" si="33"/>
        <v>3.3288377466267223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5775.9289280695257</v>
      </c>
      <c r="H129" s="148">
        <f>SUM(H122:H128)</f>
        <v>4676.1916259476211</v>
      </c>
      <c r="I129" s="145">
        <f t="shared" ref="I129:K129" si="39">SUM(I122:I128)</f>
        <v>3723.0155939024844</v>
      </c>
      <c r="J129" s="145">
        <f t="shared" si="39"/>
        <v>2878.722698766524</v>
      </c>
      <c r="K129" s="145">
        <f t="shared" si="39"/>
        <v>2225.4735309802663</v>
      </c>
      <c r="L129" s="21"/>
      <c r="M129" s="79">
        <f t="shared" si="33"/>
        <v>-0.75926216910962596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3705.1684690793891</v>
      </c>
      <c r="I133" s="143">
        <f t="shared" ref="I133:K133" si="40">I111+I122</f>
        <v>0</v>
      </c>
      <c r="J133" s="143">
        <f t="shared" si="40"/>
        <v>0</v>
      </c>
      <c r="K133" s="143">
        <f t="shared" si="40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1">H112+H123</f>
        <v>17519.297184247305</v>
      </c>
      <c r="I134" s="143">
        <f t="shared" si="41"/>
        <v>13129.714743857159</v>
      </c>
      <c r="J134" s="143">
        <f t="shared" si="41"/>
        <v>4837.8944854737329</v>
      </c>
      <c r="K134" s="143">
        <f>K112+K123</f>
        <v>497.08119139715041</v>
      </c>
      <c r="L134" s="46"/>
      <c r="M134" s="79">
        <f t="shared" ref="M134:M140" si="42">(K134-G134)/H134</f>
        <v>2.8373352319413084E-2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1"/>
        <v>2766.1150896935137</v>
      </c>
      <c r="I135" s="143">
        <f t="shared" si="41"/>
        <v>4567.4430128449249</v>
      </c>
      <c r="J135" s="143">
        <f t="shared" si="41"/>
        <v>5458.3219135187364</v>
      </c>
      <c r="K135" s="143">
        <f t="shared" si="41"/>
        <v>5073.3603180328591</v>
      </c>
      <c r="L135" s="46"/>
      <c r="M135" s="79">
        <f t="shared" si="42"/>
        <v>1.8341103509886816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1"/>
        <v>394.01187233155554</v>
      </c>
      <c r="I136" s="143">
        <f t="shared" si="41"/>
        <v>216.86573827725397</v>
      </c>
      <c r="J136" s="143">
        <f t="shared" si="41"/>
        <v>86.38845324770665</v>
      </c>
      <c r="K136" s="143">
        <f t="shared" si="41"/>
        <v>0</v>
      </c>
      <c r="L136" s="46"/>
      <c r="M136" s="79">
        <f t="shared" si="42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1"/>
        <v>411.65001129323502</v>
      </c>
      <c r="I137" s="143">
        <f t="shared" si="41"/>
        <v>566.43460438563602</v>
      </c>
      <c r="J137" s="143">
        <f t="shared" si="41"/>
        <v>676.91756744385827</v>
      </c>
      <c r="K137" s="143">
        <f t="shared" si="41"/>
        <v>1304.9582288599279</v>
      </c>
      <c r="L137" s="46"/>
      <c r="M137" s="79">
        <f t="shared" si="42"/>
        <v>3.1700672733137694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1"/>
        <v>6418.4622476422328</v>
      </c>
      <c r="I138" s="143">
        <f t="shared" si="41"/>
        <v>3689.8987495671586</v>
      </c>
      <c r="J138" s="143">
        <f t="shared" si="41"/>
        <v>1337.9933263253859</v>
      </c>
      <c r="K138" s="143">
        <f t="shared" si="41"/>
        <v>1004.8729424624385</v>
      </c>
      <c r="L138" s="46"/>
      <c r="M138" s="79">
        <f t="shared" si="42"/>
        <v>0.15655976520412968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1"/>
        <v>1152.0826387608715</v>
      </c>
      <c r="I139" s="143">
        <f t="shared" si="41"/>
        <v>3884.3234585130085</v>
      </c>
      <c r="J139" s="143">
        <f t="shared" si="41"/>
        <v>5523.2047594738833</v>
      </c>
      <c r="K139" s="143">
        <f t="shared" si="41"/>
        <v>5376.5021565241168</v>
      </c>
      <c r="L139" s="46"/>
      <c r="M139" s="79">
        <f t="shared" si="42"/>
        <v>4.666767795673791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32366.787513048104</v>
      </c>
      <c r="I140" s="145">
        <f t="shared" ref="I140:K140" si="43">SUM(I133:I139)</f>
        <v>26054.680307445138</v>
      </c>
      <c r="J140" s="145">
        <f t="shared" si="43"/>
        <v>17920.720505483303</v>
      </c>
      <c r="K140" s="145">
        <f t="shared" si="43"/>
        <v>13256.774837276493</v>
      </c>
      <c r="L140" s="21"/>
      <c r="M140" s="79">
        <f t="shared" si="42"/>
        <v>0.40957956769519543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énergie'!C3</f>
        <v>2.5832473286687414E-3</v>
      </c>
      <c r="I146" s="47">
        <v>0</v>
      </c>
      <c r="J146" s="47">
        <v>0</v>
      </c>
      <c r="K146" s="47">
        <v>0</v>
      </c>
      <c r="M146" s="493" t="s">
        <v>266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énergie'!C4</f>
        <v>0.18262447255667691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</f>
        <v>0.13911656645249823</v>
      </c>
      <c r="I148" s="47">
        <f>H148+((K148-H148)/3)</f>
        <v>0.15274437763499882</v>
      </c>
      <c r="J148" s="47">
        <f>H148+((K148-H148)/3*2)</f>
        <v>0.16637218881749941</v>
      </c>
      <c r="K148" s="47">
        <v>0.18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</f>
        <v>2.2541262662018457E-2</v>
      </c>
      <c r="I149" s="47">
        <f t="shared" ref="I149:J150" si="44">H149</f>
        <v>2.2541262662018457E-2</v>
      </c>
      <c r="J149" s="47">
        <f t="shared" si="44"/>
        <v>2.2541262662018457E-2</v>
      </c>
      <c r="K149" s="47">
        <f>J149</f>
        <v>2.2541262662018457E-2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énergie'!C7</f>
        <v>2.2378153328661055E-2</v>
      </c>
      <c r="I150" s="47">
        <f t="shared" si="44"/>
        <v>2.2378153328661055E-2</v>
      </c>
      <c r="J150" s="47">
        <f t="shared" si="44"/>
        <v>2.2378153328661055E-2</v>
      </c>
      <c r="K150" s="47">
        <v>0.04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énergie'!C8</f>
        <v>0.17192765066376023</v>
      </c>
      <c r="I151" s="47">
        <f>1-I146-I147-I148-I149-I150-I152</f>
        <v>0.35233620637432156</v>
      </c>
      <c r="J151" s="47">
        <f t="shared" ref="J151:K151" si="45">1-J146-J147-J148-J149-J150-J152</f>
        <v>4.8708395191821019E-2</v>
      </c>
      <c r="K151" s="47">
        <f t="shared" si="45"/>
        <v>7.4587373379815247E-3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énergie'!C9</f>
        <v>0.45882864700771653</v>
      </c>
      <c r="I152" s="47">
        <v>0.45</v>
      </c>
      <c r="J152" s="47">
        <v>0.74</v>
      </c>
      <c r="K152" s="47">
        <v>0.75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6">SUM(I146:I152)</f>
        <v>0.99999999999999978</v>
      </c>
      <c r="J153" s="15">
        <f t="shared" si="46"/>
        <v>0.99999999999999989</v>
      </c>
      <c r="K153" s="15">
        <f t="shared" si="46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100.15086496396171</v>
      </c>
      <c r="J157" s="45">
        <f>K157</f>
        <v>100.15086496396171</v>
      </c>
      <c r="K157" s="45">
        <f t="shared" ref="K157:K163" si="47">K81</f>
        <v>100.15086496396171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8">J158</f>
        <v>97.166315782706477</v>
      </c>
      <c r="J158" s="45">
        <f t="shared" si="48"/>
        <v>97.166315782706477</v>
      </c>
      <c r="K158" s="45">
        <f t="shared" si="47"/>
        <v>97.166315782706477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8"/>
        <v>76.17492929818799</v>
      </c>
      <c r="J159" s="45">
        <f t="shared" si="48"/>
        <v>76.17492929818799</v>
      </c>
      <c r="K159" s="45">
        <f t="shared" si="47"/>
        <v>76.17492929818799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8"/>
        <v>66.772518455624294</v>
      </c>
      <c r="J160" s="45">
        <f t="shared" si="48"/>
        <v>66.772518455624294</v>
      </c>
      <c r="K160" s="45">
        <f t="shared" si="47"/>
        <v>66.772518455624294</v>
      </c>
      <c r="M160" s="494"/>
      <c r="N160" s="33"/>
      <c r="O160" s="42"/>
    </row>
    <row r="161" spans="1:18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8"/>
        <v>75.575092356538832</v>
      </c>
      <c r="J161" s="45">
        <f t="shared" si="48"/>
        <v>75.575092356538832</v>
      </c>
      <c r="K161" s="45">
        <f t="shared" si="47"/>
        <v>75.575092356538832</v>
      </c>
      <c r="M161" s="494"/>
      <c r="N161" s="33"/>
      <c r="O161" s="42"/>
    </row>
    <row r="162" spans="1:18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8"/>
        <v>54.706278049346921</v>
      </c>
      <c r="J162" s="45">
        <f t="shared" si="48"/>
        <v>54.706278049346921</v>
      </c>
      <c r="K162" s="45">
        <f t="shared" si="47"/>
        <v>54.706278049346921</v>
      </c>
      <c r="M162" s="494"/>
      <c r="N162" s="33"/>
      <c r="O162" s="42"/>
      <c r="R162" s="17">
        <f>'Bureaux - AMS'!H$36*('Bureaux - AMS'!$H$73*'Bureaux - AMS'!H51+(1-'Bureaux - AMS'!$H$73)*'Bureaux - AMS'!H65+'Bureaux - AMS'!H$35)</f>
        <v>20975.366822360236</v>
      </c>
    </row>
    <row r="163" spans="1:18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8"/>
        <v>41.161233010629473</v>
      </c>
      <c r="J163" s="45">
        <f t="shared" si="48"/>
        <v>41.161233010629473</v>
      </c>
      <c r="K163" s="45">
        <f t="shared" si="47"/>
        <v>41.161233010629473</v>
      </c>
      <c r="M163" s="495"/>
      <c r="N163" s="33"/>
      <c r="O163" s="42"/>
    </row>
    <row r="164" spans="1:18" s="17" customFormat="1">
      <c r="A164" s="56"/>
      <c r="C164" s="40"/>
      <c r="D164" s="32"/>
      <c r="M164" s="65"/>
      <c r="N164" s="33"/>
      <c r="O164" s="42"/>
    </row>
    <row r="165" spans="1:18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8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8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9">I$35*I146*I157/1000</f>
        <v>0</v>
      </c>
      <c r="J167" s="10">
        <f t="shared" si="49"/>
        <v>0</v>
      </c>
      <c r="K167" s="10">
        <f t="shared" si="49"/>
        <v>0</v>
      </c>
      <c r="M167" s="65"/>
      <c r="N167" s="33"/>
      <c r="O167" s="42"/>
    </row>
    <row r="168" spans="1:18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50">H$35*H147*H158/1000</f>
        <v>0</v>
      </c>
      <c r="I168" s="10">
        <f t="shared" si="50"/>
        <v>0</v>
      </c>
      <c r="J168" s="10">
        <f t="shared" si="50"/>
        <v>0</v>
      </c>
      <c r="K168" s="10">
        <f t="shared" si="50"/>
        <v>0</v>
      </c>
      <c r="M168" s="65"/>
      <c r="N168" s="33"/>
      <c r="O168" s="42"/>
    </row>
    <row r="169" spans="1:18" s="17" customFormat="1">
      <c r="A169" s="56"/>
      <c r="C169" s="40"/>
      <c r="D169" s="32"/>
      <c r="E169" s="6" t="s">
        <v>68</v>
      </c>
      <c r="F169" s="82"/>
      <c r="G169" s="82"/>
      <c r="H169" s="10">
        <f t="shared" si="50"/>
        <v>0</v>
      </c>
      <c r="I169" s="10">
        <f t="shared" si="50"/>
        <v>72.213392600591376</v>
      </c>
      <c r="J169" s="10">
        <f t="shared" si="50"/>
        <v>75.037542280546845</v>
      </c>
      <c r="K169" s="10">
        <f t="shared" si="50"/>
        <v>77.111290803759715</v>
      </c>
      <c r="M169" s="65"/>
      <c r="N169" s="33"/>
      <c r="O169" s="42"/>
    </row>
    <row r="170" spans="1:18" s="17" customFormat="1">
      <c r="A170" s="56"/>
      <c r="C170" s="40"/>
      <c r="D170" s="32"/>
      <c r="E170" s="6" t="s">
        <v>22</v>
      </c>
      <c r="F170" s="82"/>
      <c r="G170" s="82"/>
      <c r="H170" s="10">
        <f t="shared" si="50"/>
        <v>0</v>
      </c>
      <c r="I170" s="10">
        <f t="shared" si="50"/>
        <v>9.3414964286369102</v>
      </c>
      <c r="J170" s="10">
        <f t="shared" si="50"/>
        <v>8.9117256350865226</v>
      </c>
      <c r="K170" s="10">
        <f t="shared" si="50"/>
        <v>8.4646577802936278</v>
      </c>
      <c r="M170" s="65"/>
      <c r="N170" s="33"/>
      <c r="O170" s="42"/>
    </row>
    <row r="171" spans="1:18" s="17" customFormat="1">
      <c r="A171" s="56"/>
      <c r="C171" s="40"/>
      <c r="D171" s="32"/>
      <c r="E171" s="6" t="s">
        <v>42</v>
      </c>
      <c r="F171" s="82"/>
      <c r="G171" s="82"/>
      <c r="H171" s="10">
        <f t="shared" si="50"/>
        <v>0</v>
      </c>
      <c r="I171" s="10">
        <f t="shared" si="50"/>
        <v>10.496472865386464</v>
      </c>
      <c r="J171" s="10">
        <f t="shared" si="50"/>
        <v>10.013565495320115</v>
      </c>
      <c r="K171" s="10">
        <f t="shared" si="50"/>
        <v>17.000906781032516</v>
      </c>
      <c r="M171" s="65"/>
      <c r="N171" s="33"/>
      <c r="O171" s="42"/>
    </row>
    <row r="172" spans="1:18" s="17" customFormat="1">
      <c r="A172" s="56"/>
      <c r="C172" s="40"/>
      <c r="D172" s="32"/>
      <c r="E172" s="6" t="s">
        <v>25</v>
      </c>
      <c r="F172" s="82"/>
      <c r="G172" s="82"/>
      <c r="H172" s="10">
        <f t="shared" si="50"/>
        <v>0</v>
      </c>
      <c r="I172" s="10">
        <f t="shared" si="50"/>
        <v>119.62856634455188</v>
      </c>
      <c r="J172" s="10">
        <f t="shared" si="50"/>
        <v>15.77708627608745</v>
      </c>
      <c r="K172" s="10">
        <f t="shared" si="50"/>
        <v>2.2947527037195798</v>
      </c>
      <c r="M172" s="65"/>
      <c r="N172" s="33"/>
      <c r="O172" s="42"/>
    </row>
    <row r="173" spans="1:18" s="17" customFormat="1">
      <c r="A173" s="56"/>
      <c r="C173" s="40"/>
      <c r="D173" s="32"/>
      <c r="E173" s="6" t="s">
        <v>26</v>
      </c>
      <c r="F173" s="82"/>
      <c r="G173" s="82"/>
      <c r="H173" s="10">
        <f t="shared" si="50"/>
        <v>0</v>
      </c>
      <c r="I173" s="10">
        <f t="shared" si="50"/>
        <v>114.95856799224052</v>
      </c>
      <c r="J173" s="10">
        <f t="shared" si="50"/>
        <v>180.3457476314268</v>
      </c>
      <c r="K173" s="10">
        <f t="shared" si="50"/>
        <v>173.61332209114502</v>
      </c>
      <c r="L173" s="65"/>
      <c r="M173" s="65"/>
      <c r="N173" s="33"/>
      <c r="O173" s="42"/>
    </row>
    <row r="174" spans="1:18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1">SUM(I167:I173)</f>
        <v>326.6384962314072</v>
      </c>
      <c r="J174" s="11">
        <f t="shared" si="51"/>
        <v>290.08566731846776</v>
      </c>
      <c r="K174" s="11">
        <f t="shared" si="51"/>
        <v>278.48493015995047</v>
      </c>
      <c r="M174" s="65"/>
      <c r="N174" s="33"/>
      <c r="O174" s="42"/>
    </row>
    <row r="175" spans="1:18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8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277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2">H$36*($H$73*H45+(1-$H$73)*H59)+H$35*H146</f>
        <v>25860.041287841384</v>
      </c>
      <c r="I181" s="10">
        <f t="shared" si="52"/>
        <v>0</v>
      </c>
      <c r="J181" s="10">
        <f t="shared" si="52"/>
        <v>0</v>
      </c>
      <c r="K181" s="10">
        <f t="shared" si="52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2"/>
        <v>122116.86163702876</v>
      </c>
      <c r="I182" s="10">
        <f t="shared" si="52"/>
        <v>97920.418587216438</v>
      </c>
      <c r="J182" s="10">
        <f t="shared" si="52"/>
        <v>43255.201185605081</v>
      </c>
      <c r="K182" s="10">
        <f t="shared" si="52"/>
        <v>4956.5511039718131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2"/>
        <v>22986.703366970123</v>
      </c>
      <c r="I183" s="10">
        <f t="shared" si="52"/>
        <v>43813.293737254135</v>
      </c>
      <c r="J183" s="10">
        <f t="shared" si="52"/>
        <v>62051.235128305161</v>
      </c>
      <c r="K183" s="10">
        <f t="shared" si="52"/>
        <v>63989.647456437815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2"/>
        <v>3735.3392971326448</v>
      </c>
      <c r="I184" s="10">
        <f t="shared" si="52"/>
        <v>2461.7707065257214</v>
      </c>
      <c r="J184" s="10">
        <f t="shared" si="52"/>
        <v>1236.0475331539897</v>
      </c>
      <c r="K184" s="10">
        <f t="shared" si="52"/>
        <v>126.7685864794672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2"/>
        <v>3448.0055050455185</v>
      </c>
      <c r="I185" s="10">
        <f t="shared" si="52"/>
        <v>5497.0504323589221</v>
      </c>
      <c r="J185" s="10">
        <f t="shared" si="52"/>
        <v>7765.7690211877089</v>
      </c>
      <c r="K185" s="10">
        <f t="shared" si="52"/>
        <v>16552.416294149389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2"/>
        <v>87924.140378660712</v>
      </c>
      <c r="I186" s="10">
        <f t="shared" si="52"/>
        <v>51973.002258979563</v>
      </c>
      <c r="J186" s="10">
        <f t="shared" si="52"/>
        <v>22085.625098013046</v>
      </c>
      <c r="K186" s="10">
        <f t="shared" si="52"/>
        <v>18410.34205668596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2"/>
        <v>20975.366822360236</v>
      </c>
      <c r="I187" s="10">
        <f t="shared" si="52"/>
        <v>72448.99617639542</v>
      </c>
      <c r="J187" s="10">
        <f t="shared" si="52"/>
        <v>123969.35583807157</v>
      </c>
      <c r="K187" s="10">
        <f t="shared" si="52"/>
        <v>134837.58406876979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287046.45829503943</v>
      </c>
      <c r="I188" s="10">
        <f t="shared" ref="I188:K188" si="53">SUM(I181:I187)</f>
        <v>274114.5318987302</v>
      </c>
      <c r="J188" s="10">
        <f t="shared" si="53"/>
        <v>260363.23380433657</v>
      </c>
      <c r="K188" s="10">
        <f t="shared" si="53"/>
        <v>238873.30956649422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GB1593"/>
  <sheetViews>
    <sheetView showGridLines="0" zoomScale="115" zoomScaleNormal="115" workbookViewId="0">
      <selection activeCell="I52" sqref="I5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235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67243.869415029592</v>
      </c>
      <c r="I7" s="10">
        <f t="shared" si="0"/>
        <v>69499.574904758236</v>
      </c>
      <c r="J7" s="10">
        <f t="shared" si="0"/>
        <v>70400.361355721587</v>
      </c>
      <c r="K7" s="10">
        <f t="shared" si="0"/>
        <v>68894.249503047919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4192.3289288814958</v>
      </c>
      <c r="J8" s="76">
        <f t="shared" si="0"/>
        <v>2902.374208220388</v>
      </c>
      <c r="K8" s="76">
        <f t="shared" si="0"/>
        <v>2027.5304070447819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67243.869415029592</v>
      </c>
      <c r="I9" s="96">
        <f t="shared" si="1"/>
        <v>65307.245975876736</v>
      </c>
      <c r="J9" s="96">
        <f t="shared" si="1"/>
        <v>67497.987147501204</v>
      </c>
      <c r="K9" s="96">
        <f t="shared" si="1"/>
        <v>66866.719096003129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1146.8355656667195</v>
      </c>
      <c r="I13" s="86">
        <f t="shared" ref="I13:K13" si="2">I133+I167</f>
        <v>128.40509171401723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3676.1473473989754</v>
      </c>
      <c r="I14" s="86">
        <f t="shared" si="3"/>
        <v>2778.5944572746721</v>
      </c>
      <c r="J14" s="86">
        <f t="shared" si="3"/>
        <v>1250.4995647612968</v>
      </c>
      <c r="K14" s="86">
        <f t="shared" si="3"/>
        <v>141.99476174937544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623.71893019819117</v>
      </c>
      <c r="I15" s="86">
        <f t="shared" si="3"/>
        <v>1003.2157126853925</v>
      </c>
      <c r="J15" s="86">
        <f t="shared" si="3"/>
        <v>1253.9924974270477</v>
      </c>
      <c r="K15" s="86">
        <f t="shared" si="3"/>
        <v>1486.49052610022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125.59756428433397</v>
      </c>
      <c r="I16" s="86">
        <f t="shared" si="3"/>
        <v>70.751000459511829</v>
      </c>
      <c r="J16" s="86">
        <f t="shared" si="3"/>
        <v>34.482979316612067</v>
      </c>
      <c r="K16" s="86">
        <f t="shared" si="3"/>
        <v>0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213.99844443112971</v>
      </c>
      <c r="I17" s="86">
        <f t="shared" si="3"/>
        <v>186.1365955041426</v>
      </c>
      <c r="J17" s="86">
        <f t="shared" si="3"/>
        <v>160.29305791859673</v>
      </c>
      <c r="K17" s="86">
        <f t="shared" si="3"/>
        <v>134.79798340076161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1168.429474955554</v>
      </c>
      <c r="I18" s="86">
        <f t="shared" si="3"/>
        <v>729.09265786168999</v>
      </c>
      <c r="J18" s="86">
        <f t="shared" si="3"/>
        <v>597.93571230263979</v>
      </c>
      <c r="K18" s="86">
        <f t="shared" si="3"/>
        <v>528.37052504609608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330.97384284191594</v>
      </c>
      <c r="I19" s="86">
        <f t="shared" si="3"/>
        <v>993.53708751881538</v>
      </c>
      <c r="J19" s="86">
        <f t="shared" si="3"/>
        <v>1398.2317067980396</v>
      </c>
      <c r="K19" s="86">
        <f t="shared" si="3"/>
        <v>1443.1983980119535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7285.7011697768185</v>
      </c>
      <c r="I20" s="13">
        <f t="shared" ref="I20:K20" si="4">SUM(I13:I19)</f>
        <v>5889.7326030182421</v>
      </c>
      <c r="J20" s="13">
        <f t="shared" si="4"/>
        <v>4695.435518524233</v>
      </c>
      <c r="K20" s="13">
        <f t="shared" si="4"/>
        <v>3734.8521943084065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-0.37732113967152747</v>
      </c>
      <c r="J23" s="177">
        <f t="shared" ref="J23:K23" si="5">J118/$G118-1</f>
        <v>-0.49916987215443609</v>
      </c>
      <c r="K23" s="177">
        <f t="shared" si="5"/>
        <v>-0.60308306794058908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-0.35696520021212841</v>
      </c>
      <c r="J24" s="177">
        <f t="shared" ref="J24:K24" si="6">J129/$G129-1</f>
        <v>-0.48805558474375232</v>
      </c>
      <c r="K24" s="177">
        <f t="shared" si="6"/>
        <v>-0.58393706439042647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67243.869415029592</v>
      </c>
      <c r="H34" s="125">
        <f>'Init. parc'!C21</f>
        <v>67243.869415029592</v>
      </c>
      <c r="I34" s="125">
        <f>'Init. parc'!D21</f>
        <v>69499.574904758236</v>
      </c>
      <c r="J34" s="125">
        <f>'Init. parc'!E21</f>
        <v>70400.361355721587</v>
      </c>
      <c r="K34" s="125">
        <f>'Init. parc'!F21</f>
        <v>68894.249503047919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parc'!N21</f>
        <v>4192.3289288814958</v>
      </c>
      <c r="J35" s="125">
        <f>'Init. parc'!O21</f>
        <v>2902.374208220388</v>
      </c>
      <c r="K35" s="125">
        <f>'Init. parc'!P21</f>
        <v>2027.5304070447819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67243.869415029592</v>
      </c>
      <c r="H36" s="125">
        <f>H34-H35</f>
        <v>67243.869415029592</v>
      </c>
      <c r="I36" s="125">
        <f>I34-I35</f>
        <v>65307.245975876736</v>
      </c>
      <c r="J36" s="125">
        <f>J34-J35</f>
        <v>67497.987147501204</v>
      </c>
      <c r="K36" s="125">
        <f>K34-K35</f>
        <v>66866.719096003129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0.08</v>
      </c>
      <c r="H45" s="55">
        <f>'Init. énergie'!B12</f>
        <v>0.08</v>
      </c>
      <c r="I45" s="47">
        <v>0.01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0.34499999999999997</v>
      </c>
      <c r="H46" s="55">
        <f>'Init. énergie'!B13</f>
        <v>0.34499999999999997</v>
      </c>
      <c r="I46" s="47">
        <f>H46*0.86</f>
        <v>0.29669999999999996</v>
      </c>
      <c r="J46" s="47">
        <f>H46*0.4</f>
        <v>0.13799999999999998</v>
      </c>
      <c r="K46" s="47">
        <f>H46*0.05</f>
        <v>1.7249999999999998E-2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6.6000000000000003E-2</v>
      </c>
      <c r="H47" s="55">
        <f>'Init. énergie'!B14</f>
        <v>6.6000000000000003E-2</v>
      </c>
      <c r="I47" s="47">
        <v>0.11</v>
      </c>
      <c r="J47" s="47">
        <v>0.15</v>
      </c>
      <c r="K47" s="47">
        <v>0.2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1.4E-2</v>
      </c>
      <c r="H48" s="55">
        <f>'Init. énergie'!B15</f>
        <v>1.4E-2</v>
      </c>
      <c r="I48" s="47">
        <f t="shared" ref="I48:I49" si="8">H48+((K48-H48)/3)</f>
        <v>9.3333333333333324E-3</v>
      </c>
      <c r="J48" s="47">
        <f t="shared" ref="J48:J49" si="9">H48+((K48-H48)/3*2)</f>
        <v>4.6666666666666662E-3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2.7E-2</v>
      </c>
      <c r="H49" s="55">
        <f>'Init. énergie'!B16</f>
        <v>2.7E-2</v>
      </c>
      <c r="I49" s="47">
        <f t="shared" si="8"/>
        <v>2.4666666666666667E-2</v>
      </c>
      <c r="J49" s="47">
        <f t="shared" si="9"/>
        <v>2.2333333333333334E-2</v>
      </c>
      <c r="K49" s="47">
        <v>0.02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0.36199999999999999</v>
      </c>
      <c r="H50" s="55">
        <f>'Init. énergie'!B17</f>
        <v>0.36199999999999999</v>
      </c>
      <c r="I50" s="47">
        <f t="shared" ref="I50" si="10">1-I45-I46-I47-I48-I49-I51</f>
        <v>0.23930000000000012</v>
      </c>
      <c r="J50" s="47">
        <f t="shared" ref="J50" si="11">1-J45-J46-J47-J48-J49-J51</f>
        <v>0.20499999999999996</v>
      </c>
      <c r="K50" s="47">
        <f>1-K45-K46-K47-K48-K49-K51</f>
        <v>0.20274999999999999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0.107</v>
      </c>
      <c r="H51" s="55">
        <f>'Init. énergie'!B18</f>
        <v>0.107</v>
      </c>
      <c r="I51" s="47">
        <v>0.31</v>
      </c>
      <c r="J51" s="47">
        <v>0.48</v>
      </c>
      <c r="K51" s="123">
        <v>0.56000000000000005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2">SUM(G45:G51)</f>
        <v>1.0010000000000001</v>
      </c>
      <c r="H52" s="149">
        <f t="shared" si="12"/>
        <v>1.0010000000000001</v>
      </c>
      <c r="I52" s="155">
        <f t="shared" si="12"/>
        <v>1</v>
      </c>
      <c r="J52" s="155">
        <f t="shared" si="12"/>
        <v>0.99999999999999989</v>
      </c>
      <c r="K52" s="155">
        <f>SUM(K45:K51)</f>
        <v>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3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-0.12775789319576933</v>
      </c>
      <c r="J55" s="142">
        <f t="shared" si="13"/>
        <v>-0.16767028499741415</v>
      </c>
      <c r="K55" s="142">
        <f t="shared" si="13"/>
        <v>-0.11826652439680839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0.08</v>
      </c>
      <c r="H59" s="55">
        <f>H45</f>
        <v>0.08</v>
      </c>
      <c r="I59" s="47">
        <f>I45</f>
        <v>0.01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4">H60</f>
        <v>0.34499999999999997</v>
      </c>
      <c r="H60" s="55">
        <f t="shared" ref="H60:K65" si="15">H46</f>
        <v>0.34499999999999997</v>
      </c>
      <c r="I60" s="47">
        <f t="shared" si="15"/>
        <v>0.29669999999999996</v>
      </c>
      <c r="J60" s="47">
        <f t="shared" si="15"/>
        <v>0.13799999999999998</v>
      </c>
      <c r="K60" s="47">
        <f t="shared" si="15"/>
        <v>1.7249999999999998E-2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4"/>
        <v>6.6000000000000003E-2</v>
      </c>
      <c r="H61" s="55">
        <f t="shared" si="15"/>
        <v>6.6000000000000003E-2</v>
      </c>
      <c r="I61" s="47">
        <f t="shared" si="15"/>
        <v>0.11</v>
      </c>
      <c r="J61" s="47">
        <f t="shared" si="15"/>
        <v>0.15</v>
      </c>
      <c r="K61" s="47">
        <f t="shared" si="15"/>
        <v>0.2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4"/>
        <v>1.4E-2</v>
      </c>
      <c r="H62" s="55">
        <f t="shared" si="15"/>
        <v>1.4E-2</v>
      </c>
      <c r="I62" s="47">
        <f t="shared" si="15"/>
        <v>9.3333333333333324E-3</v>
      </c>
      <c r="J62" s="47">
        <f t="shared" si="15"/>
        <v>4.6666666666666662E-3</v>
      </c>
      <c r="K62" s="47">
        <f t="shared" si="15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4"/>
        <v>2.7E-2</v>
      </c>
      <c r="H63" s="55">
        <f t="shared" si="15"/>
        <v>2.7E-2</v>
      </c>
      <c r="I63" s="47">
        <f t="shared" si="15"/>
        <v>2.4666666666666667E-2</v>
      </c>
      <c r="J63" s="47">
        <f t="shared" si="15"/>
        <v>2.2333333333333334E-2</v>
      </c>
      <c r="K63" s="47">
        <f t="shared" si="15"/>
        <v>0.02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4"/>
        <v>0.36199999999999999</v>
      </c>
      <c r="H64" s="55">
        <f t="shared" si="15"/>
        <v>0.36199999999999999</v>
      </c>
      <c r="I64" s="47">
        <f t="shared" si="15"/>
        <v>0.23930000000000012</v>
      </c>
      <c r="J64" s="47">
        <f t="shared" si="15"/>
        <v>0.20499999999999996</v>
      </c>
      <c r="K64" s="47">
        <f t="shared" si="15"/>
        <v>0.20274999999999999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4"/>
        <v>0.107</v>
      </c>
      <c r="H65" s="55">
        <f t="shared" si="15"/>
        <v>0.107</v>
      </c>
      <c r="I65" s="47">
        <f t="shared" si="15"/>
        <v>0.31</v>
      </c>
      <c r="J65" s="47">
        <f t="shared" si="15"/>
        <v>0.48</v>
      </c>
      <c r="K65" s="47">
        <f t="shared" si="15"/>
        <v>0.56000000000000005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6">SUM(G59:G65)</f>
        <v>1.0010000000000001</v>
      </c>
      <c r="H66" s="149">
        <v>1</v>
      </c>
      <c r="I66" s="155">
        <f t="shared" ref="I66:J66" si="17">SUM(I59:I65)</f>
        <v>1</v>
      </c>
      <c r="J66" s="155">
        <f t="shared" si="17"/>
        <v>0.99999999999999989</v>
      </c>
      <c r="K66" s="155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-0.12775789319576933</v>
      </c>
      <c r="J69" s="142">
        <f>(I$101*(J59-I59)+I$102*(J60-I60)+I$103*(J61-I61)+I$104*(J62-I62)+I$105*(J63-I63)+I$106*(J64-I64)+I$107*(J65-I65))/(I$101*I59+I$102*I60+I$103*I61+I$104*I62+I$105*I63+I$106*I64+I$107*I65)</f>
        <v>-0.17489587951489086</v>
      </c>
      <c r="K69" s="142">
        <f>(J$101*(K59-J59)+J$102*(K60-J60)+J$103*(K61-J61)+J$104*(K62-J62)+J$105*(K63-J63)+J$106*(K64-J64)+J$107*(K65-J65))/(J$101*J59+J$102*J60+J$103*J61+J$104*J62+J$105*J63+J$106*J64+J$107*J65)</f>
        <v>-0.12156444811581402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bord'!F12</f>
        <v>0.61</v>
      </c>
      <c r="G73" s="92">
        <f>'Tableau de bord'!F25</f>
        <v>0.9</v>
      </c>
      <c r="H73" s="92">
        <f>'Tableau de bord'!F28</f>
        <v>0.70649999999999991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266.07905424765579</v>
      </c>
      <c r="H81" s="54">
        <f>'Init. énergie'!D12</f>
        <v>213.18589628380153</v>
      </c>
      <c r="I81" s="81">
        <f>G81*(1-F$77)/(1+I$55)</f>
        <v>195.99580325292507</v>
      </c>
      <c r="J81" s="81">
        <f>G81*(1-G$77)/(1+I$55)/(1+J$55)</f>
        <v>183.25179815053519</v>
      </c>
      <c r="K81" s="81">
        <f>G81*(1-H$77)/(1+I$55)/(1+J$55)/(1+K$55)</f>
        <v>166.26502517684099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8">H82/F82^10</f>
        <v>191.633781588989</v>
      </c>
      <c r="H82" s="54">
        <f>'Init. énergie'!D13</f>
        <v>158.46053551606883</v>
      </c>
      <c r="I82" s="81">
        <f t="shared" ref="I82:I87" si="19">G82*(1-F$77)/(1+I$55)</f>
        <v>141.15886370360701</v>
      </c>
      <c r="J82" s="81">
        <f t="shared" ref="J82:J87" si="20">G82*(1-G$77)/(1+I$55)/(1+J$55)</f>
        <v>131.98045656718034</v>
      </c>
      <c r="K82" s="81">
        <f t="shared" ref="K82:K87" si="21">G82*(1-H$77)/(1+I$55)/(1+J$55)/(1+K$55)</f>
        <v>119.74634986101022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8"/>
        <v>158.84994133294822</v>
      </c>
      <c r="H83" s="54">
        <f>'Init. énergie'!D14</f>
        <v>140.53752265291996</v>
      </c>
      <c r="I83" s="81">
        <f t="shared" si="19"/>
        <v>117.0100440121566</v>
      </c>
      <c r="J83" s="81">
        <f t="shared" si="20"/>
        <v>109.40183723847646</v>
      </c>
      <c r="K83" s="81">
        <f t="shared" si="21"/>
        <v>99.260686151116076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8"/>
        <v>150.79788503201149</v>
      </c>
      <c r="H84" s="54">
        <f>'Init. énergie'!D15</f>
        <v>133.41371741069062</v>
      </c>
      <c r="I84" s="81">
        <f t="shared" si="19"/>
        <v>111.07883966763509</v>
      </c>
      <c r="J84" s="81">
        <f t="shared" si="20"/>
        <v>103.85629063343397</v>
      </c>
      <c r="K84" s="81">
        <f t="shared" si="21"/>
        <v>94.229191479782401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8"/>
        <v>133.22597929974629</v>
      </c>
      <c r="H85" s="54">
        <f>'Init. énergie'!D16</f>
        <v>117.86752281231102</v>
      </c>
      <c r="I85" s="81">
        <f t="shared" si="19"/>
        <v>98.135243681028641</v>
      </c>
      <c r="J85" s="81">
        <f t="shared" si="20"/>
        <v>91.754310898598575</v>
      </c>
      <c r="K85" s="81">
        <f t="shared" si="21"/>
        <v>83.249021104323802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8"/>
        <v>64.229095385544738</v>
      </c>
      <c r="H86" s="54">
        <f>'Init. énergie'!D17</f>
        <v>48</v>
      </c>
      <c r="I86" s="81">
        <f t="shared" si="19"/>
        <v>47.311627658528828</v>
      </c>
      <c r="J86" s="81">
        <f t="shared" si="20"/>
        <v>44.235339216247283</v>
      </c>
      <c r="K86" s="81">
        <f t="shared" si="21"/>
        <v>40.13488469266612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8"/>
        <v>61.55279336006403</v>
      </c>
      <c r="H87" s="54">
        <f>'Init. énergie'!D18</f>
        <v>45.999932951694888</v>
      </c>
      <c r="I87" s="81">
        <f t="shared" si="19"/>
        <v>45.340243752664158</v>
      </c>
      <c r="J87" s="81">
        <f t="shared" si="20"/>
        <v>42.392138292559466</v>
      </c>
      <c r="K87" s="81">
        <f t="shared" si="21"/>
        <v>38.462541768471809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2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2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2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2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2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2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3">G81</f>
        <v>266.07905424765579</v>
      </c>
      <c r="H101" s="54">
        <f t="shared" si="23"/>
        <v>213.18589628380153</v>
      </c>
      <c r="I101" s="81">
        <f>$H101*(1+$G91)^(I$100-$H$100)</f>
        <v>198.1120241581049</v>
      </c>
      <c r="J101" s="81">
        <f>$H101*(1+$G91)^(J$100-$H$100)</f>
        <v>184.10398999271766</v>
      </c>
      <c r="K101" s="81">
        <f>$H101*(1+$G91)^(K$100-$H$100)</f>
        <v>171.08643089825321</v>
      </c>
      <c r="L101" s="67"/>
      <c r="M101" s="79">
        <f>(K101-G101)/H101</f>
        <v>-0.44558587132304767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3"/>
        <v>191.633781588989</v>
      </c>
      <c r="H102" s="54">
        <f t="shared" si="23"/>
        <v>158.46053551606883</v>
      </c>
      <c r="I102" s="81">
        <f t="shared" ref="I102:K107" si="24">$H102*(1+$G92)^(I$100-$H$100)</f>
        <v>148.79149724390919</v>
      </c>
      <c r="J102" s="81">
        <f t="shared" si="24"/>
        <v>139.71245004305325</v>
      </c>
      <c r="K102" s="81">
        <f t="shared" si="24"/>
        <v>131.18739349087164</v>
      </c>
      <c r="L102" s="67"/>
      <c r="M102" s="79">
        <f t="shared" ref="M102:M107" si="25">(K102-G102)/H102</f>
        <v>-0.38146020333237945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3"/>
        <v>158.84994133294822</v>
      </c>
      <c r="H103" s="54">
        <f t="shared" si="23"/>
        <v>140.53752265291996</v>
      </c>
      <c r="I103" s="81">
        <f t="shared" si="24"/>
        <v>134.93760632490702</v>
      </c>
      <c r="J103" s="81">
        <f t="shared" si="24"/>
        <v>129.5608265819767</v>
      </c>
      <c r="K103" s="81">
        <f t="shared" si="24"/>
        <v>124.39829223135293</v>
      </c>
      <c r="L103" s="67"/>
      <c r="M103" s="79">
        <f t="shared" si="25"/>
        <v>-0.2451419980319362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3"/>
        <v>150.79788503201149</v>
      </c>
      <c r="H104" s="54">
        <f t="shared" si="23"/>
        <v>133.41371741069062</v>
      </c>
      <c r="I104" s="81">
        <f t="shared" si="24"/>
        <v>128.09765917651976</v>
      </c>
      <c r="J104" s="81">
        <f t="shared" si="24"/>
        <v>122.99342680027097</v>
      </c>
      <c r="K104" s="81">
        <f t="shared" si="24"/>
        <v>118.0925797810867</v>
      </c>
      <c r="L104" s="67"/>
      <c r="M104" s="79">
        <f t="shared" si="25"/>
        <v>-0.24514199803193606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3"/>
        <v>133.22597929974629</v>
      </c>
      <c r="H105" s="54">
        <f t="shared" si="23"/>
        <v>117.86752281231102</v>
      </c>
      <c r="I105" s="81">
        <f t="shared" si="24"/>
        <v>113.17092468620633</v>
      </c>
      <c r="J105" s="81">
        <f>$H105*(1+$G95)^(J$100-$H$100)</f>
        <v>108.66146915402257</v>
      </c>
      <c r="K105" s="81">
        <f>$H105*(1+$G95)^(K$100-$H$100)</f>
        <v>104.33169925446155</v>
      </c>
      <c r="L105" s="67"/>
      <c r="M105" s="79">
        <f t="shared" si="25"/>
        <v>-0.24514199803193609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3"/>
        <v>64.229095385544738</v>
      </c>
      <c r="H106" s="54">
        <f t="shared" si="23"/>
        <v>48</v>
      </c>
      <c r="I106" s="81">
        <f t="shared" si="24"/>
        <v>43.599923315646762</v>
      </c>
      <c r="J106" s="81">
        <f t="shared" si="24"/>
        <v>39.603194023547459</v>
      </c>
      <c r="K106" s="81">
        <f t="shared" si="24"/>
        <v>35.972837968361439</v>
      </c>
      <c r="L106" s="67"/>
      <c r="M106" s="79">
        <f t="shared" si="25"/>
        <v>-0.58867202952465203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3"/>
        <v>61.55279336006403</v>
      </c>
      <c r="H107" s="54">
        <f t="shared" si="23"/>
        <v>45.999932951694888</v>
      </c>
      <c r="I107" s="81">
        <f t="shared" si="24"/>
        <v>41.783198942058114</v>
      </c>
      <c r="J107" s="81">
        <f t="shared" si="24"/>
        <v>37.953005619919722</v>
      </c>
      <c r="K107" s="81">
        <f t="shared" si="24"/>
        <v>34.473919471391881</v>
      </c>
      <c r="L107" s="67"/>
      <c r="M107" s="79">
        <f t="shared" si="25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6">G$36*G45*$H$73*G81/1000</f>
        <v>1011.2663062551306</v>
      </c>
      <c r="H111" s="54">
        <f t="shared" si="26"/>
        <v>810.23932714353725</v>
      </c>
      <c r="I111" s="125">
        <f t="shared" si="26"/>
        <v>90.431619431611324</v>
      </c>
      <c r="J111" s="125">
        <f t="shared" si="26"/>
        <v>0</v>
      </c>
      <c r="K111" s="125">
        <f t="shared" si="26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6"/>
        <v>3140.9138685379444</v>
      </c>
      <c r="H112" s="54">
        <f t="shared" si="26"/>
        <v>2597.1981009373758</v>
      </c>
      <c r="I112" s="125">
        <f t="shared" si="26"/>
        <v>1932.409821218137</v>
      </c>
      <c r="J112" s="125">
        <f t="shared" si="26"/>
        <v>868.5437529610723</v>
      </c>
      <c r="K112" s="125">
        <f t="shared" si="26"/>
        <v>97.58286486360646</v>
      </c>
      <c r="L112" s="46"/>
      <c r="M112" s="79">
        <f t="shared" ref="M112:M118" si="27">(K112-G112)/H112</f>
        <v>-1.171774691570868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6"/>
        <v>498.076276416165</v>
      </c>
      <c r="H113" s="54">
        <f t="shared" si="26"/>
        <v>440.65742418502197</v>
      </c>
      <c r="I113" s="125">
        <f t="shared" si="26"/>
        <v>593.86723356220989</v>
      </c>
      <c r="J113" s="125">
        <f t="shared" si="26"/>
        <v>782.56219311148845</v>
      </c>
      <c r="K113" s="125">
        <f t="shared" si="26"/>
        <v>937.84150588363502</v>
      </c>
      <c r="L113" s="46"/>
      <c r="M113" s="79">
        <f t="shared" si="27"/>
        <v>0.99797530991517502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6"/>
        <v>100.29704746303433</v>
      </c>
      <c r="H114" s="54">
        <f t="shared" si="26"/>
        <v>88.734679166881932</v>
      </c>
      <c r="I114" s="125">
        <f t="shared" si="26"/>
        <v>47.834544973639503</v>
      </c>
      <c r="J114" s="125">
        <f t="shared" si="26"/>
        <v>23.112268610485735</v>
      </c>
      <c r="K114" s="125">
        <f t="shared" si="26"/>
        <v>0</v>
      </c>
      <c r="L114" s="46"/>
      <c r="M114" s="79">
        <f t="shared" si="27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6"/>
        <v>170.89035333149135</v>
      </c>
      <c r="H115" s="54">
        <f t="shared" si="26"/>
        <v>151.18990099059312</v>
      </c>
      <c r="I115" s="125">
        <f t="shared" si="26"/>
        <v>111.68864091228944</v>
      </c>
      <c r="J115" s="125">
        <f t="shared" si="26"/>
        <v>97.719900031728812</v>
      </c>
      <c r="K115" s="125">
        <f t="shared" si="26"/>
        <v>78.65590128699678</v>
      </c>
      <c r="L115" s="46"/>
      <c r="M115" s="79">
        <f t="shared" si="27"/>
        <v>-0.61005696438833779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6"/>
        <v>1104.6005069172891</v>
      </c>
      <c r="H116" s="54">
        <f t="shared" si="26"/>
        <v>825.49542405609884</v>
      </c>
      <c r="I116" s="125">
        <f t="shared" si="26"/>
        <v>522.37709264074681</v>
      </c>
      <c r="J116" s="125">
        <f t="shared" si="26"/>
        <v>432.44035100317865</v>
      </c>
      <c r="K116" s="125">
        <f t="shared" si="26"/>
        <v>384.41919341712349</v>
      </c>
      <c r="L116" s="46"/>
      <c r="M116" s="79">
        <f t="shared" si="27"/>
        <v>-0.8724231443483127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6"/>
        <v>312.89340299588929</v>
      </c>
      <c r="H117" s="54">
        <f t="shared" si="26"/>
        <v>233.83301996781358</v>
      </c>
      <c r="I117" s="125">
        <f t="shared" si="26"/>
        <v>648.51358854492719</v>
      </c>
      <c r="J117" s="125">
        <f t="shared" si="26"/>
        <v>970.35254398798122</v>
      </c>
      <c r="K117" s="125">
        <f t="shared" si="26"/>
        <v>1017.5322635242597</v>
      </c>
      <c r="L117" s="46"/>
      <c r="M117" s="79">
        <f t="shared" si="27"/>
        <v>3.0134275331403662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6338.9377619169436</v>
      </c>
      <c r="H118" s="146">
        <f>SUM(H111:H117)</f>
        <v>5147.347876447323</v>
      </c>
      <c r="I118" s="144">
        <f t="shared" ref="I118:J118" si="28">SUM(I111:I117)</f>
        <v>3947.1225412835611</v>
      </c>
      <c r="J118" s="144">
        <f t="shared" si="28"/>
        <v>3174.7310097059353</v>
      </c>
      <c r="K118" s="144">
        <f>SUM(K111:K117)</f>
        <v>2516.0317289756217</v>
      </c>
      <c r="L118" s="21"/>
      <c r="M118" s="79">
        <f t="shared" si="27"/>
        <v>-0.74269432039628824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9">G$36*G45*(1-$H$73)*G101/1000</f>
        <v>420.10850797718473</v>
      </c>
      <c r="H122" s="147">
        <f t="shared" si="29"/>
        <v>336.59623852318231</v>
      </c>
      <c r="I122" s="143">
        <f t="shared" ref="I122:I128" si="30">I$36*I59*(1-$H$73)*I101/1000</f>
        <v>37.973472282405901</v>
      </c>
      <c r="J122" s="143">
        <f t="shared" ref="J122:K122" si="31">J$36*J59*(1-$H$73)*J101/1000</f>
        <v>0</v>
      </c>
      <c r="K122" s="143">
        <f t="shared" si="31"/>
        <v>0</v>
      </c>
      <c r="L122" s="46"/>
      <c r="M122" s="79">
        <f>(K122-G122)/H122</f>
        <v>-1.2481081482681236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9"/>
        <v>1304.8240911760608</v>
      </c>
      <c r="H123" s="147">
        <f t="shared" si="29"/>
        <v>1078.9492464615996</v>
      </c>
      <c r="I123" s="143">
        <f t="shared" si="30"/>
        <v>846.18463605653517</v>
      </c>
      <c r="J123" s="143">
        <f t="shared" ref="J123:K123" si="32">J$36*J60*(1-$H$73)*J102/1000</f>
        <v>381.95581180022458</v>
      </c>
      <c r="K123" s="143">
        <f t="shared" si="32"/>
        <v>44.411896885768975</v>
      </c>
      <c r="L123" s="46"/>
      <c r="M123" s="79">
        <f t="shared" ref="M123:M129" si="33">(K123-G123)/H123</f>
        <v>-1.1681848784118416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9"/>
        <v>206.91491454797523</v>
      </c>
      <c r="H124" s="147">
        <f t="shared" si="29"/>
        <v>183.06150601316915</v>
      </c>
      <c r="I124" s="143">
        <f t="shared" si="30"/>
        <v>284.50844530759741</v>
      </c>
      <c r="J124" s="143">
        <f t="shared" ref="J124:K124" si="34">J$36*J61*(1-$H$73)*J103/1000</f>
        <v>385.00280770298173</v>
      </c>
      <c r="K124" s="143">
        <f t="shared" si="34"/>
        <v>488.27280239792998</v>
      </c>
      <c r="L124" s="46"/>
      <c r="M124" s="79">
        <f t="shared" si="33"/>
        <v>1.5369582277429441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9"/>
        <v>41.666218585138843</v>
      </c>
      <c r="H125" s="147">
        <f t="shared" si="29"/>
        <v>36.862885117452031</v>
      </c>
      <c r="I125" s="143">
        <f t="shared" si="30"/>
        <v>22.916455485872319</v>
      </c>
      <c r="J125" s="143">
        <f t="shared" ref="J125:K125" si="35">J$36*J62*(1-$H$73)*J104/1000</f>
        <v>11.37071070612633</v>
      </c>
      <c r="K125" s="143">
        <f t="shared" si="35"/>
        <v>0</v>
      </c>
      <c r="L125" s="46"/>
      <c r="M125" s="79">
        <f t="shared" si="33"/>
        <v>-1.1303027001924157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9"/>
        <v>70.992666245991146</v>
      </c>
      <c r="H126" s="147">
        <f t="shared" si="29"/>
        <v>62.808543440536596</v>
      </c>
      <c r="I126" s="143">
        <f t="shared" si="30"/>
        <v>53.507517823249785</v>
      </c>
      <c r="J126" s="143">
        <f t="shared" ref="J126:K126" si="36">J$36*J63*(1-$H$73)*J105/1000</f>
        <v>48.075969184100856</v>
      </c>
      <c r="K126" s="143">
        <f t="shared" si="36"/>
        <v>40.950989165649197</v>
      </c>
      <c r="L126" s="46"/>
      <c r="M126" s="79">
        <f t="shared" si="33"/>
        <v>-0.47830558447488319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9"/>
        <v>458.88216387859097</v>
      </c>
      <c r="H127" s="147">
        <f t="shared" si="29"/>
        <v>342.93405089945526</v>
      </c>
      <c r="I127" s="143">
        <f t="shared" si="30"/>
        <v>199.98521969476769</v>
      </c>
      <c r="J127" s="143">
        <f t="shared" ref="J127:K127" si="37">J$36*J64*(1-$H$73)*J106/1000</f>
        <v>160.83590313218542</v>
      </c>
      <c r="K127" s="143">
        <f t="shared" si="37"/>
        <v>143.13758463799644</v>
      </c>
      <c r="L127" s="46"/>
      <c r="M127" s="79">
        <f t="shared" si="33"/>
        <v>-0.92071515911719015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9"/>
        <v>129.9847328793964</v>
      </c>
      <c r="H128" s="147">
        <f t="shared" si="29"/>
        <v>97.140822874102369</v>
      </c>
      <c r="I128" s="143">
        <f t="shared" si="30"/>
        <v>248.27492305332191</v>
      </c>
      <c r="J128" s="143">
        <f t="shared" ref="J128:K128" si="38">J$36*J65*(1-$H$73)*J107/1000</f>
        <v>360.89954928321094</v>
      </c>
      <c r="K128" s="143">
        <f t="shared" si="38"/>
        <v>378.87575070700973</v>
      </c>
      <c r="L128" s="46"/>
      <c r="M128" s="79">
        <f t="shared" si="33"/>
        <v>2.5621670731591815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2633.3732952903379</v>
      </c>
      <c r="H129" s="148">
        <f>SUM(H122:H128)</f>
        <v>2138.3532933294973</v>
      </c>
      <c r="I129" s="145">
        <f t="shared" ref="I129:K129" si="39">SUM(I122:I128)</f>
        <v>1693.3506697037501</v>
      </c>
      <c r="J129" s="145">
        <f t="shared" si="39"/>
        <v>1348.1407518088299</v>
      </c>
      <c r="K129" s="145">
        <f t="shared" si="39"/>
        <v>1095.6490237943542</v>
      </c>
      <c r="L129" s="21"/>
      <c r="M129" s="79">
        <f t="shared" si="33"/>
        <v>-0.71911609568580159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1146.8355656667195</v>
      </c>
      <c r="I133" s="143">
        <f t="shared" ref="I133:K133" si="40">I111+I122</f>
        <v>128.40509171401723</v>
      </c>
      <c r="J133" s="143">
        <f t="shared" si="40"/>
        <v>0</v>
      </c>
      <c r="K133" s="143">
        <f t="shared" si="40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1">H112+H123</f>
        <v>3676.1473473989754</v>
      </c>
      <c r="I134" s="143">
        <f t="shared" si="41"/>
        <v>2778.5944572746721</v>
      </c>
      <c r="J134" s="143">
        <f t="shared" si="41"/>
        <v>1250.4995647612968</v>
      </c>
      <c r="K134" s="143">
        <f t="shared" si="41"/>
        <v>141.99476174937544</v>
      </c>
      <c r="L134" s="46"/>
      <c r="M134" s="79">
        <f t="shared" ref="M134:M140" si="42">(K134-G134)/H134</f>
        <v>3.8625971249450199E-2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1"/>
        <v>623.71893019819117</v>
      </c>
      <c r="I135" s="143">
        <f t="shared" si="41"/>
        <v>878.3756788698073</v>
      </c>
      <c r="J135" s="143">
        <f t="shared" si="41"/>
        <v>1167.5650008144703</v>
      </c>
      <c r="K135" s="143">
        <f t="shared" si="41"/>
        <v>1426.1143082815649</v>
      </c>
      <c r="L135" s="46"/>
      <c r="M135" s="79">
        <f t="shared" si="42"/>
        <v>2.2864694964900405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1"/>
        <v>125.59756428433397</v>
      </c>
      <c r="I136" s="143">
        <f t="shared" si="41"/>
        <v>70.751000459511829</v>
      </c>
      <c r="J136" s="143">
        <f t="shared" si="41"/>
        <v>34.482979316612067</v>
      </c>
      <c r="K136" s="143">
        <f t="shared" si="41"/>
        <v>0</v>
      </c>
      <c r="L136" s="46"/>
      <c r="M136" s="79">
        <f t="shared" si="42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1"/>
        <v>213.99844443112971</v>
      </c>
      <c r="I137" s="143">
        <f t="shared" si="41"/>
        <v>165.19615873553923</v>
      </c>
      <c r="J137" s="143">
        <f t="shared" si="41"/>
        <v>145.79586921582967</v>
      </c>
      <c r="K137" s="143">
        <f t="shared" si="41"/>
        <v>119.60689045264598</v>
      </c>
      <c r="L137" s="46"/>
      <c r="M137" s="79">
        <f t="shared" si="42"/>
        <v>0.55891476580867672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1"/>
        <v>1168.429474955554</v>
      </c>
      <c r="I138" s="143">
        <f t="shared" si="41"/>
        <v>722.3623123355145</v>
      </c>
      <c r="J138" s="143">
        <f t="shared" si="41"/>
        <v>593.27625413536407</v>
      </c>
      <c r="K138" s="143">
        <f t="shared" si="41"/>
        <v>527.55677805511993</v>
      </c>
      <c r="L138" s="46"/>
      <c r="M138" s="79">
        <f t="shared" si="42"/>
        <v>0.45150930318253713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1"/>
        <v>330.97384284191594</v>
      </c>
      <c r="I139" s="143">
        <f t="shared" si="41"/>
        <v>896.7885115982491</v>
      </c>
      <c r="J139" s="143">
        <f t="shared" si="41"/>
        <v>1331.2520932711923</v>
      </c>
      <c r="K139" s="143">
        <f t="shared" si="41"/>
        <v>1396.4080142312696</v>
      </c>
      <c r="L139" s="46"/>
      <c r="M139" s="79">
        <f t="shared" si="42"/>
        <v>4.2190887420014045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7285.7011697768185</v>
      </c>
      <c r="I140" s="145">
        <f t="shared" ref="I140:K140" si="43">SUM(I133:I139)</f>
        <v>5640.4732109873112</v>
      </c>
      <c r="J140" s="145">
        <f t="shared" si="43"/>
        <v>4522.8717615147652</v>
      </c>
      <c r="K140" s="145">
        <f t="shared" si="43"/>
        <v>3611.6807527699757</v>
      </c>
      <c r="L140" s="21"/>
      <c r="M140" s="79">
        <f t="shared" si="42"/>
        <v>0.49572178004668449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énergie'!C12</f>
        <v>0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énergie'!C13</f>
        <v>0.38923402073260943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énergie'!C14</f>
        <v>6.6076657693018501E-2</v>
      </c>
      <c r="I148" s="47">
        <v>0.3</v>
      </c>
      <c r="J148" s="47">
        <v>0.3</v>
      </c>
      <c r="K148" s="47">
        <v>0.3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énergie'!C15</f>
        <v>1.4740928196769911E-2</v>
      </c>
      <c r="I149" s="47">
        <v>0</v>
      </c>
      <c r="J149" s="47">
        <v>0</v>
      </c>
      <c r="K149" s="47"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énergie'!C16</f>
        <v>2.5736644706610589E-2</v>
      </c>
      <c r="I150" s="47">
        <v>0.06</v>
      </c>
      <c r="J150" s="47">
        <v>0.06</v>
      </c>
      <c r="K150" s="47">
        <v>0.09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énergie'!C17</f>
        <v>8.0042733231366181E-2</v>
      </c>
      <c r="I151" s="47">
        <f>1-I146-I147-I148-I149-I150-I152</f>
        <v>3.9999999999999925E-2</v>
      </c>
      <c r="J151" s="47">
        <f t="shared" ref="J151:K151" si="44">1-J146-J147-J148-J149-J150-J152</f>
        <v>3.9999999999999925E-2</v>
      </c>
      <c r="K151" s="47">
        <f t="shared" si="44"/>
        <v>1.0000000000000009E-2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énergie'!C18</f>
        <v>0.42416901543962537</v>
      </c>
      <c r="I152" s="47">
        <v>0.6</v>
      </c>
      <c r="J152" s="47">
        <v>0.6</v>
      </c>
      <c r="K152" s="47">
        <v>0.6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5">SUM(I146:I152)</f>
        <v>0.99999999999999989</v>
      </c>
      <c r="J153" s="15">
        <f t="shared" si="45"/>
        <v>0.99999999999999989</v>
      </c>
      <c r="K153" s="15">
        <f t="shared" si="45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166.26502517684099</v>
      </c>
      <c r="J157" s="45">
        <f>K157</f>
        <v>166.26502517684099</v>
      </c>
      <c r="K157" s="45">
        <f t="shared" ref="K157:K163" si="46">K81</f>
        <v>166.26502517684099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7">J158</f>
        <v>119.74634986101022</v>
      </c>
      <c r="J158" s="45">
        <f t="shared" si="47"/>
        <v>119.74634986101022</v>
      </c>
      <c r="K158" s="45">
        <f t="shared" si="46"/>
        <v>119.74634986101022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7"/>
        <v>99.260686151116076</v>
      </c>
      <c r="J159" s="45">
        <f t="shared" si="47"/>
        <v>99.260686151116076</v>
      </c>
      <c r="K159" s="45">
        <f t="shared" si="46"/>
        <v>99.260686151116076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7"/>
        <v>94.229191479782401</v>
      </c>
      <c r="J160" s="45">
        <f t="shared" si="47"/>
        <v>94.229191479782401</v>
      </c>
      <c r="K160" s="45">
        <f t="shared" si="46"/>
        <v>94.229191479782401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7"/>
        <v>83.249021104323802</v>
      </c>
      <c r="J161" s="45">
        <f t="shared" si="47"/>
        <v>83.249021104323802</v>
      </c>
      <c r="K161" s="45">
        <f t="shared" si="46"/>
        <v>83.249021104323802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7"/>
        <v>40.13488469266612</v>
      </c>
      <c r="J162" s="45">
        <f t="shared" si="47"/>
        <v>40.13488469266612</v>
      </c>
      <c r="K162" s="45">
        <f t="shared" si="46"/>
        <v>40.13488469266612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7"/>
        <v>38.462541768471809</v>
      </c>
      <c r="J163" s="45">
        <f t="shared" si="47"/>
        <v>38.462541768471809</v>
      </c>
      <c r="K163" s="45">
        <f t="shared" si="46"/>
        <v>38.462541768471809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8">I$35*I146*I157/1000</f>
        <v>0</v>
      </c>
      <c r="J167" s="10">
        <f t="shared" si="48"/>
        <v>0</v>
      </c>
      <c r="K167" s="10">
        <f t="shared" si="48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9">H$35*H147*H158/1000</f>
        <v>0</v>
      </c>
      <c r="I168" s="10">
        <f t="shared" si="49"/>
        <v>0</v>
      </c>
      <c r="J168" s="10">
        <f t="shared" si="49"/>
        <v>0</v>
      </c>
      <c r="K168" s="10">
        <f t="shared" si="49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9"/>
        <v>0</v>
      </c>
      <c r="I169" s="10">
        <f t="shared" si="49"/>
        <v>124.84003381558522</v>
      </c>
      <c r="J169" s="10">
        <f t="shared" si="49"/>
        <v>86.427496612577386</v>
      </c>
      <c r="K169" s="10">
        <f t="shared" si="49"/>
        <v>60.376217818655007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9"/>
        <v>0</v>
      </c>
      <c r="I170" s="10">
        <f t="shared" si="49"/>
        <v>0</v>
      </c>
      <c r="J170" s="10">
        <f t="shared" si="49"/>
        <v>0</v>
      </c>
      <c r="K170" s="10">
        <f t="shared" si="49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9"/>
        <v>0</v>
      </c>
      <c r="I171" s="10">
        <f t="shared" si="49"/>
        <v>20.940436768603369</v>
      </c>
      <c r="J171" s="10">
        <f t="shared" si="49"/>
        <v>14.497188702767051</v>
      </c>
      <c r="K171" s="10">
        <f t="shared" si="49"/>
        <v>15.191092948115633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9"/>
        <v>0</v>
      </c>
      <c r="I172" s="10">
        <f t="shared" si="49"/>
        <v>6.730345526175479</v>
      </c>
      <c r="J172" s="10">
        <f t="shared" si="49"/>
        <v>4.6594581672757265</v>
      </c>
      <c r="K172" s="10">
        <f t="shared" si="49"/>
        <v>0.81374699097616798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9"/>
        <v>0</v>
      </c>
      <c r="I173" s="10">
        <f t="shared" si="49"/>
        <v>96.748575920566324</v>
      </c>
      <c r="J173" s="10">
        <f t="shared" si="49"/>
        <v>66.979613526847189</v>
      </c>
      <c r="K173" s="10">
        <f t="shared" si="49"/>
        <v>46.790383780683939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0">SUM(I167:I173)</f>
        <v>249.25939203093037</v>
      </c>
      <c r="J174" s="11">
        <f t="shared" si="50"/>
        <v>172.56375700946734</v>
      </c>
      <c r="K174" s="11">
        <f t="shared" si="50"/>
        <v>123.17144153843076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1">H$36*($H$73*H45+(1-$H$73)*H59)+H$35*H146</f>
        <v>5379.5095532023679</v>
      </c>
      <c r="I181" s="10">
        <f t="shared" si="51"/>
        <v>653.07245975876742</v>
      </c>
      <c r="J181" s="10">
        <f t="shared" si="51"/>
        <v>0</v>
      </c>
      <c r="K181" s="10">
        <f t="shared" si="51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1"/>
        <v>23199.134948185208</v>
      </c>
      <c r="I182" s="10">
        <f t="shared" si="51"/>
        <v>19376.659881042626</v>
      </c>
      <c r="J182" s="10">
        <f t="shared" si="51"/>
        <v>9314.7222263551648</v>
      </c>
      <c r="K182" s="10">
        <f t="shared" si="51"/>
        <v>1153.450904406054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1"/>
        <v>4438.0953813919532</v>
      </c>
      <c r="I183" s="10">
        <f t="shared" si="51"/>
        <v>8441.4957360108892</v>
      </c>
      <c r="J183" s="10">
        <f t="shared" si="51"/>
        <v>10995.410334591297</v>
      </c>
      <c r="K183" s="10">
        <f t="shared" si="51"/>
        <v>13981.602941314062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1"/>
        <v>941.41417181041436</v>
      </c>
      <c r="I184" s="10">
        <f t="shared" si="51"/>
        <v>609.53429577484951</v>
      </c>
      <c r="J184" s="10">
        <f t="shared" si="51"/>
        <v>314.99060668833891</v>
      </c>
      <c r="K184" s="10">
        <f t="shared" si="51"/>
        <v>0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1"/>
        <v>1815.5844742057991</v>
      </c>
      <c r="I185" s="10">
        <f t="shared" si="51"/>
        <v>1862.4518031378493</v>
      </c>
      <c r="J185" s="10">
        <f t="shared" si="51"/>
        <v>1681.597498787417</v>
      </c>
      <c r="K185" s="10">
        <f t="shared" si="51"/>
        <v>1519.8121185540931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1"/>
        <v>24342.280728240712</v>
      </c>
      <c r="I186" s="10">
        <f t="shared" si="51"/>
        <v>15795.717119182571</v>
      </c>
      <c r="J186" s="10">
        <f t="shared" si="51"/>
        <v>13953.182333566559</v>
      </c>
      <c r="K186" s="10">
        <f t="shared" si="51"/>
        <v>13577.502600785081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1"/>
        <v>7195.0940274081649</v>
      </c>
      <c r="I187" s="10">
        <f t="shared" si="51"/>
        <v>22760.643609850686</v>
      </c>
      <c r="J187" s="10">
        <f t="shared" si="51"/>
        <v>34140.458355732808</v>
      </c>
      <c r="K187" s="10">
        <f t="shared" si="51"/>
        <v>38661.88093798863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67311.113284444626</v>
      </c>
      <c r="I188" s="10">
        <f t="shared" ref="I188:K188" si="52">SUM(I181:I187)</f>
        <v>69499.574904758236</v>
      </c>
      <c r="J188" s="10">
        <f t="shared" si="52"/>
        <v>70400.361355721587</v>
      </c>
      <c r="K188" s="10">
        <f t="shared" si="52"/>
        <v>68894.249503047919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GB1593"/>
  <sheetViews>
    <sheetView showGridLines="0" topLeftCell="A25" zoomScale="115" zoomScaleNormal="115" workbookViewId="0">
      <selection activeCell="I52" sqref="I5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236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184229.64520786435</v>
      </c>
      <c r="I7" s="10">
        <f t="shared" si="0"/>
        <v>187867.27447352451</v>
      </c>
      <c r="J7" s="10">
        <f t="shared" si="0"/>
        <v>187726.8956963571</v>
      </c>
      <c r="K7" s="10">
        <f t="shared" si="0"/>
        <v>181190.51804162841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12185.884803305064</v>
      </c>
      <c r="J8" s="76">
        <f t="shared" si="0"/>
        <v>8717.0415355715377</v>
      </c>
      <c r="K8" s="76">
        <f t="shared" si="0"/>
        <v>8710.5279603109702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184229.64520786435</v>
      </c>
      <c r="I9" s="96">
        <f t="shared" si="1"/>
        <v>175681.38967021945</v>
      </c>
      <c r="J9" s="96">
        <f t="shared" si="1"/>
        <v>179009.85416078556</v>
      </c>
      <c r="K9" s="96">
        <f t="shared" si="1"/>
        <v>172479.99008131743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3430.6717540831437</v>
      </c>
      <c r="I13" s="86">
        <f t="shared" ref="I13:K13" si="2">I133+I167</f>
        <v>333.91226727614531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7861.9618349850271</v>
      </c>
      <c r="I14" s="86">
        <f t="shared" si="3"/>
        <v>5770.6887971941915</v>
      </c>
      <c r="J14" s="86">
        <f t="shared" si="3"/>
        <v>2541.9513461619258</v>
      </c>
      <c r="K14" s="86">
        <f t="shared" si="3"/>
        <v>278.77164391379983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392.69537442242785</v>
      </c>
      <c r="I15" s="86">
        <f t="shared" si="3"/>
        <v>1769.1924113475111</v>
      </c>
      <c r="J15" s="86">
        <f t="shared" si="3"/>
        <v>1631.4828221783885</v>
      </c>
      <c r="K15" s="86">
        <f t="shared" si="3"/>
        <v>1507.8880410444142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159.09604448839201</v>
      </c>
      <c r="I16" s="86">
        <f t="shared" si="3"/>
        <v>94.112804410790929</v>
      </c>
      <c r="J16" s="86">
        <f t="shared" si="3"/>
        <v>45.23585092468246</v>
      </c>
      <c r="K16" s="86">
        <f t="shared" si="3"/>
        <v>4.2784662795744683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142.21438786032849</v>
      </c>
      <c r="I17" s="86">
        <f t="shared" si="3"/>
        <v>214.62415926507288</v>
      </c>
      <c r="J17" s="86">
        <f t="shared" si="3"/>
        <v>279.15034734216448</v>
      </c>
      <c r="K17" s="86">
        <f t="shared" si="3"/>
        <v>326.7855331934486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2654.7491874453258</v>
      </c>
      <c r="I18" s="86">
        <f t="shared" si="3"/>
        <v>1499.4172736322937</v>
      </c>
      <c r="J18" s="86">
        <f t="shared" si="3"/>
        <v>1454.3625430568018</v>
      </c>
      <c r="K18" s="86">
        <f t="shared" si="3"/>
        <v>1305.0253706332246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822.29267193269948</v>
      </c>
      <c r="I19" s="86">
        <f t="shared" si="3"/>
        <v>2512.691980842455</v>
      </c>
      <c r="J19" s="86">
        <f t="shared" si="3"/>
        <v>3681.1088595205556</v>
      </c>
      <c r="K19" s="86">
        <f t="shared" si="3"/>
        <v>4074.4848789120215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15463.681255217345</v>
      </c>
      <c r="I20" s="13">
        <f t="shared" ref="I20:K20" si="4">SUM(I13:I19)</f>
        <v>12194.63969396846</v>
      </c>
      <c r="J20" s="13">
        <f t="shared" si="4"/>
        <v>9633.2917691845178</v>
      </c>
      <c r="K20" s="13">
        <f t="shared" si="4"/>
        <v>7497.233933976484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-0.39226232659650628</v>
      </c>
      <c r="J23" s="177">
        <f t="shared" ref="J23:K23" si="5">J118/$G118-1</f>
        <v>-0.51809191575739444</v>
      </c>
      <c r="K23" s="177">
        <f t="shared" si="5"/>
        <v>-0.62853664350516092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-0.38981105919347003</v>
      </c>
      <c r="J24" s="177">
        <f t="shared" ref="J24:K24" si="6">J129/$G129-1</f>
        <v>-0.51319043522372354</v>
      </c>
      <c r="K24" s="177">
        <f t="shared" si="6"/>
        <v>-0.62682254184187203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184229.64520786435</v>
      </c>
      <c r="H34" s="125">
        <f>'Init. parc'!C22</f>
        <v>184229.64520786435</v>
      </c>
      <c r="I34" s="125">
        <f>'Init. parc'!D22</f>
        <v>187867.27447352451</v>
      </c>
      <c r="J34" s="125">
        <f>'Init. parc'!E22</f>
        <v>187726.8956963571</v>
      </c>
      <c r="K34" s="125">
        <f>'Init. parc'!F22</f>
        <v>181190.51804162841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parc'!N22</f>
        <v>12185.884803305064</v>
      </c>
      <c r="J35" s="125">
        <f>'Init. parc'!O22</f>
        <v>8717.0415355715377</v>
      </c>
      <c r="K35" s="125">
        <f>'Init. parc'!P22</f>
        <v>8710.5279603109702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184229.64520786435</v>
      </c>
      <c r="H36" s="125">
        <f>H34-H35</f>
        <v>184229.64520786435</v>
      </c>
      <c r="I36" s="125">
        <f>I34-I35</f>
        <v>175681.38967021945</v>
      </c>
      <c r="J36" s="125">
        <f>J34-J35</f>
        <v>179009.85416078556</v>
      </c>
      <c r="K36" s="125">
        <f>K34-K35</f>
        <v>172479.99008131743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0.184</v>
      </c>
      <c r="H45" s="55">
        <f>'Init. énergie'!B21</f>
        <v>0.184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0.39300000000000002</v>
      </c>
      <c r="H46" s="55">
        <f>'Init. énergie'!B22</f>
        <v>0.39300000000000002</v>
      </c>
      <c r="I46" s="47">
        <v>0.33</v>
      </c>
      <c r="J46" s="47">
        <f>H46*0.4</f>
        <v>0.15720000000000001</v>
      </c>
      <c r="K46" s="47">
        <f>H46*0.05</f>
        <v>1.9650000000000001E-2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4.2000000000000003E-2</v>
      </c>
      <c r="H47" s="55">
        <f>'Init. énergie'!B23</f>
        <v>4.2000000000000003E-2</v>
      </c>
      <c r="I47" s="47">
        <v>0.22</v>
      </c>
      <c r="J47" s="47">
        <v>0.22</v>
      </c>
      <c r="K47" s="47">
        <v>0.23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1.7999999999999999E-2</v>
      </c>
      <c r="H48" s="55">
        <f>'Init. énergie'!B24</f>
        <v>1.7999999999999999E-2</v>
      </c>
      <c r="I48" s="47">
        <f t="shared" ref="I48:I49" si="8">H48+((K48-H48)/3)</f>
        <v>1.2E-2</v>
      </c>
      <c r="J48" s="47">
        <f t="shared" ref="J48:J49" si="9">H48+((K48-H48)/3*2)</f>
        <v>6.0000000000000001E-3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1.4E-2</v>
      </c>
      <c r="H49" s="55">
        <f>'Init. énergie'!B25</f>
        <v>1.4E-2</v>
      </c>
      <c r="I49" s="47">
        <f t="shared" si="8"/>
        <v>2.2666666666666668E-2</v>
      </c>
      <c r="J49" s="47">
        <f t="shared" si="9"/>
        <v>3.1333333333333338E-2</v>
      </c>
      <c r="K49" s="47">
        <v>0.04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0.26200000000000001</v>
      </c>
      <c r="H50" s="55">
        <f>'Init. énergie'!B26</f>
        <v>0.26200000000000001</v>
      </c>
      <c r="I50" s="47">
        <f>1-I45-I46-I47-I48-I49-I51</f>
        <v>0.14533333333333326</v>
      </c>
      <c r="J50" s="47">
        <f t="shared" ref="J50" si="10">1-J45-J46-J47-J48-J49-J51</f>
        <v>0.16546666666666671</v>
      </c>
      <c r="K50" s="47">
        <f>1-K45-K46-K47-K48-K49-K51</f>
        <v>0.17035</v>
      </c>
      <c r="L50" s="64"/>
      <c r="M50" s="512"/>
      <c r="N50" s="33"/>
      <c r="O50" s="42"/>
      <c r="P50" s="17" t="s">
        <v>293</v>
      </c>
    </row>
    <row r="51" spans="1:17">
      <c r="C51" s="40"/>
      <c r="D51" s="32"/>
      <c r="E51" s="6" t="s">
        <v>26</v>
      </c>
      <c r="F51" s="55"/>
      <c r="G51" s="55">
        <f t="shared" si="7"/>
        <v>8.7999999999999995E-2</v>
      </c>
      <c r="H51" s="55">
        <f>'Init. énergie'!B27</f>
        <v>8.7999999999999995E-2</v>
      </c>
      <c r="I51" s="47">
        <v>0.25</v>
      </c>
      <c r="J51" s="47">
        <f>42%</f>
        <v>0.42</v>
      </c>
      <c r="K51" s="123">
        <v>0.54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1">SUM(G45:G51)</f>
        <v>1.0010000000000001</v>
      </c>
      <c r="H52" s="149">
        <f t="shared" si="11"/>
        <v>1.0010000000000001</v>
      </c>
      <c r="I52" s="155">
        <f t="shared" si="11"/>
        <v>1</v>
      </c>
      <c r="J52" s="155">
        <f t="shared" si="11"/>
        <v>1</v>
      </c>
      <c r="K52" s="155">
        <f>SUM(K45:K51)</f>
        <v>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2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-0.14790627236802084</v>
      </c>
      <c r="J55" s="142">
        <f t="shared" si="12"/>
        <v>-0.13585991101253611</v>
      </c>
      <c r="K55" s="142">
        <f t="shared" si="12"/>
        <v>-0.11506615423637229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0.184</v>
      </c>
      <c r="H59" s="55">
        <f>H45</f>
        <v>0.184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3">H60</f>
        <v>0.39300000000000002</v>
      </c>
      <c r="H60" s="55">
        <f t="shared" ref="H60:K65" si="14">H46</f>
        <v>0.39300000000000002</v>
      </c>
      <c r="I60" s="47">
        <f>I46</f>
        <v>0.33</v>
      </c>
      <c r="J60" s="47">
        <f t="shared" ref="J60:K60" si="15">J46</f>
        <v>0.15720000000000001</v>
      </c>
      <c r="K60" s="47">
        <f t="shared" si="15"/>
        <v>1.9650000000000001E-2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3"/>
        <v>4.2000000000000003E-2</v>
      </c>
      <c r="H61" s="55">
        <f t="shared" si="14"/>
        <v>4.2000000000000003E-2</v>
      </c>
      <c r="I61" s="47">
        <f t="shared" si="14"/>
        <v>0.22</v>
      </c>
      <c r="J61" s="47">
        <f t="shared" si="14"/>
        <v>0.22</v>
      </c>
      <c r="K61" s="47">
        <f t="shared" si="14"/>
        <v>0.23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3"/>
        <v>1.7999999999999999E-2</v>
      </c>
      <c r="H62" s="55">
        <f t="shared" si="14"/>
        <v>1.7999999999999999E-2</v>
      </c>
      <c r="I62" s="47">
        <f t="shared" si="14"/>
        <v>1.2E-2</v>
      </c>
      <c r="J62" s="47">
        <f t="shared" si="14"/>
        <v>6.0000000000000001E-3</v>
      </c>
      <c r="K62" s="47">
        <f t="shared" si="14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3"/>
        <v>1.4E-2</v>
      </c>
      <c r="H63" s="55">
        <f t="shared" si="14"/>
        <v>1.4E-2</v>
      </c>
      <c r="I63" s="47">
        <f t="shared" si="14"/>
        <v>2.2666666666666668E-2</v>
      </c>
      <c r="J63" s="47">
        <f t="shared" si="14"/>
        <v>3.1333333333333338E-2</v>
      </c>
      <c r="K63" s="47">
        <f t="shared" si="14"/>
        <v>0.04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3"/>
        <v>0.26200000000000001</v>
      </c>
      <c r="H64" s="55">
        <f t="shared" si="14"/>
        <v>0.26200000000000001</v>
      </c>
      <c r="I64" s="47">
        <f t="shared" si="14"/>
        <v>0.14533333333333326</v>
      </c>
      <c r="J64" s="47">
        <f t="shared" si="14"/>
        <v>0.16546666666666671</v>
      </c>
      <c r="K64" s="47">
        <f t="shared" si="14"/>
        <v>0.17035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3"/>
        <v>8.7999999999999995E-2</v>
      </c>
      <c r="H65" s="55">
        <f t="shared" si="14"/>
        <v>8.7999999999999995E-2</v>
      </c>
      <c r="I65" s="47">
        <f t="shared" si="14"/>
        <v>0.25</v>
      </c>
      <c r="J65" s="47">
        <f t="shared" si="14"/>
        <v>0.42</v>
      </c>
      <c r="K65" s="47">
        <f t="shared" si="14"/>
        <v>0.54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6">SUM(G59:G65)</f>
        <v>1.0010000000000001</v>
      </c>
      <c r="H66" s="149">
        <v>1</v>
      </c>
      <c r="I66" s="47">
        <f t="shared" ref="I66:J66" si="17">SUM(I59:I65)</f>
        <v>1</v>
      </c>
      <c r="J66" s="47">
        <f t="shared" si="17"/>
        <v>1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-0.14790627236802084</v>
      </c>
      <c r="J69" s="142">
        <f>(I$101*(J59-I59)+I$102*(J60-I60)+I$103*(J61-I61)+I$104*(J62-I62)+I$105*(J63-I63)+I$106*(J64-I64)+I$107*(J65-I65))/(I$101*I59+I$102*I60+I$103*I61+I$104*I62+I$105*I63+I$106*I64+I$107*I65)</f>
        <v>-0.15692708773339825</v>
      </c>
      <c r="K69" s="142">
        <f>(J$101*(K59-J59)+J$102*(K60-J60)+J$103*(K61-J61)+J$104*(K62-J62)+J$105*(K63-J63)+J$106*(K64-J64)+J$107*(K65-J65))/(J$101*J59+J$102*J60+J$103*J61+J$104*J62+J$105*J63+J$106*J64+J$107*J65)</f>
        <v>-0.13928357311305278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bord'!G12</f>
        <v>0.74</v>
      </c>
      <c r="G73" s="92">
        <f>'Tableau de bord'!G25</f>
        <v>0.9</v>
      </c>
      <c r="H73" s="92">
        <f>'Tableau de bord'!G28</f>
        <v>0.82350000000000001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126.31474410390804</v>
      </c>
      <c r="H81" s="54">
        <f>'Init. énergie'!D21</f>
        <v>101.20496711697824</v>
      </c>
      <c r="I81" s="81">
        <f>G81*(1-F$77)/(1+I$55)</f>
        <v>95.24447892874629</v>
      </c>
      <c r="J81" s="81">
        <f>G81*(1-G$77)/(1+I$55)/(1+J$55)</f>
        <v>85.773380971158119</v>
      </c>
      <c r="K81" s="81">
        <f>G81*(1-H$77)/(1+I$55)/(1+J$55)/(1+K$55)</f>
        <v>77.541055871486066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8">H82/F82^10</f>
        <v>131.31967996619326</v>
      </c>
      <c r="H82" s="54">
        <f>'Init. énergie'!D22</f>
        <v>108.58725762596659</v>
      </c>
      <c r="I82" s="81">
        <f t="shared" ref="I82:I87" si="19">G82*(1-F$77)/(1+I$55)</f>
        <v>99.018325851026546</v>
      </c>
      <c r="J82" s="81">
        <f t="shared" ref="J82:J87" si="20">G82*(1-G$77)/(1+I$55)/(1+J$55)</f>
        <v>89.171957071655626</v>
      </c>
      <c r="K82" s="81">
        <f t="shared" ref="K82:K87" si="21">G82*(1-H$77)/(1+I$55)/(1+J$55)/(1+K$55)</f>
        <v>80.613444721131501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8"/>
        <v>57.364306116285576</v>
      </c>
      <c r="H83" s="54">
        <f>'Init. énergie'!D23</f>
        <v>50.751277606007875</v>
      </c>
      <c r="I83" s="81">
        <f t="shared" si="19"/>
        <v>43.254122738516273</v>
      </c>
      <c r="J83" s="81">
        <f t="shared" si="20"/>
        <v>38.952938689491191</v>
      </c>
      <c r="K83" s="81">
        <f t="shared" si="21"/>
        <v>35.214328280892353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8"/>
        <v>54.227817579480956</v>
      </c>
      <c r="H84" s="54">
        <f>'Init. énergie'!D24</f>
        <v>47.976367366236985</v>
      </c>
      <c r="I84" s="81">
        <f t="shared" si="19"/>
        <v>40.889131870085272</v>
      </c>
      <c r="J84" s="81">
        <f t="shared" si="20"/>
        <v>36.823122189544769</v>
      </c>
      <c r="K84" s="81">
        <f t="shared" si="21"/>
        <v>33.288926502992396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8"/>
        <v>62.323344332935882</v>
      </c>
      <c r="H85" s="54">
        <f>'Init. énergie'!D25</f>
        <v>55.138631733186472</v>
      </c>
      <c r="I85" s="81">
        <f t="shared" si="19"/>
        <v>46.993361687091117</v>
      </c>
      <c r="J85" s="81">
        <f t="shared" si="20"/>
        <v>42.320348228455053</v>
      </c>
      <c r="K85" s="81">
        <f t="shared" si="21"/>
        <v>38.258541861452656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8"/>
        <v>73.595838462603339</v>
      </c>
      <c r="H86" s="54">
        <f>'Init. énergie'!D26</f>
        <v>55</v>
      </c>
      <c r="I86" s="81">
        <f t="shared" si="19"/>
        <v>55.493104430696228</v>
      </c>
      <c r="J86" s="81">
        <f t="shared" si="20"/>
        <v>49.974877716190413</v>
      </c>
      <c r="K86" s="81">
        <f t="shared" si="21"/>
        <v>45.178407814713928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8"/>
        <v>67.869523495464108</v>
      </c>
      <c r="H87" s="54">
        <f>'Init. énergie'!D27</f>
        <v>50.720582443629688</v>
      </c>
      <c r="I87" s="81">
        <f t="shared" si="19"/>
        <v>51.175319606001459</v>
      </c>
      <c r="J87" s="81">
        <f t="shared" si="20"/>
        <v>46.08645282389724</v>
      </c>
      <c r="K87" s="81">
        <f t="shared" si="21"/>
        <v>41.663184695238577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2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2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2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2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2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2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3">G81</f>
        <v>126.31474410390804</v>
      </c>
      <c r="H101" s="54">
        <f t="shared" si="23"/>
        <v>101.20496711697824</v>
      </c>
      <c r="I101" s="81">
        <f>$H101*(1+$G91)^(I$100-$H$100)</f>
        <v>94.049002489863369</v>
      </c>
      <c r="J101" s="81">
        <f>$H101*(1+$G91)^(J$100-$H$100)</f>
        <v>87.399019250849065</v>
      </c>
      <c r="K101" s="81">
        <f>$H101*(1+$G91)^(K$100-$H$100)</f>
        <v>81.219240648868919</v>
      </c>
      <c r="L101" s="67"/>
      <c r="M101" s="79">
        <f>(K101-G101)/H101</f>
        <v>-0.44558587132304756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3"/>
        <v>131.31967996619326</v>
      </c>
      <c r="H102" s="54">
        <f t="shared" si="23"/>
        <v>108.58725762596659</v>
      </c>
      <c r="I102" s="81">
        <f t="shared" ref="I102:K107" si="24">$H102*(1+$G92)^(I$100-$H$100)</f>
        <v>101.9614163940476</v>
      </c>
      <c r="J102" s="81">
        <f t="shared" si="24"/>
        <v>95.739874644318505</v>
      </c>
      <c r="K102" s="81">
        <f t="shared" si="24"/>
        <v>89.897962592886572</v>
      </c>
      <c r="L102" s="67"/>
      <c r="M102" s="79">
        <f t="shared" ref="M102:M107" si="25">(K102-G102)/H102</f>
        <v>-0.38146020333237951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3"/>
        <v>57.364306116285576</v>
      </c>
      <c r="H103" s="54">
        <f t="shared" si="23"/>
        <v>50.751277606007875</v>
      </c>
      <c r="I103" s="81">
        <f t="shared" si="24"/>
        <v>48.729021181043805</v>
      </c>
      <c r="J103" s="81">
        <f t="shared" si="24"/>
        <v>46.787344423059864</v>
      </c>
      <c r="K103" s="81">
        <f t="shared" si="24"/>
        <v>44.92303652127535</v>
      </c>
      <c r="L103" s="67"/>
      <c r="M103" s="79">
        <f t="shared" si="25"/>
        <v>-0.24514199803193612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3"/>
        <v>54.227817579480956</v>
      </c>
      <c r="H104" s="54">
        <f t="shared" si="23"/>
        <v>47.976367366236985</v>
      </c>
      <c r="I104" s="81">
        <f t="shared" si="24"/>
        <v>46.064681163852114</v>
      </c>
      <c r="J104" s="81">
        <f t="shared" si="24"/>
        <v>44.229168801568377</v>
      </c>
      <c r="K104" s="81">
        <f t="shared" si="24"/>
        <v>42.466795025007443</v>
      </c>
      <c r="L104" s="67"/>
      <c r="M104" s="79">
        <f t="shared" si="25"/>
        <v>-0.24514199803193615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3"/>
        <v>62.323344332935882</v>
      </c>
      <c r="H105" s="54">
        <f t="shared" si="23"/>
        <v>55.138631733186472</v>
      </c>
      <c r="I105" s="81">
        <f t="shared" si="24"/>
        <v>52.941554978748975</v>
      </c>
      <c r="J105" s="81">
        <f>$H105*(1+$G95)^(J$100-$H$100)</f>
        <v>50.832023854537631</v>
      </c>
      <c r="K105" s="81">
        <f>$H105*(1+$G95)^(K$100-$H$100)</f>
        <v>48.806549981115431</v>
      </c>
      <c r="L105" s="67"/>
      <c r="M105" s="79">
        <f t="shared" si="25"/>
        <v>-0.24514199803193618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3"/>
        <v>73.595838462603339</v>
      </c>
      <c r="H106" s="54">
        <f t="shared" si="23"/>
        <v>55</v>
      </c>
      <c r="I106" s="81">
        <f t="shared" si="24"/>
        <v>49.958245465845245</v>
      </c>
      <c r="J106" s="81">
        <f t="shared" si="24"/>
        <v>45.378659818648131</v>
      </c>
      <c r="K106" s="81">
        <f t="shared" si="24"/>
        <v>41.218876838747484</v>
      </c>
      <c r="L106" s="67"/>
      <c r="M106" s="79">
        <f t="shared" si="25"/>
        <v>-0.58867202952465192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3"/>
        <v>67.869523495464108</v>
      </c>
      <c r="H107" s="54">
        <f t="shared" si="23"/>
        <v>50.720582443629688</v>
      </c>
      <c r="I107" s="81">
        <f t="shared" si="24"/>
        <v>46.071114688899868</v>
      </c>
      <c r="J107" s="81">
        <f t="shared" si="24"/>
        <v>41.847855572966694</v>
      </c>
      <c r="K107" s="81">
        <f t="shared" si="24"/>
        <v>38.011735289700184</v>
      </c>
      <c r="L107" s="67"/>
      <c r="M107" s="79">
        <f t="shared" si="25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6">G$36*G45*$H$73*G81/1000</f>
        <v>3526.1029564457294</v>
      </c>
      <c r="H111" s="54">
        <f t="shared" si="26"/>
        <v>2825.1581894874689</v>
      </c>
      <c r="I111" s="125">
        <f t="shared" si="26"/>
        <v>275.58727940169985</v>
      </c>
      <c r="J111" s="125">
        <f t="shared" si="26"/>
        <v>0</v>
      </c>
      <c r="K111" s="125">
        <f t="shared" si="26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6"/>
        <v>7829.7065473713392</v>
      </c>
      <c r="H112" s="54">
        <f t="shared" si="26"/>
        <v>6474.3255711101701</v>
      </c>
      <c r="I112" s="125">
        <f t="shared" si="26"/>
        <v>4727.3622271382928</v>
      </c>
      <c r="J112" s="125">
        <f t="shared" si="26"/>
        <v>2066.4332546828405</v>
      </c>
      <c r="K112" s="125">
        <f t="shared" si="26"/>
        <v>224.99473540692037</v>
      </c>
      <c r="L112" s="46"/>
      <c r="M112" s="79">
        <f t="shared" ref="M112:M118" si="27">(K112-G112)/H112</f>
        <v>-1.1745952112600384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6"/>
        <v>365.52253273866791</v>
      </c>
      <c r="H113" s="54">
        <f t="shared" si="26"/>
        <v>323.38464083686932</v>
      </c>
      <c r="I113" s="125">
        <f t="shared" si="26"/>
        <v>1376.7007554386323</v>
      </c>
      <c r="J113" s="125">
        <f t="shared" si="26"/>
        <v>1263.2911403616808</v>
      </c>
      <c r="K113" s="125">
        <f t="shared" si="26"/>
        <v>1150.4018372350261</v>
      </c>
      <c r="L113" s="46"/>
      <c r="M113" s="79">
        <f t="shared" si="27"/>
        <v>2.4270766306810745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6"/>
        <v>148.08727812399604</v>
      </c>
      <c r="H114" s="54">
        <f t="shared" si="26"/>
        <v>131.01559263619083</v>
      </c>
      <c r="I114" s="125">
        <f t="shared" si="26"/>
        <v>70.986946871351634</v>
      </c>
      <c r="J114" s="125">
        <f t="shared" si="26"/>
        <v>32.569598262235161</v>
      </c>
      <c r="K114" s="125">
        <f t="shared" si="26"/>
        <v>0</v>
      </c>
      <c r="L114" s="46"/>
      <c r="M114" s="79">
        <f t="shared" si="27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6"/>
        <v>132.37375998900404</v>
      </c>
      <c r="H115" s="54">
        <f t="shared" si="26"/>
        <v>117.11354840298051</v>
      </c>
      <c r="I115" s="125">
        <f t="shared" si="26"/>
        <v>154.10386570792613</v>
      </c>
      <c r="J115" s="125">
        <f t="shared" si="26"/>
        <v>195.47731887985574</v>
      </c>
      <c r="K115" s="125">
        <f t="shared" si="26"/>
        <v>217.36555641079039</v>
      </c>
      <c r="L115" s="46"/>
      <c r="M115" s="79">
        <f t="shared" si="27"/>
        <v>0.72572129852418787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6"/>
        <v>2925.3488810322697</v>
      </c>
      <c r="H116" s="54">
        <f t="shared" si="26"/>
        <v>2186.1859558612259</v>
      </c>
      <c r="I116" s="125">
        <f t="shared" si="26"/>
        <v>1166.7924688062055</v>
      </c>
      <c r="J116" s="125">
        <f t="shared" si="26"/>
        <v>1218.9974593889197</v>
      </c>
      <c r="K116" s="125">
        <f t="shared" si="26"/>
        <v>1093.1389808184611</v>
      </c>
      <c r="L116" s="46"/>
      <c r="M116" s="79">
        <f t="shared" si="27"/>
        <v>-0.83808511133355446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6"/>
        <v>906.10930746123415</v>
      </c>
      <c r="H117" s="54">
        <f t="shared" si="26"/>
        <v>677.15801533657805</v>
      </c>
      <c r="I117" s="125">
        <f t="shared" si="26"/>
        <v>1850.9297417230425</v>
      </c>
      <c r="J117" s="125">
        <f t="shared" si="26"/>
        <v>2853.4030119868003</v>
      </c>
      <c r="K117" s="125">
        <f t="shared" si="26"/>
        <v>3195.5715485691999</v>
      </c>
      <c r="L117" s="46"/>
      <c r="M117" s="79">
        <f t="shared" si="27"/>
        <v>3.3809866962440074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15833.251263162243</v>
      </c>
      <c r="H118" s="146">
        <f>SUM(H111:H117)</f>
        <v>12734.341513671485</v>
      </c>
      <c r="I118" s="144">
        <f t="shared" ref="I118:J118" si="28">SUM(I111:I117)</f>
        <v>9622.4632850871494</v>
      </c>
      <c r="J118" s="144">
        <f t="shared" si="28"/>
        <v>7630.1717835623322</v>
      </c>
      <c r="K118" s="144">
        <f>SUM(K111:K117)</f>
        <v>5881.4726584403979</v>
      </c>
      <c r="L118" s="21"/>
      <c r="M118" s="79">
        <f t="shared" si="27"/>
        <v>-0.78149141783559806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9">G$36*G45*(1-$H$73)*G101/1000</f>
        <v>755.74641385873849</v>
      </c>
      <c r="H122" s="147">
        <f t="shared" si="29"/>
        <v>605.51356459567489</v>
      </c>
      <c r="I122" s="143">
        <f t="shared" ref="I122:I128" si="30">I$36*I59*(1-$H$73)*I101/1000</f>
        <v>58.324987874445448</v>
      </c>
      <c r="J122" s="143">
        <f t="shared" ref="J122:K122" si="31">J$36*J59*(1-$H$73)*J101/1000</f>
        <v>0</v>
      </c>
      <c r="K122" s="143">
        <f t="shared" si="31"/>
        <v>0</v>
      </c>
      <c r="L122" s="46"/>
      <c r="M122" s="79">
        <f>(K122-G122)/H122</f>
        <v>-1.2481081482681233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9"/>
        <v>1678.1338258786172</v>
      </c>
      <c r="H123" s="147">
        <f t="shared" si="29"/>
        <v>1387.6362638748571</v>
      </c>
      <c r="I123" s="143">
        <f t="shared" si="30"/>
        <v>1043.3265700558986</v>
      </c>
      <c r="J123" s="143">
        <f t="shared" ref="J123:K123" si="32">J$36*J60*(1-$H$73)*J102/1000</f>
        <v>475.51809147908551</v>
      </c>
      <c r="K123" s="143">
        <f t="shared" si="32"/>
        <v>53.776908506879444</v>
      </c>
      <c r="L123" s="46"/>
      <c r="M123" s="79">
        <f t="shared" ref="M123:M129" si="33">(K123-G123)/H123</f>
        <v>-1.1705927263934846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9"/>
        <v>78.342109324073931</v>
      </c>
      <c r="H124" s="147">
        <f t="shared" si="29"/>
        <v>69.310733585558509</v>
      </c>
      <c r="I124" s="143">
        <f t="shared" si="30"/>
        <v>332.41517120893758</v>
      </c>
      <c r="J124" s="143">
        <f t="shared" ref="J124:K124" si="34">J$36*J61*(1-$H$73)*J103/1000</f>
        <v>325.21661509865697</v>
      </c>
      <c r="K124" s="143">
        <f t="shared" si="34"/>
        <v>314.54324905618859</v>
      </c>
      <c r="L124" s="46"/>
      <c r="M124" s="79">
        <f t="shared" si="33"/>
        <v>3.4078580259223976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9"/>
        <v>31.739410551166117</v>
      </c>
      <c r="H125" s="147">
        <f t="shared" si="29"/>
        <v>28.080451852201186</v>
      </c>
      <c r="I125" s="143">
        <f t="shared" si="30"/>
        <v>17.140353852948813</v>
      </c>
      <c r="J125" s="143">
        <f t="shared" ref="J125:K125" si="35">J$36*J62*(1-$H$73)*J104/1000</f>
        <v>8.3845870231739923</v>
      </c>
      <c r="K125" s="143">
        <f t="shared" si="35"/>
        <v>0</v>
      </c>
      <c r="L125" s="46"/>
      <c r="M125" s="79">
        <f t="shared" si="33"/>
        <v>-1.1303027001924155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9"/>
        <v>28.371546615736744</v>
      </c>
      <c r="H126" s="147">
        <f t="shared" si="29"/>
        <v>25.100839457347977</v>
      </c>
      <c r="I126" s="143">
        <f t="shared" si="30"/>
        <v>37.209584363842424</v>
      </c>
      <c r="J126" s="143">
        <f t="shared" ref="J126:K126" si="36">J$36*J63*(1-$H$73)*J105/1000</f>
        <v>50.322898612640202</v>
      </c>
      <c r="K126" s="143">
        <f t="shared" si="36"/>
        <v>59.432161991921561</v>
      </c>
      <c r="L126" s="46"/>
      <c r="M126" s="79">
        <f t="shared" si="33"/>
        <v>1.2374333308240089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9"/>
        <v>626.9873436577966</v>
      </c>
      <c r="H127" s="147">
        <f t="shared" si="29"/>
        <v>468.56323158409987</v>
      </c>
      <c r="I127" s="143">
        <f t="shared" si="30"/>
        <v>225.13492912792759</v>
      </c>
      <c r="J127" s="143">
        <f t="shared" ref="J127:K127" si="37">J$36*J64*(1-$H$73)*J106/1000</f>
        <v>237.23776950293521</v>
      </c>
      <c r="K127" s="143">
        <f t="shared" si="37"/>
        <v>213.7576763356027</v>
      </c>
      <c r="L127" s="46"/>
      <c r="M127" s="79">
        <f t="shared" si="33"/>
        <v>-0.88190801041977529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9"/>
        <v>194.20557713042842</v>
      </c>
      <c r="H128" s="147">
        <f t="shared" si="29"/>
        <v>145.13465659612143</v>
      </c>
      <c r="I128" s="143">
        <f t="shared" si="30"/>
        <v>357.14057757841277</v>
      </c>
      <c r="J128" s="143">
        <f t="shared" ref="J128:K128" si="38">J$36*J65*(1-$H$73)*J107/1000</f>
        <v>555.32106391431796</v>
      </c>
      <c r="K128" s="143">
        <f t="shared" si="38"/>
        <v>624.87749570038909</v>
      </c>
      <c r="L128" s="46"/>
      <c r="M128" s="79">
        <f t="shared" si="33"/>
        <v>2.9673954427606364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3393.5262270165576</v>
      </c>
      <c r="H129" s="148">
        <f>SUM(H122:H128)</f>
        <v>2729.3397415458612</v>
      </c>
      <c r="I129" s="145">
        <f t="shared" ref="I129:K129" si="39">SUM(I122:I128)</f>
        <v>2070.6921740624134</v>
      </c>
      <c r="J129" s="145">
        <f t="shared" si="39"/>
        <v>1652.0010256308101</v>
      </c>
      <c r="K129" s="145">
        <f t="shared" si="39"/>
        <v>1266.3874915909814</v>
      </c>
      <c r="L129" s="21"/>
      <c r="M129" s="79">
        <f t="shared" si="33"/>
        <v>-0.77936018849041988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3430.6717540831437</v>
      </c>
      <c r="I133" s="143">
        <f t="shared" ref="I133:K133" si="40">I111+I122</f>
        <v>333.91226727614531</v>
      </c>
      <c r="J133" s="143">
        <f t="shared" si="40"/>
        <v>0</v>
      </c>
      <c r="K133" s="143">
        <f t="shared" si="40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1">H112+H123</f>
        <v>7861.9618349850271</v>
      </c>
      <c r="I134" s="143">
        <f t="shared" si="41"/>
        <v>5770.6887971941915</v>
      </c>
      <c r="J134" s="143">
        <f t="shared" si="41"/>
        <v>2541.9513461619258</v>
      </c>
      <c r="K134" s="143">
        <f t="shared" si="41"/>
        <v>278.77164391379983</v>
      </c>
      <c r="L134" s="46"/>
      <c r="M134" s="79">
        <f t="shared" ref="M134:M140" si="42">(K134-G134)/H134</f>
        <v>3.5458279977052413E-2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1"/>
        <v>392.69537442242785</v>
      </c>
      <c r="I135" s="143">
        <f t="shared" si="41"/>
        <v>1709.1159266475699</v>
      </c>
      <c r="J135" s="143">
        <f t="shared" si="41"/>
        <v>1588.5077554603379</v>
      </c>
      <c r="K135" s="143">
        <f t="shared" si="41"/>
        <v>1464.9450862912147</v>
      </c>
      <c r="L135" s="46"/>
      <c r="M135" s="79">
        <f t="shared" si="42"/>
        <v>3.7304872471335835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1"/>
        <v>159.09604448839201</v>
      </c>
      <c r="I136" s="143">
        <f t="shared" si="41"/>
        <v>88.127300724300454</v>
      </c>
      <c r="J136" s="143">
        <f t="shared" si="41"/>
        <v>40.954185285409153</v>
      </c>
      <c r="K136" s="143">
        <f t="shared" si="41"/>
        <v>0</v>
      </c>
      <c r="L136" s="46"/>
      <c r="M136" s="79">
        <f t="shared" si="42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1"/>
        <v>142.21438786032849</v>
      </c>
      <c r="I137" s="143">
        <f t="shared" si="41"/>
        <v>191.31345007176856</v>
      </c>
      <c r="J137" s="143">
        <f t="shared" si="41"/>
        <v>245.80021749249596</v>
      </c>
      <c r="K137" s="143">
        <f t="shared" si="41"/>
        <v>276.79771840271195</v>
      </c>
      <c r="L137" s="46"/>
      <c r="M137" s="79">
        <f t="shared" si="42"/>
        <v>1.9463411724175219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1"/>
        <v>2654.7491874453258</v>
      </c>
      <c r="I138" s="143">
        <f t="shared" si="41"/>
        <v>1391.9273979341331</v>
      </c>
      <c r="J138" s="143">
        <f t="shared" si="41"/>
        <v>1456.2352288918548</v>
      </c>
      <c r="K138" s="143">
        <f t="shared" si="41"/>
        <v>1306.8966571540636</v>
      </c>
      <c r="L138" s="46"/>
      <c r="M138" s="79">
        <f t="shared" si="42"/>
        <v>0.49228630084324265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1"/>
        <v>822.29267193269948</v>
      </c>
      <c r="I139" s="143">
        <f t="shared" si="41"/>
        <v>2208.0703193014551</v>
      </c>
      <c r="J139" s="143">
        <f t="shared" si="41"/>
        <v>3408.7240759011183</v>
      </c>
      <c r="K139" s="143">
        <f t="shared" si="41"/>
        <v>3820.4490442695887</v>
      </c>
      <c r="L139" s="46"/>
      <c r="M139" s="79">
        <f t="shared" si="42"/>
        <v>4.646093993869707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15463.681255217345</v>
      </c>
      <c r="I140" s="145">
        <f t="shared" ref="I140:K140" si="43">SUM(I133:I139)</f>
        <v>11693.155459149562</v>
      </c>
      <c r="J140" s="145">
        <f t="shared" si="43"/>
        <v>9282.1728091931418</v>
      </c>
      <c r="K140" s="145">
        <f t="shared" si="43"/>
        <v>7147.8601500313789</v>
      </c>
      <c r="L140" s="21"/>
      <c r="M140" s="79">
        <f t="shared" si="42"/>
        <v>0.46223535211706057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énergie'!C21</f>
        <v>4.1021151124009851E-5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énergie'!C22</f>
        <v>0.24387457929202933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énergie'!C23</f>
        <v>3.8798739172946649E-2</v>
      </c>
      <c r="I148" s="47">
        <v>0.14000000000000001</v>
      </c>
      <c r="J148" s="47">
        <v>0.14000000000000001</v>
      </c>
      <c r="K148" s="47">
        <v>0.14000000000000001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énergie'!C24</f>
        <v>1.4755157309534661E-2</v>
      </c>
      <c r="I149" s="47">
        <f t="shared" ref="I149:K149" si="44">H149</f>
        <v>1.4755157309534661E-2</v>
      </c>
      <c r="J149" s="47">
        <f t="shared" si="44"/>
        <v>1.4755157309534661E-2</v>
      </c>
      <c r="K149" s="47">
        <f t="shared" si="44"/>
        <v>1.4755157309534661E-2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énergie'!C25</f>
        <v>1.1548604741342878E-2</v>
      </c>
      <c r="I150" s="47">
        <v>0.05</v>
      </c>
      <c r="J150" s="47">
        <v>0.1</v>
      </c>
      <c r="K150" s="47">
        <v>0.15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énergie'!C26</f>
        <v>0.37540666329243721</v>
      </c>
      <c r="I151" s="47">
        <f>1-I146-I147-I148-I149-I150-I152</f>
        <v>0.19524484269046527</v>
      </c>
      <c r="J151" s="47">
        <f t="shared" ref="J151:K151" si="45">1-J146-J147-J148-J149-J150-J152</f>
        <v>-4.7551573095346855E-3</v>
      </c>
      <c r="K151" s="47">
        <f t="shared" si="45"/>
        <v>-4.7551573095346855E-3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énergie'!C27</f>
        <v>0.31557523504058516</v>
      </c>
      <c r="I152" s="47">
        <v>0.6</v>
      </c>
      <c r="J152" s="47">
        <v>0.75</v>
      </c>
      <c r="K152" s="47">
        <v>0.7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0.99999999999999989</v>
      </c>
      <c r="I153" s="15">
        <f t="shared" ref="I153:K153" si="46">SUM(I146:I152)</f>
        <v>1</v>
      </c>
      <c r="J153" s="15">
        <f t="shared" si="46"/>
        <v>1</v>
      </c>
      <c r="K153" s="15">
        <f t="shared" si="46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77.541055871486066</v>
      </c>
      <c r="J157" s="45">
        <f>K157</f>
        <v>77.541055871486066</v>
      </c>
      <c r="K157" s="45">
        <f t="shared" ref="K157:K163" si="47">K81</f>
        <v>77.541055871486066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8">J158</f>
        <v>80.613444721131501</v>
      </c>
      <c r="J158" s="45">
        <f t="shared" si="48"/>
        <v>80.613444721131501</v>
      </c>
      <c r="K158" s="45">
        <f t="shared" si="47"/>
        <v>80.613444721131501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8"/>
        <v>35.214328280892353</v>
      </c>
      <c r="J159" s="45">
        <f t="shared" si="48"/>
        <v>35.214328280892353</v>
      </c>
      <c r="K159" s="45">
        <f t="shared" si="47"/>
        <v>35.214328280892353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8"/>
        <v>33.288926502992396</v>
      </c>
      <c r="J160" s="45">
        <f t="shared" si="48"/>
        <v>33.288926502992396</v>
      </c>
      <c r="K160" s="45">
        <f t="shared" si="47"/>
        <v>33.288926502992396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8"/>
        <v>38.258541861452656</v>
      </c>
      <c r="J161" s="45">
        <f t="shared" si="48"/>
        <v>38.258541861452656</v>
      </c>
      <c r="K161" s="45">
        <f t="shared" si="47"/>
        <v>38.258541861452656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8"/>
        <v>45.178407814713928</v>
      </c>
      <c r="J162" s="45">
        <f t="shared" si="48"/>
        <v>45.178407814713928</v>
      </c>
      <c r="K162" s="45">
        <f t="shared" si="47"/>
        <v>45.178407814713928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8"/>
        <v>41.663184695238577</v>
      </c>
      <c r="J163" s="45">
        <f t="shared" si="48"/>
        <v>41.663184695238577</v>
      </c>
      <c r="K163" s="45">
        <f t="shared" si="47"/>
        <v>41.663184695238577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9">I$35*I146*I157/1000</f>
        <v>0</v>
      </c>
      <c r="J167" s="10">
        <f t="shared" si="49"/>
        <v>0</v>
      </c>
      <c r="K167" s="10">
        <f t="shared" si="49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50">H$35*H147*H158/1000</f>
        <v>0</v>
      </c>
      <c r="I168" s="10">
        <f t="shared" si="50"/>
        <v>0</v>
      </c>
      <c r="J168" s="10">
        <f t="shared" si="50"/>
        <v>0</v>
      </c>
      <c r="K168" s="10">
        <f t="shared" si="50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50"/>
        <v>0</v>
      </c>
      <c r="I169" s="10">
        <f t="shared" si="50"/>
        <v>60.076484699941062</v>
      </c>
      <c r="J169" s="10">
        <f t="shared" si="50"/>
        <v>42.975066718050613</v>
      </c>
      <c r="K169" s="10">
        <f t="shared" si="50"/>
        <v>42.942954753199515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50"/>
        <v>0</v>
      </c>
      <c r="I170" s="10">
        <f t="shared" si="50"/>
        <v>5.9855036864904738</v>
      </c>
      <c r="J170" s="10">
        <f t="shared" si="50"/>
        <v>4.2816656392733048</v>
      </c>
      <c r="K170" s="10">
        <f t="shared" si="50"/>
        <v>4.2784662795744683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50"/>
        <v>0</v>
      </c>
      <c r="I171" s="10">
        <f t="shared" si="50"/>
        <v>23.310709193304326</v>
      </c>
      <c r="J171" s="10">
        <f t="shared" si="50"/>
        <v>33.350129849668527</v>
      </c>
      <c r="K171" s="10">
        <f t="shared" si="50"/>
        <v>49.987814790736657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50"/>
        <v>0</v>
      </c>
      <c r="I172" s="10">
        <f t="shared" si="50"/>
        <v>107.48987569816062</v>
      </c>
      <c r="J172" s="10">
        <f t="shared" si="50"/>
        <v>-1.8726858350530553</v>
      </c>
      <c r="K172" s="10">
        <f t="shared" si="50"/>
        <v>-1.8712865208389102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50"/>
        <v>0</v>
      </c>
      <c r="I173" s="10">
        <f t="shared" si="50"/>
        <v>304.62166154099992</v>
      </c>
      <c r="J173" s="10">
        <f t="shared" si="50"/>
        <v>272.38478361943731</v>
      </c>
      <c r="K173" s="10">
        <f t="shared" si="50"/>
        <v>254.03583464243297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1">SUM(I167:I173)</f>
        <v>501.48423481889643</v>
      </c>
      <c r="J174" s="11">
        <f t="shared" si="51"/>
        <v>351.1189599913767</v>
      </c>
      <c r="K174" s="11">
        <f t="shared" si="51"/>
        <v>349.37378394510472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2">H$36*($H$73*H45+(1-$H$73)*H59)+H$35*H146</f>
        <v>33898.254718247037</v>
      </c>
      <c r="I181" s="10">
        <f t="shared" si="52"/>
        <v>3513.6277934043892</v>
      </c>
      <c r="J181" s="10">
        <f t="shared" si="52"/>
        <v>0</v>
      </c>
      <c r="K181" s="10">
        <f t="shared" si="52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2"/>
        <v>72402.250566690695</v>
      </c>
      <c r="I182" s="10">
        <f t="shared" si="52"/>
        <v>57974.858591172422</v>
      </c>
      <c r="J182" s="10">
        <f t="shared" si="52"/>
        <v>28140.34907407549</v>
      </c>
      <c r="K182" s="10">
        <f t="shared" si="52"/>
        <v>3389.2318050978874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2"/>
        <v>7737.6450987303033</v>
      </c>
      <c r="I183" s="10">
        <f t="shared" si="52"/>
        <v>40355.929599910989</v>
      </c>
      <c r="J183" s="10">
        <f t="shared" si="52"/>
        <v>40602.55373035284</v>
      </c>
      <c r="K183" s="10">
        <f t="shared" si="52"/>
        <v>40889.871633146548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2"/>
        <v>3316.1336137415578</v>
      </c>
      <c r="I184" s="10">
        <f t="shared" si="52"/>
        <v>2287.9813232712677</v>
      </c>
      <c r="J184" s="10">
        <f t="shared" si="52"/>
        <v>1202.680444095819</v>
      </c>
      <c r="K184" s="10">
        <f t="shared" si="52"/>
        <v>128.52521030348845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2"/>
        <v>2579.2150329101014</v>
      </c>
      <c r="I185" s="10">
        <f t="shared" si="52"/>
        <v>4591.4057393568946</v>
      </c>
      <c r="J185" s="10">
        <f t="shared" si="52"/>
        <v>6480.679583928435</v>
      </c>
      <c r="K185" s="10">
        <f t="shared" si="52"/>
        <v>8205.7787972993428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2"/>
        <v>48268.167044460461</v>
      </c>
      <c r="I186" s="10">
        <f t="shared" si="52"/>
        <v>27911.593126870641</v>
      </c>
      <c r="J186" s="10">
        <f t="shared" si="52"/>
        <v>29578.712964695937</v>
      </c>
      <c r="K186" s="10">
        <f t="shared" si="52"/>
        <v>29340.546379652045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2"/>
        <v>16212.208778292063</v>
      </c>
      <c r="I187" s="10">
        <f t="shared" si="52"/>
        <v>51231.878299537901</v>
      </c>
      <c r="J187" s="10">
        <f t="shared" si="52"/>
        <v>81721.919899208588</v>
      </c>
      <c r="K187" s="10">
        <f t="shared" si="52"/>
        <v>99236.564216129103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184413.87485307222</v>
      </c>
      <c r="I188" s="10">
        <f t="shared" ref="I188:K188" si="53">SUM(I181:I187)</f>
        <v>187867.27447352451</v>
      </c>
      <c r="J188" s="10">
        <f t="shared" si="53"/>
        <v>187726.89569635713</v>
      </c>
      <c r="K188" s="10">
        <f t="shared" si="53"/>
        <v>181190.51804162841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GB1593"/>
  <sheetViews>
    <sheetView showGridLines="0" topLeftCell="A37" zoomScale="115" zoomScaleNormal="115" workbookViewId="0">
      <selection activeCell="I66" sqref="I66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237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167106.71056882737</v>
      </c>
      <c r="I7" s="10">
        <f t="shared" si="0"/>
        <v>168706.2324204118</v>
      </c>
      <c r="J7" s="10">
        <f t="shared" si="0"/>
        <v>166834.81937003729</v>
      </c>
      <c r="K7" s="10">
        <f t="shared" si="0"/>
        <v>159294.42944009311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4962.05556380077</v>
      </c>
      <c r="J8" s="76">
        <f t="shared" si="0"/>
        <v>3394.7194103913025</v>
      </c>
      <c r="K8" s="76">
        <f t="shared" si="0"/>
        <v>3357.062697205185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167106.71056882737</v>
      </c>
      <c r="I9" s="96">
        <f t="shared" si="1"/>
        <v>163744.17685661104</v>
      </c>
      <c r="J9" s="96">
        <f t="shared" si="1"/>
        <v>163440.099959646</v>
      </c>
      <c r="K9" s="96">
        <f t="shared" si="1"/>
        <v>155937.36674288791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3584.8950181469531</v>
      </c>
      <c r="I13" s="86">
        <f t="shared" ref="I13:K13" si="2">I133+I167</f>
        <v>304.58902770750842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8977.673558736793</v>
      </c>
      <c r="I14" s="86">
        <f t="shared" si="3"/>
        <v>6436.4040096628632</v>
      </c>
      <c r="J14" s="86">
        <f t="shared" si="3"/>
        <v>2597.8391853258727</v>
      </c>
      <c r="K14" s="86">
        <f t="shared" si="3"/>
        <v>270.25382242504065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1357.2566620782518</v>
      </c>
      <c r="I15" s="86">
        <f t="shared" si="3"/>
        <v>2595.2198302629872</v>
      </c>
      <c r="J15" s="86">
        <f t="shared" si="3"/>
        <v>2581.6187342533908</v>
      </c>
      <c r="K15" s="86">
        <f t="shared" si="3"/>
        <v>2404.4925223081127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214.36380852936159</v>
      </c>
      <c r="I16" s="86">
        <f t="shared" si="3"/>
        <v>115.70235547312929</v>
      </c>
      <c r="J16" s="86">
        <f t="shared" si="3"/>
        <v>51.230321398638715</v>
      </c>
      <c r="K16" s="86">
        <f t="shared" si="3"/>
        <v>2.4997131310417626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141.75559832606967</v>
      </c>
      <c r="I17" s="86">
        <f t="shared" si="3"/>
        <v>241.1840938451827</v>
      </c>
      <c r="J17" s="86">
        <f t="shared" si="3"/>
        <v>431.13947967711607</v>
      </c>
      <c r="K17" s="86">
        <f t="shared" si="3"/>
        <v>365.75322003815785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751.98019755972325</v>
      </c>
      <c r="I18" s="86">
        <f t="shared" si="3"/>
        <v>561.3106788561746</v>
      </c>
      <c r="J18" s="86">
        <f t="shared" si="3"/>
        <v>466.12066027913392</v>
      </c>
      <c r="K18" s="86">
        <f t="shared" si="3"/>
        <v>387.40916559088714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116.24970775877308</v>
      </c>
      <c r="I19" s="86">
        <f t="shared" si="3"/>
        <v>1556.8070272456935</v>
      </c>
      <c r="J19" s="86">
        <f t="shared" si="3"/>
        <v>3067.7926355819236</v>
      </c>
      <c r="K19" s="86">
        <f t="shared" si="3"/>
        <v>3631.8738295514217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15144.174551135928</v>
      </c>
      <c r="I20" s="13">
        <f t="shared" ref="I20:K20" si="4">SUM(I13:I19)</f>
        <v>11811.217023053539</v>
      </c>
      <c r="J20" s="13">
        <f t="shared" si="4"/>
        <v>9195.7410165160763</v>
      </c>
      <c r="K20" s="13">
        <f t="shared" si="4"/>
        <v>7062.2822730446624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-0.37430978616765942</v>
      </c>
      <c r="J23" s="177">
        <f t="shared" ref="J23:K23" si="5">J118/$G118-1</f>
        <v>-0.51398576500276405</v>
      </c>
      <c r="K23" s="177">
        <f t="shared" si="5"/>
        <v>-0.62903703547053436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-0.30743515770018559</v>
      </c>
      <c r="J24" s="177">
        <f t="shared" ref="J24:K24" si="6">J129/$G129-1</f>
        <v>-0.42560845296444483</v>
      </c>
      <c r="K24" s="177">
        <f t="shared" si="6"/>
        <v>-0.5502297766967944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167106.71056882737</v>
      </c>
      <c r="H34" s="125">
        <f>'Init. parc'!C23</f>
        <v>167106.71056882737</v>
      </c>
      <c r="I34" s="125">
        <f>'Init. parc'!D23</f>
        <v>168706.2324204118</v>
      </c>
      <c r="J34" s="125">
        <f>'Init. parc'!E23</f>
        <v>166834.81937003729</v>
      </c>
      <c r="K34" s="125">
        <f>'Init. parc'!F23</f>
        <v>159294.42944009311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parc'!N23</f>
        <v>4962.05556380077</v>
      </c>
      <c r="J35" s="125">
        <f>'Init. parc'!O23</f>
        <v>3394.7194103913025</v>
      </c>
      <c r="K35" s="125">
        <f>'Init. parc'!P23</f>
        <v>3357.062697205185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167106.71056882737</v>
      </c>
      <c r="H36" s="125">
        <f>H34-H35</f>
        <v>167106.71056882737</v>
      </c>
      <c r="I36" s="125">
        <f>I34-I35</f>
        <v>163744.17685661104</v>
      </c>
      <c r="J36" s="125">
        <f>J34-J35</f>
        <v>163440.099959646</v>
      </c>
      <c r="K36" s="125">
        <f>K34-K35</f>
        <v>155937.36674288791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310">
        <f>5/22</f>
        <v>0.22727272727272727</v>
      </c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0.20200000000000001</v>
      </c>
      <c r="H45" s="55">
        <f>'Init. énergie'!B30</f>
        <v>0.20200000000000001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0.58799999999999997</v>
      </c>
      <c r="H46" s="55">
        <f>'Init. énergie'!B31</f>
        <v>0.58799999999999997</v>
      </c>
      <c r="I46" s="47">
        <f>H46*0.86</f>
        <v>0.50568000000000002</v>
      </c>
      <c r="J46" s="47">
        <f>H46*0.4</f>
        <v>0.23519999999999999</v>
      </c>
      <c r="K46" s="47">
        <f>H46*0.05</f>
        <v>2.9399999999999999E-2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8.4000000000000005E-2</v>
      </c>
      <c r="H47" s="55">
        <f>'Init. énergie'!B32</f>
        <v>8.4000000000000005E-2</v>
      </c>
      <c r="I47" s="47">
        <v>0.2</v>
      </c>
      <c r="J47" s="47">
        <v>0.23</v>
      </c>
      <c r="K47" s="47">
        <v>0.26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1.2999999999999999E-2</v>
      </c>
      <c r="H48" s="55">
        <f>'Init. énergie'!B33</f>
        <v>1.2999999999999999E-2</v>
      </c>
      <c r="I48" s="47">
        <f t="shared" ref="I48:I49" si="8">H48+((K48-H48)/3)</f>
        <v>8.6666666666666663E-3</v>
      </c>
      <c r="J48" s="47">
        <f t="shared" ref="J48" si="9">H48+((K48-H48)/3*2)</f>
        <v>4.3333333333333331E-3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8.9999999999999993E-3</v>
      </c>
      <c r="H49" s="55">
        <f>'Init. énergie'!B34</f>
        <v>8.9999999999999993E-3</v>
      </c>
      <c r="I49" s="47">
        <f t="shared" si="8"/>
        <v>1.9333333333333334E-2</v>
      </c>
      <c r="J49" s="47">
        <v>0.04</v>
      </c>
      <c r="K49" s="47">
        <v>0.04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0.09</v>
      </c>
      <c r="H50" s="55">
        <f>'Init. énergie'!B35</f>
        <v>0.09</v>
      </c>
      <c r="I50" s="47">
        <f t="shared" ref="I50:J50" si="10">1-I45-I46-I47-I48-I49-I51</f>
        <v>6.6319999999999962E-2</v>
      </c>
      <c r="J50" s="47">
        <f t="shared" si="10"/>
        <v>7.0466666666666788E-2</v>
      </c>
      <c r="K50" s="47">
        <f>1-K45-K46-K47-K48-K49-K51</f>
        <v>7.0599999999999996E-2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1.2999999999999999E-2</v>
      </c>
      <c r="H51" s="55">
        <f>'Init. énergie'!B36</f>
        <v>1.2999999999999999E-2</v>
      </c>
      <c r="I51" s="47">
        <v>0.18</v>
      </c>
      <c r="J51" s="47">
        <v>0.42</v>
      </c>
      <c r="K51" s="123">
        <v>0.6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1">SUM(G45:G51)</f>
        <v>0.999</v>
      </c>
      <c r="H52" s="149">
        <f t="shared" si="11"/>
        <v>0.999</v>
      </c>
      <c r="I52" s="155">
        <f t="shared" si="11"/>
        <v>1</v>
      </c>
      <c r="J52" s="155">
        <f t="shared" si="11"/>
        <v>1.0000000000000002</v>
      </c>
      <c r="K52" s="155">
        <f>SUM(K45:K51)</f>
        <v>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2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-8.0936288892706529E-2</v>
      </c>
      <c r="J55" s="142">
        <f t="shared" si="12"/>
        <v>-0.10004185921011645</v>
      </c>
      <c r="K55" s="142">
        <f t="shared" si="12"/>
        <v>-7.7726853398670748E-2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0.20200000000000001</v>
      </c>
      <c r="H59" s="55">
        <f>H45</f>
        <v>0.20200000000000001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3">H60</f>
        <v>0.58799999999999997</v>
      </c>
      <c r="H60" s="55">
        <f t="shared" ref="H60:K65" si="14">H46</f>
        <v>0.58799999999999997</v>
      </c>
      <c r="I60" s="47">
        <f t="shared" si="14"/>
        <v>0.50568000000000002</v>
      </c>
      <c r="J60" s="47">
        <f t="shared" si="14"/>
        <v>0.23519999999999999</v>
      </c>
      <c r="K60" s="47">
        <f t="shared" si="14"/>
        <v>2.9399999999999999E-2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3"/>
        <v>8.4000000000000005E-2</v>
      </c>
      <c r="H61" s="55">
        <f t="shared" si="14"/>
        <v>8.4000000000000005E-2</v>
      </c>
      <c r="I61" s="47">
        <v>0.19</v>
      </c>
      <c r="J61" s="47">
        <f t="shared" si="14"/>
        <v>0.23</v>
      </c>
      <c r="K61" s="47">
        <v>0.23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3"/>
        <v>1.2999999999999999E-2</v>
      </c>
      <c r="H62" s="55">
        <f t="shared" si="14"/>
        <v>1.2999999999999999E-2</v>
      </c>
      <c r="I62" s="47">
        <f t="shared" si="14"/>
        <v>8.6666666666666663E-3</v>
      </c>
      <c r="J62" s="47">
        <f t="shared" si="14"/>
        <v>4.3333333333333331E-3</v>
      </c>
      <c r="K62" s="47">
        <f t="shared" si="14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3"/>
        <v>8.9999999999999993E-3</v>
      </c>
      <c r="H63" s="55">
        <f t="shared" si="14"/>
        <v>8.9999999999999993E-3</v>
      </c>
      <c r="I63" s="47">
        <f t="shared" si="14"/>
        <v>1.9333333333333334E-2</v>
      </c>
      <c r="J63" s="47">
        <f t="shared" si="14"/>
        <v>0.04</v>
      </c>
      <c r="K63" s="47">
        <f t="shared" si="14"/>
        <v>0.04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3"/>
        <v>0.09</v>
      </c>
      <c r="H64" s="55">
        <f t="shared" si="14"/>
        <v>0.09</v>
      </c>
      <c r="I64" s="47">
        <v>0.08</v>
      </c>
      <c r="J64" s="47">
        <f t="shared" si="14"/>
        <v>7.0466666666666788E-2</v>
      </c>
      <c r="K64" s="47">
        <f t="shared" si="14"/>
        <v>7.0599999999999996E-2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3"/>
        <v>1.2999999999999999E-2</v>
      </c>
      <c r="H65" s="55">
        <f t="shared" si="14"/>
        <v>1.2999999999999999E-2</v>
      </c>
      <c r="I65" s="47">
        <v>0.18</v>
      </c>
      <c r="J65" s="47">
        <f t="shared" si="14"/>
        <v>0.42</v>
      </c>
      <c r="K65" s="47">
        <v>0.63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0.999</v>
      </c>
      <c r="H66" s="149">
        <v>1</v>
      </c>
      <c r="I66" s="47">
        <f t="shared" ref="I66:J66" si="16">SUM(I59:I65)</f>
        <v>1.0036800000000001</v>
      </c>
      <c r="J66" s="47">
        <f t="shared" si="16"/>
        <v>1.0000000000000002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-8.4058095490234908E-2</v>
      </c>
      <c r="J69" s="142">
        <f>(I$101*(J59-I59)+I$102*(J60-I60)+I$103*(J61-I61)+I$104*(J62-I62)+I$105*(J63-I63)+I$106*(J64-I64)+I$107*(J65-I65))/(I$101*I59+I$102*I60+I$103*I61+I$104*I62+I$105*I63+I$106*I64+I$107*I65)</f>
        <v>-0.11254617928805434</v>
      </c>
      <c r="K69" s="142">
        <f>(J$101*(K59-J59)+J$102*(K60-J60)+J$103*(K61-J61)+J$104*(K62-J62)+J$105*(K63-J63)+J$106*(K64-J64)+J$107*(K65-J65))/(J$101*J59+J$102*J60+J$103*J61+J$104*J62+J$105*J63+J$106*J64+J$107*J65)</f>
        <v>-0.11881608568054268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bord'!H12</f>
        <v>0.92</v>
      </c>
      <c r="G73" s="92">
        <f>'Tableau de bord'!H25</f>
        <v>0.94300000000000006</v>
      </c>
      <c r="H73" s="92">
        <f>'Tableau de bord'!H28</f>
        <v>0.94300000000000006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132.5511197174215</v>
      </c>
      <c r="H81" s="54">
        <f>'Init. énergie'!D30</f>
        <v>106.20162996399759</v>
      </c>
      <c r="I81" s="81">
        <f>G81*(1-F$77)/(1+I$55)</f>
        <v>92.663972463712128</v>
      </c>
      <c r="J81" s="81">
        <f>G81*(1-G$77)/(1+I$55)/(1+J$55)</f>
        <v>80.128216590717841</v>
      </c>
      <c r="K81" s="81">
        <f>G81*(1-H$77)/(1+I$55)/(1+J$55)/(1+K$55)</f>
        <v>69.504976382321018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7">H82/F82^10</f>
        <v>110.49523345723766</v>
      </c>
      <c r="H82" s="54">
        <f>'Init. énergie'!D31</f>
        <v>91.367679124341691</v>
      </c>
      <c r="I82" s="81">
        <f t="shared" ref="I82:I87" si="18">G82*(1-F$77)/(1+I$55)</f>
        <v>77.24512091848581</v>
      </c>
      <c r="J82" s="81">
        <f t="shared" ref="J82:J87" si="19">G82*(1-G$77)/(1+I$55)/(1+J$55)</f>
        <v>66.795256181753686</v>
      </c>
      <c r="K82" s="81">
        <f t="shared" ref="K82:K87" si="20">G82*(1-H$77)/(1+I$55)/(1+J$55)/(1+K$55)</f>
        <v>57.939673449585769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7"/>
        <v>109.29079137937518</v>
      </c>
      <c r="H83" s="54">
        <f>'Init. énergie'!D32</f>
        <v>96.691613105737261</v>
      </c>
      <c r="I83" s="81">
        <f t="shared" si="18"/>
        <v>76.403118317714757</v>
      </c>
      <c r="J83" s="81">
        <f t="shared" si="19"/>
        <v>66.06716127096243</v>
      </c>
      <c r="K83" s="81">
        <f t="shared" si="20"/>
        <v>57.308107919591215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7"/>
        <v>111.53443890364676</v>
      </c>
      <c r="H84" s="54">
        <f>'Init. énergie'!D33</f>
        <v>98.676610154660196</v>
      </c>
      <c r="I84" s="81">
        <f t="shared" si="18"/>
        <v>77.971609725788852</v>
      </c>
      <c r="J84" s="81">
        <f t="shared" si="19"/>
        <v>67.423464221562341</v>
      </c>
      <c r="K84" s="81">
        <f t="shared" si="20"/>
        <v>58.484594912060231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7"/>
        <v>106.5365391770324</v>
      </c>
      <c r="H85" s="54">
        <f>'Init. énergie'!D34</f>
        <v>94.25487452068927</v>
      </c>
      <c r="I85" s="81">
        <f t="shared" si="18"/>
        <v>74.47767286859218</v>
      </c>
      <c r="J85" s="81">
        <f t="shared" si="19"/>
        <v>64.402193691018411</v>
      </c>
      <c r="K85" s="81">
        <f t="shared" si="20"/>
        <v>55.86387844282104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7"/>
        <v>66.905307693275773</v>
      </c>
      <c r="H86" s="54">
        <f>'Init. énergie'!D35</f>
        <v>50</v>
      </c>
      <c r="I86" s="81">
        <f t="shared" si="18"/>
        <v>46.772230992712245</v>
      </c>
      <c r="J86" s="81">
        <f t="shared" si="19"/>
        <v>40.44479591982514</v>
      </c>
      <c r="K86" s="81">
        <f t="shared" si="20"/>
        <v>35.082705004579907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7"/>
        <v>71.605304367204496</v>
      </c>
      <c r="H87" s="54">
        <f>'Init. énergie'!D36</f>
        <v>53.512424377058124</v>
      </c>
      <c r="I87" s="81">
        <f t="shared" si="18"/>
        <v>50.057909478876162</v>
      </c>
      <c r="J87" s="81">
        <f t="shared" si="19"/>
        <v>43.285981662103829</v>
      </c>
      <c r="K87" s="81">
        <f t="shared" si="20"/>
        <v>37.547211970004412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2">G81</f>
        <v>132.5511197174215</v>
      </c>
      <c r="H101" s="54">
        <f t="shared" si="22"/>
        <v>106.20162996399759</v>
      </c>
      <c r="I101" s="81">
        <f>$H101*(1+$G91)^(I$100-$H$100)</f>
        <v>98.692363086949072</v>
      </c>
      <c r="J101" s="81">
        <f>$H101*(1+$G91)^(J$100-$H$100)</f>
        <v>91.714058767159372</v>
      </c>
      <c r="K101" s="81">
        <f>$H101*(1+$G91)^(K$100-$H$100)</f>
        <v>85.229173893985745</v>
      </c>
      <c r="L101" s="67"/>
      <c r="M101" s="79">
        <f>(K101-G101)/H101</f>
        <v>-0.44558587132304767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2"/>
        <v>110.49523345723766</v>
      </c>
      <c r="H102" s="54">
        <f t="shared" si="22"/>
        <v>91.367679124341691</v>
      </c>
      <c r="I102" s="81">
        <f t="shared" ref="I102:K107" si="23">$H102*(1+$G92)^(I$100-$H$100)</f>
        <v>85.792552273895851</v>
      </c>
      <c r="J102" s="81">
        <f t="shared" si="23"/>
        <v>80.557611796754543</v>
      </c>
      <c r="K102" s="81">
        <f t="shared" si="23"/>
        <v>75.642100000458669</v>
      </c>
      <c r="L102" s="67"/>
      <c r="M102" s="79">
        <f t="shared" ref="M102:M107" si="24">(K102-G102)/H102</f>
        <v>-0.38146020333237957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109.29079137937518</v>
      </c>
      <c r="H103" s="54">
        <f t="shared" si="22"/>
        <v>96.691613105737261</v>
      </c>
      <c r="I103" s="81">
        <f t="shared" si="23"/>
        <v>92.838799047316982</v>
      </c>
      <c r="J103" s="81">
        <f t="shared" si="23"/>
        <v>89.1395058134229</v>
      </c>
      <c r="K103" s="81">
        <f t="shared" si="23"/>
        <v>85.58761614970382</v>
      </c>
      <c r="L103" s="67"/>
      <c r="M103" s="79">
        <f t="shared" si="24"/>
        <v>-0.24514199803193598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111.53443890364676</v>
      </c>
      <c r="H104" s="54">
        <f t="shared" si="22"/>
        <v>98.676610154660196</v>
      </c>
      <c r="I104" s="81">
        <f t="shared" si="23"/>
        <v>94.744701081787625</v>
      </c>
      <c r="J104" s="81">
        <f t="shared" si="23"/>
        <v>90.969464486142513</v>
      </c>
      <c r="K104" s="81">
        <f t="shared" si="23"/>
        <v>87.344657531314922</v>
      </c>
      <c r="L104" s="67"/>
      <c r="M104" s="79">
        <f t="shared" si="24"/>
        <v>-0.24514199803193612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106.5365391770324</v>
      </c>
      <c r="H105" s="54">
        <f t="shared" si="22"/>
        <v>94.25487452068927</v>
      </c>
      <c r="I105" s="81">
        <f t="shared" si="23"/>
        <v>90.499155757048086</v>
      </c>
      <c r="J105" s="81">
        <f>$H105*(1+$G95)^(J$100-$H$100)</f>
        <v>86.893088918607546</v>
      </c>
      <c r="K105" s="81">
        <f>$H105*(1+$G95)^(K$100-$H$100)</f>
        <v>83.430710912781208</v>
      </c>
      <c r="L105" s="67"/>
      <c r="M105" s="79">
        <f t="shared" si="24"/>
        <v>-0.24514199803193604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66.905307693275773</v>
      </c>
      <c r="H106" s="54">
        <f t="shared" si="22"/>
        <v>50</v>
      </c>
      <c r="I106" s="81">
        <f t="shared" si="23"/>
        <v>45.41658678713204</v>
      </c>
      <c r="J106" s="81">
        <f t="shared" si="23"/>
        <v>41.253327107861935</v>
      </c>
      <c r="K106" s="81">
        <f t="shared" si="23"/>
        <v>37.471706217043163</v>
      </c>
      <c r="L106" s="67"/>
      <c r="M106" s="79">
        <f t="shared" si="24"/>
        <v>-0.58867202952465225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71.605304367204496</v>
      </c>
      <c r="H107" s="54">
        <f t="shared" si="22"/>
        <v>53.512424377058124</v>
      </c>
      <c r="I107" s="81">
        <f t="shared" si="23"/>
        <v>48.607033318210007</v>
      </c>
      <c r="J107" s="81">
        <f t="shared" si="23"/>
        <v>44.151310943230079</v>
      </c>
      <c r="K107" s="81">
        <f t="shared" si="23"/>
        <v>40.104036904377224</v>
      </c>
      <c r="L107" s="67"/>
      <c r="M107" s="79">
        <f t="shared" si="24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G$36*G45*$H$73*G81/1000</f>
        <v>4219.2994919134189</v>
      </c>
      <c r="H111" s="54">
        <f t="shared" si="25"/>
        <v>3380.5560021125771</v>
      </c>
      <c r="I111" s="125">
        <f t="shared" si="25"/>
        <v>286.16628598600329</v>
      </c>
      <c r="J111" s="125">
        <f t="shared" si="25"/>
        <v>0</v>
      </c>
      <c r="K111" s="125">
        <f t="shared" si="25"/>
        <v>0</v>
      </c>
      <c r="L111" s="46"/>
      <c r="M111" s="79">
        <f>(K111-G111)/H111</f>
        <v>-1.2481081482681233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10238.267043680129</v>
      </c>
      <c r="H112" s="54">
        <f t="shared" si="25"/>
        <v>8465.9461658887958</v>
      </c>
      <c r="I112" s="125">
        <f t="shared" si="25"/>
        <v>6031.4869398973224</v>
      </c>
      <c r="J112" s="125">
        <f t="shared" si="25"/>
        <v>2421.3259094542118</v>
      </c>
      <c r="K112" s="125">
        <f t="shared" si="25"/>
        <v>250.48704101709851</v>
      </c>
      <c r="L112" s="46"/>
      <c r="M112" s="79">
        <f t="shared" ref="M112:M118" si="26">(K112-G112)/H112</f>
        <v>-1.1797594512124405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1446.6665504111249</v>
      </c>
      <c r="H113" s="54">
        <f t="shared" si="25"/>
        <v>1279.8930323397915</v>
      </c>
      <c r="I113" s="125">
        <f t="shared" si="25"/>
        <v>2359.4926944548711</v>
      </c>
      <c r="J113" s="125">
        <f t="shared" si="25"/>
        <v>2341.9833043735862</v>
      </c>
      <c r="K113" s="125">
        <f t="shared" si="25"/>
        <v>2191.0450488691422</v>
      </c>
      <c r="L113" s="46"/>
      <c r="M113" s="79">
        <f t="shared" si="26"/>
        <v>0.5815943048750003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228.48512008282415</v>
      </c>
      <c r="H114" s="54">
        <f t="shared" si="25"/>
        <v>202.14507144318799</v>
      </c>
      <c r="I114" s="125">
        <f t="shared" si="25"/>
        <v>104.34368031297925</v>
      </c>
      <c r="J114" s="125">
        <f t="shared" si="25"/>
        <v>45.030158165520199</v>
      </c>
      <c r="K114" s="125">
        <f t="shared" si="25"/>
        <v>0</v>
      </c>
      <c r="L114" s="46"/>
      <c r="M114" s="79">
        <f t="shared" si="26"/>
        <v>-1.1303027001924157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151.0938116286932</v>
      </c>
      <c r="H115" s="54">
        <f t="shared" si="25"/>
        <v>133.67552922148371</v>
      </c>
      <c r="I115" s="125">
        <f t="shared" si="25"/>
        <v>222.33631027021653</v>
      </c>
      <c r="J115" s="125">
        <f t="shared" si="25"/>
        <v>397.03698475740572</v>
      </c>
      <c r="K115" s="125">
        <f t="shared" si="25"/>
        <v>328.58895730777812</v>
      </c>
      <c r="L115" s="46"/>
      <c r="M115" s="79">
        <f t="shared" si="26"/>
        <v>1.3278058199043861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948.87425813311052</v>
      </c>
      <c r="H116" s="54">
        <f t="shared" si="25"/>
        <v>709.11732629881908</v>
      </c>
      <c r="I116" s="125">
        <f t="shared" si="25"/>
        <v>478.97203811329308</v>
      </c>
      <c r="J116" s="125">
        <f t="shared" si="25"/>
        <v>439.25497456328378</v>
      </c>
      <c r="K116" s="125">
        <f t="shared" si="25"/>
        <v>364.21653774746648</v>
      </c>
      <c r="L116" s="46"/>
      <c r="M116" s="79">
        <f t="shared" si="26"/>
        <v>-0.82448658170181532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146.68784572486837</v>
      </c>
      <c r="H117" s="54">
        <f t="shared" si="25"/>
        <v>109.62347441652302</v>
      </c>
      <c r="I117" s="125">
        <f t="shared" si="25"/>
        <v>1391.3063613653021</v>
      </c>
      <c r="J117" s="125">
        <f t="shared" si="25"/>
        <v>2801.991887113621</v>
      </c>
      <c r="K117" s="125">
        <f t="shared" si="25"/>
        <v>3312.7665608643456</v>
      </c>
      <c r="L117" s="46"/>
      <c r="M117" s="79">
        <f t="shared" si="26"/>
        <v>28.881393624778866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17379.374121574168</v>
      </c>
      <c r="H118" s="146">
        <f>SUM(H111:H117)</f>
        <v>14280.956601721178</v>
      </c>
      <c r="I118" s="144">
        <f t="shared" ref="I118:J118" si="27">SUM(I111:I117)</f>
        <v>10874.104310399987</v>
      </c>
      <c r="J118" s="144">
        <f t="shared" si="27"/>
        <v>8446.6232184276287</v>
      </c>
      <c r="K118" s="144">
        <f>SUM(K111:K117)</f>
        <v>6447.1041458058307</v>
      </c>
      <c r="L118" s="21"/>
      <c r="M118" s="79">
        <f t="shared" si="26"/>
        <v>-0.76551384341093442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G$36*G45*(1-$H$73)*G101/1000</f>
        <v>255.03719092159562</v>
      </c>
      <c r="H122" s="147">
        <f t="shared" si="28"/>
        <v>204.33901603437613</v>
      </c>
      <c r="I122" s="143">
        <f t="shared" ref="I122:I128" si="29">I$36*I59*(1-$H$73)*I101/1000</f>
        <v>18.422741721505112</v>
      </c>
      <c r="J122" s="143">
        <f t="shared" ref="J122:K122" si="30">J$36*J59*(1-$H$73)*J101/1000</f>
        <v>0</v>
      </c>
      <c r="K122" s="143">
        <f t="shared" si="30"/>
        <v>0</v>
      </c>
      <c r="L122" s="46"/>
      <c r="M122" s="79">
        <f>(K122-G122)/H122</f>
        <v>-1.2481081482681238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618.85601430516101</v>
      </c>
      <c r="H123" s="147">
        <f t="shared" si="28"/>
        <v>511.72739284799661</v>
      </c>
      <c r="I123" s="143">
        <f t="shared" si="29"/>
        <v>404.91706976554065</v>
      </c>
      <c r="J123" s="143">
        <f t="shared" ref="J123:K123" si="31">J$36*J60*(1-$H$73)*J102/1000</f>
        <v>176.5132758716608</v>
      </c>
      <c r="K123" s="143">
        <f t="shared" si="31"/>
        <v>19.766781407942148</v>
      </c>
      <c r="L123" s="46"/>
      <c r="M123" s="79">
        <f t="shared" ref="M123:M129" si="32">(K123-G123)/H123</f>
        <v>-1.1707194910223853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87.444319590067892</v>
      </c>
      <c r="H124" s="147">
        <f t="shared" si="28"/>
        <v>77.363629738460261</v>
      </c>
      <c r="I124" s="143">
        <f t="shared" si="29"/>
        <v>164.63563186979047</v>
      </c>
      <c r="J124" s="143">
        <f t="shared" ref="J124:K124" si="33">J$36*J61*(1-$H$73)*J103/1000</f>
        <v>190.99919329794545</v>
      </c>
      <c r="K124" s="143">
        <f t="shared" si="33"/>
        <v>174.97009117011675</v>
      </c>
      <c r="L124" s="46"/>
      <c r="M124" s="79">
        <f t="shared" si="32"/>
        <v>1.131355546216527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13.810871521443223</v>
      </c>
      <c r="H125" s="147">
        <f t="shared" si="28"/>
        <v>12.218737086173597</v>
      </c>
      <c r="I125" s="143">
        <f t="shared" si="29"/>
        <v>7.663863186540504</v>
      </c>
      <c r="J125" s="143">
        <f t="shared" ref="J125:K125" si="34">J$36*J62*(1-$H$73)*J104/1000</f>
        <v>3.6724104171159744</v>
      </c>
      <c r="K125" s="143">
        <f t="shared" si="34"/>
        <v>0</v>
      </c>
      <c r="L125" s="46"/>
      <c r="M125" s="79">
        <f t="shared" si="32"/>
        <v>-1.1303027001924155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9.1329239266548274</v>
      </c>
      <c r="H126" s="147">
        <f t="shared" si="28"/>
        <v>8.0800691045859629</v>
      </c>
      <c r="I126" s="143">
        <f t="shared" si="29"/>
        <v>16.330218161752974</v>
      </c>
      <c r="J126" s="143">
        <f t="shared" ref="J126:K126" si="35">J$36*J63*(1-$H$73)*J105/1000</f>
        <v>32.380138516143909</v>
      </c>
      <c r="K126" s="143">
        <f t="shared" si="35"/>
        <v>29.662721032715758</v>
      </c>
      <c r="L126" s="46"/>
      <c r="M126" s="79">
        <f t="shared" si="32"/>
        <v>2.5407947432539832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57.35507180656122</v>
      </c>
      <c r="H127" s="147">
        <f t="shared" si="28"/>
        <v>42.862871260904178</v>
      </c>
      <c r="I127" s="143">
        <f t="shared" si="29"/>
        <v>33.911359383076686</v>
      </c>
      <c r="J127" s="143">
        <f t="shared" ref="J127:K127" si="36">J$36*J64*(1-$H$73)*J106/1000</f>
        <v>27.081716259950266</v>
      </c>
      <c r="K127" s="143">
        <f t="shared" si="36"/>
        <v>23.514363167910567</v>
      </c>
      <c r="L127" s="46"/>
      <c r="M127" s="79">
        <f t="shared" si="32"/>
        <v>-0.78951100668604146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8.8666036122136642</v>
      </c>
      <c r="H128" s="147">
        <f t="shared" si="28"/>
        <v>6.6262333422500586</v>
      </c>
      <c r="I128" s="143">
        <f t="shared" si="29"/>
        <v>81.660557452955928</v>
      </c>
      <c r="J128" s="143">
        <f t="shared" ref="J128:K128" si="37">J$36*J65*(1-$H$73)*J107/1000</f>
        <v>172.75330649342763</v>
      </c>
      <c r="K128" s="143">
        <f t="shared" si="37"/>
        <v>224.57101017065776</v>
      </c>
      <c r="L128" s="46"/>
      <c r="M128" s="79">
        <f t="shared" si="32"/>
        <v>32.553095464217044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1050.5029956836972</v>
      </c>
      <c r="H129" s="148">
        <f>SUM(H122:H128)</f>
        <v>863.21794941474695</v>
      </c>
      <c r="I129" s="145">
        <f t="shared" ref="I129:K129" si="38">SUM(I122:I128)</f>
        <v>727.54144154116238</v>
      </c>
      <c r="J129" s="145">
        <f t="shared" si="38"/>
        <v>603.400040856244</v>
      </c>
      <c r="K129" s="145">
        <f t="shared" si="38"/>
        <v>472.48496694934295</v>
      </c>
      <c r="L129" s="21"/>
      <c r="M129" s="79">
        <f t="shared" si="32"/>
        <v>-0.66960844491966909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3584.8950181469531</v>
      </c>
      <c r="I133" s="143">
        <f t="shared" ref="I133:K133" si="39">I111+I122</f>
        <v>304.58902770750842</v>
      </c>
      <c r="J133" s="143">
        <f t="shared" si="39"/>
        <v>0</v>
      </c>
      <c r="K133" s="143">
        <f t="shared" si="39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0">H112+H123</f>
        <v>8977.673558736793</v>
      </c>
      <c r="I134" s="143">
        <f t="shared" si="40"/>
        <v>6436.4040096628632</v>
      </c>
      <c r="J134" s="143">
        <f t="shared" si="40"/>
        <v>2597.8391853258727</v>
      </c>
      <c r="K134" s="143">
        <f t="shared" si="40"/>
        <v>270.25382242504065</v>
      </c>
      <c r="L134" s="46"/>
      <c r="M134" s="79">
        <f t="shared" ref="M134:M140" si="41">(K134-G134)/H134</f>
        <v>3.0102879176536559E-2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0"/>
        <v>1357.2566620782518</v>
      </c>
      <c r="I135" s="143">
        <f t="shared" si="40"/>
        <v>2524.1283263246614</v>
      </c>
      <c r="J135" s="143">
        <f t="shared" si="40"/>
        <v>2532.9824976715317</v>
      </c>
      <c r="K135" s="143">
        <f t="shared" si="40"/>
        <v>2366.0151400392588</v>
      </c>
      <c r="L135" s="46"/>
      <c r="M135" s="79">
        <f t="shared" si="41"/>
        <v>1.7432333958238826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0"/>
        <v>214.36380852936159</v>
      </c>
      <c r="I136" s="143">
        <f t="shared" si="40"/>
        <v>112.00754349951976</v>
      </c>
      <c r="J136" s="143">
        <f t="shared" si="40"/>
        <v>48.702568582636175</v>
      </c>
      <c r="K136" s="143">
        <f t="shared" si="40"/>
        <v>0</v>
      </c>
      <c r="L136" s="46"/>
      <c r="M136" s="79">
        <f t="shared" si="41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0"/>
        <v>141.75559832606967</v>
      </c>
      <c r="I137" s="143">
        <f t="shared" si="40"/>
        <v>238.66652843196951</v>
      </c>
      <c r="J137" s="143">
        <f t="shared" si="40"/>
        <v>429.41712327354963</v>
      </c>
      <c r="K137" s="143">
        <f t="shared" si="40"/>
        <v>358.25167834049387</v>
      </c>
      <c r="L137" s="46"/>
      <c r="M137" s="79">
        <f t="shared" si="41"/>
        <v>2.5272488887277289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0"/>
        <v>751.98019755972325</v>
      </c>
      <c r="I138" s="143">
        <f t="shared" si="40"/>
        <v>512.88339749636975</v>
      </c>
      <c r="J138" s="143">
        <f t="shared" si="40"/>
        <v>466.33669082323405</v>
      </c>
      <c r="K138" s="143">
        <f t="shared" si="40"/>
        <v>387.73090091537705</v>
      </c>
      <c r="L138" s="46"/>
      <c r="M138" s="79">
        <f t="shared" si="41"/>
        <v>0.51561317993959932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0"/>
        <v>116.24970775877308</v>
      </c>
      <c r="I139" s="143">
        <f t="shared" si="40"/>
        <v>1472.9669188182581</v>
      </c>
      <c r="J139" s="143">
        <f t="shared" si="40"/>
        <v>2974.7451936070488</v>
      </c>
      <c r="K139" s="143">
        <f t="shared" si="40"/>
        <v>3537.3375710350033</v>
      </c>
      <c r="L139" s="46"/>
      <c r="M139" s="79">
        <f t="shared" si="41"/>
        <v>30.428786783492356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15144.174551135928</v>
      </c>
      <c r="I140" s="145">
        <f t="shared" ref="I140:K140" si="42">SUM(I133:I139)</f>
        <v>11601.645751941151</v>
      </c>
      <c r="J140" s="145">
        <f t="shared" si="42"/>
        <v>9050.0232592838729</v>
      </c>
      <c r="K140" s="145">
        <f t="shared" si="42"/>
        <v>6919.5891127551731</v>
      </c>
      <c r="L140" s="21"/>
      <c r="M140" s="79">
        <f t="shared" si="41"/>
        <v>0.45691424708493944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énergie'!C30</f>
        <v>5.6584972145073235E-2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énergie'!C31</f>
        <v>0.5881912261494745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énergie'!C32</f>
        <v>8.0741361547576412E-2</v>
      </c>
      <c r="I148" s="47">
        <v>0.25</v>
      </c>
      <c r="J148" s="47">
        <v>0.25</v>
      </c>
      <c r="K148" s="47">
        <v>0.2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énergie'!C33</f>
        <v>1.2731783152525081E-2</v>
      </c>
      <c r="I149" s="47">
        <f t="shared" ref="I149:K150" si="43">H149</f>
        <v>1.2731783152525081E-2</v>
      </c>
      <c r="J149" s="47">
        <f t="shared" si="43"/>
        <v>1.2731783152525081E-2</v>
      </c>
      <c r="K149" s="47">
        <f t="shared" si="43"/>
        <v>1.2731783152525081E-2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énergie'!C34</f>
        <v>9.0821371602788342E-3</v>
      </c>
      <c r="I150" s="47">
        <f t="shared" si="43"/>
        <v>9.0821371602788342E-3</v>
      </c>
      <c r="J150" s="47">
        <f t="shared" si="43"/>
        <v>9.0821371602788342E-3</v>
      </c>
      <c r="K150" s="47">
        <v>0.04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énergie'!C35</f>
        <v>2.1278159067402536E-2</v>
      </c>
      <c r="I151" s="47">
        <f>1-I146-I147-I148-I149-I150-I152</f>
        <v>0.27818607968719605</v>
      </c>
      <c r="J151" s="47">
        <f t="shared" ref="J151:K151" si="44">1-J146-J147-J148-J149-J150-J152</f>
        <v>-1.8139203128039183E-3</v>
      </c>
      <c r="K151" s="47">
        <f t="shared" si="44"/>
        <v>-2.7317831525250913E-3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énergie'!C36</f>
        <v>0.23139036077766945</v>
      </c>
      <c r="I152" s="47">
        <v>0.45</v>
      </c>
      <c r="J152" s="47">
        <v>0.73</v>
      </c>
      <c r="K152" s="47">
        <v>0.75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5">SUM(I146:I152)</f>
        <v>1</v>
      </c>
      <c r="J153" s="15">
        <f t="shared" si="45"/>
        <v>1</v>
      </c>
      <c r="K153" s="15">
        <f t="shared" si="45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69.504976382321018</v>
      </c>
      <c r="J157" s="45">
        <f>K157</f>
        <v>69.504976382321018</v>
      </c>
      <c r="K157" s="45">
        <f t="shared" ref="K157:K163" si="46">K81</f>
        <v>69.504976382321018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7">J158</f>
        <v>57.939673449585769</v>
      </c>
      <c r="J158" s="45">
        <f t="shared" si="47"/>
        <v>57.939673449585769</v>
      </c>
      <c r="K158" s="45">
        <f t="shared" si="46"/>
        <v>57.939673449585769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7"/>
        <v>57.308107919591215</v>
      </c>
      <c r="J159" s="45">
        <f t="shared" si="47"/>
        <v>57.308107919591215</v>
      </c>
      <c r="K159" s="45">
        <f t="shared" si="46"/>
        <v>57.308107919591215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7"/>
        <v>58.484594912060231</v>
      </c>
      <c r="J160" s="45">
        <f t="shared" si="47"/>
        <v>58.484594912060231</v>
      </c>
      <c r="K160" s="45">
        <f t="shared" si="46"/>
        <v>58.484594912060231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7"/>
        <v>55.86387844282104</v>
      </c>
      <c r="J161" s="45">
        <f t="shared" si="47"/>
        <v>55.86387844282104</v>
      </c>
      <c r="K161" s="45">
        <f t="shared" si="46"/>
        <v>55.86387844282104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7"/>
        <v>35.082705004579907</v>
      </c>
      <c r="J162" s="45">
        <f t="shared" si="47"/>
        <v>35.082705004579907</v>
      </c>
      <c r="K162" s="45">
        <f t="shared" si="46"/>
        <v>35.082705004579907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7"/>
        <v>37.547211970004412</v>
      </c>
      <c r="J163" s="45">
        <f t="shared" si="47"/>
        <v>37.547211970004412</v>
      </c>
      <c r="K163" s="45">
        <f t="shared" si="46"/>
        <v>37.547211970004412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8">I$35*I146*I157/1000</f>
        <v>0</v>
      </c>
      <c r="J167" s="10">
        <f t="shared" si="48"/>
        <v>0</v>
      </c>
      <c r="K167" s="10">
        <f t="shared" si="48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9">H$35*H147*H158/1000</f>
        <v>0</v>
      </c>
      <c r="I168" s="10">
        <f t="shared" si="49"/>
        <v>0</v>
      </c>
      <c r="J168" s="10">
        <f t="shared" si="49"/>
        <v>0</v>
      </c>
      <c r="K168" s="10">
        <f t="shared" si="49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9"/>
        <v>0</v>
      </c>
      <c r="I169" s="10">
        <f t="shared" si="49"/>
        <v>71.091503938325644</v>
      </c>
      <c r="J169" s="10">
        <f t="shared" si="49"/>
        <v>48.636236581858952</v>
      </c>
      <c r="K169" s="10">
        <f t="shared" si="49"/>
        <v>38.477382268853745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9"/>
        <v>0</v>
      </c>
      <c r="I170" s="10">
        <f t="shared" si="49"/>
        <v>3.6948119736095291</v>
      </c>
      <c r="J170" s="10">
        <f t="shared" si="49"/>
        <v>2.5277528160025393</v>
      </c>
      <c r="K170" s="10">
        <f t="shared" si="49"/>
        <v>2.4997131310417626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9"/>
        <v>0</v>
      </c>
      <c r="I171" s="10">
        <f t="shared" si="49"/>
        <v>2.5175654132131822</v>
      </c>
      <c r="J171" s="10">
        <f t="shared" si="49"/>
        <v>1.7223564035664101</v>
      </c>
      <c r="K171" s="10">
        <f t="shared" si="49"/>
        <v>7.5015416976639751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9"/>
        <v>0</v>
      </c>
      <c r="I172" s="10">
        <f t="shared" si="49"/>
        <v>48.427281359804859</v>
      </c>
      <c r="J172" s="10">
        <f t="shared" si="49"/>
        <v>-0.21603054410012096</v>
      </c>
      <c r="K172" s="10">
        <f t="shared" si="49"/>
        <v>-0.32173532448989745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9"/>
        <v>0</v>
      </c>
      <c r="I173" s="10">
        <f t="shared" si="49"/>
        <v>83.840108427435283</v>
      </c>
      <c r="J173" s="10">
        <f t="shared" si="49"/>
        <v>93.047441974874971</v>
      </c>
      <c r="K173" s="10">
        <f t="shared" si="49"/>
        <v>94.536258516418371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0">SUM(I167:I173)</f>
        <v>209.5712711123885</v>
      </c>
      <c r="J174" s="11">
        <f t="shared" si="50"/>
        <v>145.71775723220276</v>
      </c>
      <c r="K174" s="11">
        <f t="shared" si="50"/>
        <v>142.69316028948796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1">H$36*($H$73*H45+(1-$H$73)*H59)+H$35*H146</f>
        <v>33755.555534903135</v>
      </c>
      <c r="I181" s="10">
        <f t="shared" si="51"/>
        <v>3274.8835371322207</v>
      </c>
      <c r="J181" s="10">
        <f t="shared" si="51"/>
        <v>0</v>
      </c>
      <c r="K181" s="10">
        <f t="shared" si="51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1"/>
        <v>98258.745814470487</v>
      </c>
      <c r="I182" s="10">
        <f t="shared" si="51"/>
        <v>82802.15535285107</v>
      </c>
      <c r="J182" s="10">
        <f t="shared" si="51"/>
        <v>38441.111510508737</v>
      </c>
      <c r="K182" s="10">
        <f t="shared" si="51"/>
        <v>4584.5585822409048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1"/>
        <v>14036.963687781501</v>
      </c>
      <c r="I183" s="10">
        <f t="shared" si="51"/>
        <v>33896.015081464131</v>
      </c>
      <c r="J183" s="10">
        <f t="shared" si="51"/>
        <v>38439.902843316406</v>
      </c>
      <c r="K183" s="10">
        <f t="shared" si="51"/>
        <v>40948.474995461562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1"/>
        <v>2172.3872373947556</v>
      </c>
      <c r="I184" s="10">
        <f t="shared" si="51"/>
        <v>1482.2920148530543</v>
      </c>
      <c r="J184" s="10">
        <f t="shared" si="51"/>
        <v>751.46126455523586</v>
      </c>
      <c r="K184" s="10">
        <f t="shared" si="51"/>
        <v>42.741394290247385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1"/>
        <v>1503.9603951194463</v>
      </c>
      <c r="I185" s="10">
        <f t="shared" si="51"/>
        <v>3210.7868217885102</v>
      </c>
      <c r="J185" s="10">
        <f t="shared" si="51"/>
        <v>6568.4353056916743</v>
      </c>
      <c r="K185" s="10">
        <f t="shared" si="51"/>
        <v>6371.7771776037234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1"/>
        <v>15039.603951194464</v>
      </c>
      <c r="I186" s="10">
        <f t="shared" si="51"/>
        <v>12367.569752959926</v>
      </c>
      <c r="J186" s="10">
        <f t="shared" si="51"/>
        <v>11510.921293328296</v>
      </c>
      <c r="K186" s="10">
        <f t="shared" si="51"/>
        <v>11000.007324729691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1"/>
        <v>2172.3872373947556</v>
      </c>
      <c r="I187" s="10">
        <f t="shared" si="51"/>
        <v>31706.87683790033</v>
      </c>
      <c r="J187" s="10">
        <f t="shared" si="51"/>
        <v>71122.987152636968</v>
      </c>
      <c r="K187" s="10">
        <f t="shared" si="51"/>
        <v>96346.869965766979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166939.60385825855</v>
      </c>
      <c r="I188" s="10">
        <f t="shared" ref="I188:K188" si="52">SUM(I181:I187)</f>
        <v>168740.57939894922</v>
      </c>
      <c r="J188" s="10">
        <f t="shared" si="52"/>
        <v>166834.81937003732</v>
      </c>
      <c r="K188" s="10">
        <f t="shared" si="52"/>
        <v>159294.42944009311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GB1593"/>
  <sheetViews>
    <sheetView showGridLines="0" topLeftCell="A37" zoomScale="115" zoomScaleNormal="115" workbookViewId="0">
      <selection activeCell="I66" sqref="I66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238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179200</v>
      </c>
      <c r="I7" s="10">
        <f t="shared" si="0"/>
        <v>196005.76671201803</v>
      </c>
      <c r="J7" s="10">
        <f t="shared" si="0"/>
        <v>209480.58833950156</v>
      </c>
      <c r="K7" s="10">
        <f t="shared" si="0"/>
        <v>215699.51918408886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21439.617925882485</v>
      </c>
      <c r="J8" s="76">
        <f t="shared" si="0"/>
        <v>18543.245511428384</v>
      </c>
      <c r="K8" s="76">
        <f t="shared" si="0"/>
        <v>11635.794006183507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179200</v>
      </c>
      <c r="I9" s="96">
        <f t="shared" si="1"/>
        <v>174566.14878613554</v>
      </c>
      <c r="J9" s="96">
        <f t="shared" si="1"/>
        <v>190937.34282807316</v>
      </c>
      <c r="K9" s="96">
        <f t="shared" si="1"/>
        <v>204063.72517790535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3808.9479439951956</v>
      </c>
      <c r="I13" s="86">
        <f t="shared" ref="I13:K13" si="2">I133+I167</f>
        <v>416.93626029091678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10537.022711480739</v>
      </c>
      <c r="I14" s="86">
        <f t="shared" si="3"/>
        <v>7605.1354821355817</v>
      </c>
      <c r="J14" s="86">
        <f t="shared" si="3"/>
        <v>3604.4025507415549</v>
      </c>
      <c r="K14" s="86">
        <f t="shared" si="3"/>
        <v>446.31279840125808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1744.7346539514624</v>
      </c>
      <c r="I15" s="86">
        <f t="shared" si="3"/>
        <v>3706.927463609657</v>
      </c>
      <c r="J15" s="86">
        <f t="shared" si="3"/>
        <v>4328.4697180385638</v>
      </c>
      <c r="K15" s="86">
        <f t="shared" si="3"/>
        <v>4102.7006501074593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268.71711769333643</v>
      </c>
      <c r="I16" s="86">
        <f t="shared" si="3"/>
        <v>195.31379737256538</v>
      </c>
      <c r="J16" s="86">
        <f t="shared" si="3"/>
        <v>118.87243738091632</v>
      </c>
      <c r="K16" s="86">
        <f t="shared" si="3"/>
        <v>29.456398550229537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289.13034571123416</v>
      </c>
      <c r="I17" s="86">
        <f t="shared" si="3"/>
        <v>443.68730998092445</v>
      </c>
      <c r="J17" s="86">
        <f t="shared" si="3"/>
        <v>615.47409850959912</v>
      </c>
      <c r="K17" s="86">
        <f t="shared" si="3"/>
        <v>788.42906597917477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2089.6512000000002</v>
      </c>
      <c r="I18" s="86">
        <f t="shared" si="3"/>
        <v>1861.6446529045763</v>
      </c>
      <c r="J18" s="86">
        <f t="shared" si="3"/>
        <v>1161.9223757007337</v>
      </c>
      <c r="K18" s="86">
        <f t="shared" si="3"/>
        <v>1099.4777989041495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258.00164643359227</v>
      </c>
      <c r="I19" s="86">
        <f t="shared" si="3"/>
        <v>1475.8541975433623</v>
      </c>
      <c r="J19" s="86">
        <f t="shared" si="3"/>
        <v>3568.1801808683977</v>
      </c>
      <c r="K19" s="86">
        <f t="shared" si="3"/>
        <v>4761.9945718758272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18996.205619265562</v>
      </c>
      <c r="I20" s="13">
        <f t="shared" ref="I20:K20" si="4">SUM(I13:I19)</f>
        <v>15705.499163837583</v>
      </c>
      <c r="J20" s="13">
        <f t="shared" si="4"/>
        <v>13397.321361239765</v>
      </c>
      <c r="K20" s="13">
        <f t="shared" si="4"/>
        <v>11228.371283818098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-0.37944521558437616</v>
      </c>
      <c r="J23" s="177">
        <f t="shared" ref="J23:K23" si="5">J118/$G118-1</f>
        <v>-0.47178850964860952</v>
      </c>
      <c r="K23" s="177">
        <f t="shared" si="5"/>
        <v>-0.54838041503516743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-0.32751877443793875</v>
      </c>
      <c r="J24" s="177">
        <f t="shared" ref="J24:K24" si="6">J129/$G129-1</f>
        <v>-0.42523328578324882</v>
      </c>
      <c r="K24" s="177">
        <f t="shared" si="6"/>
        <v>-0.49703762111720129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179200</v>
      </c>
      <c r="H34" s="125">
        <f>'Init. parc'!C25</f>
        <v>179200</v>
      </c>
      <c r="I34" s="125">
        <f>'Init. parc'!D25</f>
        <v>196005.76671201803</v>
      </c>
      <c r="J34" s="125">
        <f>'Init. parc'!E25</f>
        <v>209480.58833950156</v>
      </c>
      <c r="K34" s="125">
        <f>'Init. parc'!F25</f>
        <v>215699.51918408886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parc'!N25</f>
        <v>21439.617925882485</v>
      </c>
      <c r="J35" s="125">
        <f>'Init. parc'!O25</f>
        <v>18543.245511428384</v>
      </c>
      <c r="K35" s="125">
        <f>'Init. parc'!P25</f>
        <v>11635.794006183507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179200</v>
      </c>
      <c r="H36" s="125">
        <f>H34-H35</f>
        <v>179200</v>
      </c>
      <c r="I36" s="125">
        <f>I34-I35</f>
        <v>174566.14878613554</v>
      </c>
      <c r="J36" s="125">
        <f>J34-J35</f>
        <v>190937.34282807316</v>
      </c>
      <c r="K36" s="125">
        <f>K34-K35</f>
        <v>204063.72517790535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0.158</v>
      </c>
      <c r="H45" s="55">
        <f>'Init. énergie'!B48</f>
        <v>0.158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0.52700000000000002</v>
      </c>
      <c r="H46" s="55">
        <f>'Init. énergie'!B49</f>
        <v>0.52700000000000002</v>
      </c>
      <c r="I46" s="47">
        <f>H46*0.86</f>
        <v>0.45322000000000001</v>
      </c>
      <c r="J46" s="47">
        <f>H46*0.4</f>
        <v>0.21080000000000002</v>
      </c>
      <c r="K46" s="47">
        <f>H46*0.05</f>
        <v>2.6350000000000002E-2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8.5999999999999993E-2</v>
      </c>
      <c r="H47" s="55">
        <f>'Init. énergie'!B50</f>
        <v>8.5999999999999993E-2</v>
      </c>
      <c r="I47" s="47">
        <v>0.19</v>
      </c>
      <c r="J47" s="47">
        <v>0.23</v>
      </c>
      <c r="K47" s="47">
        <v>0.23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1.4999999999999999E-2</v>
      </c>
      <c r="H48" s="55">
        <f>'Init. énergie'!B51</f>
        <v>1.4999999999999999E-2</v>
      </c>
      <c r="I48" s="47">
        <f t="shared" ref="I48:I49" si="8">H48+((K48-H48)/3)</f>
        <v>9.9999999999999985E-3</v>
      </c>
      <c r="J48" s="47">
        <f t="shared" ref="J48" si="9">H48+((K48-H48)/3*2)</f>
        <v>4.9999999999999992E-3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1.2999999999999999E-2</v>
      </c>
      <c r="H49" s="55">
        <f>'Init. énergie'!B52</f>
        <v>1.2999999999999999E-2</v>
      </c>
      <c r="I49" s="47">
        <f t="shared" si="8"/>
        <v>2.1999999999999999E-2</v>
      </c>
      <c r="J49" s="47">
        <v>0.03</v>
      </c>
      <c r="K49" s="47">
        <v>0.04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0.16900000000000001</v>
      </c>
      <c r="H50" s="55">
        <f>'Init. énergie'!B53</f>
        <v>0.16900000000000001</v>
      </c>
      <c r="I50" s="47">
        <f>1-I45-I46-I47-I48-I49-I51</f>
        <v>0.15478</v>
      </c>
      <c r="J50" s="47">
        <f t="shared" ref="J50" si="10">1-J45-J46-J47-J48-J49-J51</f>
        <v>9.4200000000000006E-2</v>
      </c>
      <c r="K50" s="47">
        <f>1-K45-K46-K47-K48-K49-K51</f>
        <v>9.3650000000000011E-2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3.2000000000000001E-2</v>
      </c>
      <c r="H51" s="55">
        <f>'Init. énergie'!B54</f>
        <v>3.2000000000000001E-2</v>
      </c>
      <c r="I51" s="47">
        <v>0.15</v>
      </c>
      <c r="J51" s="47">
        <v>0.43</v>
      </c>
      <c r="K51" s="123">
        <v>0.61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1">SUM(G45:G51)</f>
        <v>1</v>
      </c>
      <c r="H52" s="149">
        <f t="shared" si="11"/>
        <v>1</v>
      </c>
      <c r="I52" s="155">
        <f t="shared" si="11"/>
        <v>1</v>
      </c>
      <c r="J52" s="155">
        <f t="shared" si="11"/>
        <v>1</v>
      </c>
      <c r="K52" s="155">
        <f>SUM(K45:K51)</f>
        <v>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2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-9.5067708299789916E-2</v>
      </c>
      <c r="J55" s="142">
        <f t="shared" si="12"/>
        <v>-0.16439064868957021</v>
      </c>
      <c r="K55" s="142">
        <f t="shared" si="12"/>
        <v>-0.13642011334894402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0.158</v>
      </c>
      <c r="H59" s="55">
        <f>H45</f>
        <v>0.158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3">H60</f>
        <v>0.52700000000000002</v>
      </c>
      <c r="H60" s="55">
        <f t="shared" ref="H60:K65" si="14">H46</f>
        <v>0.52700000000000002</v>
      </c>
      <c r="I60" s="47">
        <f t="shared" si="14"/>
        <v>0.45322000000000001</v>
      </c>
      <c r="J60" s="47">
        <f t="shared" si="14"/>
        <v>0.21080000000000002</v>
      </c>
      <c r="K60" s="47">
        <f t="shared" si="14"/>
        <v>2.6350000000000002E-2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3"/>
        <v>8.5999999999999993E-2</v>
      </c>
      <c r="H61" s="55">
        <f t="shared" si="14"/>
        <v>8.5999999999999993E-2</v>
      </c>
      <c r="I61" s="47">
        <v>0.19</v>
      </c>
      <c r="J61" s="47">
        <f t="shared" si="14"/>
        <v>0.23</v>
      </c>
      <c r="K61" s="47">
        <v>0.26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3"/>
        <v>1.4999999999999999E-2</v>
      </c>
      <c r="H62" s="55">
        <f t="shared" si="14"/>
        <v>1.4999999999999999E-2</v>
      </c>
      <c r="I62" s="47">
        <f t="shared" si="14"/>
        <v>9.9999999999999985E-3</v>
      </c>
      <c r="J62" s="47">
        <f t="shared" si="14"/>
        <v>4.9999999999999992E-3</v>
      </c>
      <c r="K62" s="47">
        <f t="shared" si="14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3"/>
        <v>1.2999999999999999E-2</v>
      </c>
      <c r="H63" s="55">
        <f t="shared" si="14"/>
        <v>1.2999999999999999E-2</v>
      </c>
      <c r="I63" s="47">
        <f t="shared" si="14"/>
        <v>2.1999999999999999E-2</v>
      </c>
      <c r="J63" s="47">
        <f t="shared" si="14"/>
        <v>0.03</v>
      </c>
      <c r="K63" s="47">
        <f t="shared" si="14"/>
        <v>0.04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3"/>
        <v>0.16900000000000001</v>
      </c>
      <c r="H64" s="55">
        <f t="shared" si="14"/>
        <v>0.16900000000000001</v>
      </c>
      <c r="I64" s="47">
        <v>0.14000000000000001</v>
      </c>
      <c r="J64" s="47">
        <f t="shared" si="14"/>
        <v>9.4200000000000006E-2</v>
      </c>
      <c r="K64" s="47">
        <f t="shared" si="14"/>
        <v>9.3650000000000011E-2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3"/>
        <v>3.2000000000000001E-2</v>
      </c>
      <c r="H65" s="55">
        <f t="shared" si="14"/>
        <v>3.2000000000000001E-2</v>
      </c>
      <c r="I65" s="47">
        <v>0.16</v>
      </c>
      <c r="J65" s="47">
        <f t="shared" si="14"/>
        <v>0.43</v>
      </c>
      <c r="K65" s="47">
        <v>0.57999999999999996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</v>
      </c>
      <c r="H66" s="149">
        <v>1</v>
      </c>
      <c r="I66" s="47">
        <f t="shared" ref="I66:J66" si="16">SUM(I59:I65)</f>
        <v>0.9952200000000001</v>
      </c>
      <c r="J66" s="47">
        <f t="shared" si="16"/>
        <v>1</v>
      </c>
      <c r="K66" s="47">
        <f>SUM(K59:K65)</f>
        <v>1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-0.10044384664743593</v>
      </c>
      <c r="J69" s="142">
        <f>(I$101*(J59-I59)+I$102*(J60-I60)+I$103*(J61-I61)+I$104*(J62-I62)+I$105*(J63-I63)+I$106*(J64-I64)+I$107*(J65-I65))/(I$101*I59+I$102*I60+I$103*I61+I$104*I62+I$105*I63+I$106*I64+I$107*I65)</f>
        <v>-0.16656623062039091</v>
      </c>
      <c r="K69" s="142">
        <f>(J$101*(K59-J59)+J$102*(K60-J60)+J$103*(K61-J61)+J$104*(K62-J62)+J$105*(K63-J63)+J$106*(K64-J64)+J$107*(K65-J65))/(J$101*J59+J$102*J60+J$103*J61+J$104*J62+J$105*J63+J$106*J64+J$107*J65)</f>
        <v>-0.12569712478065861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bord'!J12</f>
        <v>0.83</v>
      </c>
      <c r="G73" s="92">
        <f>'Tableau de bord'!J25</f>
        <v>0.96399999999999997</v>
      </c>
      <c r="H73" s="92">
        <f>'Tableau de bord'!J28</f>
        <v>0.96399999999999997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167.90443338994407</v>
      </c>
      <c r="H81" s="54">
        <f>'Init. énergie'!D48</f>
        <v>134.52715105091531</v>
      </c>
      <c r="I81" s="81">
        <f>G81*(1-F$77)/(1+I$55)</f>
        <v>119.21179014438083</v>
      </c>
      <c r="J81" s="81">
        <f>G81*(1-G$77)/(1+I$55)/(1+J$55)</f>
        <v>111.02295705348916</v>
      </c>
      <c r="K81" s="81">
        <f>G81*(1-H$77)/(1+I$55)/(1+J$55)/(1+K$55)</f>
        <v>102.84904386463539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7">H82/F82^10</f>
        <v>134.93364309349963</v>
      </c>
      <c r="H82" s="54">
        <f>'Init. énergie'!D49</f>
        <v>111.57561660808248</v>
      </c>
      <c r="I82" s="81">
        <f t="shared" ref="I82:I87" si="18">G82*(1-F$77)/(1+I$55)</f>
        <v>95.802599247164636</v>
      </c>
      <c r="J82" s="81">
        <f t="shared" ref="J82:J87" si="19">G82*(1-G$77)/(1+I$55)/(1+J$55)</f>
        <v>89.221777887478055</v>
      </c>
      <c r="K82" s="81">
        <f t="shared" ref="K82:K87" si="20">G82*(1-H$77)/(1+I$55)/(1+J$55)/(1+K$55)</f>
        <v>82.652946662274104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7"/>
        <v>127.96396714601187</v>
      </c>
      <c r="H83" s="54">
        <f>'Init. énergie'!D50</f>
        <v>113.21212196009803</v>
      </c>
      <c r="I83" s="81">
        <f t="shared" si="18"/>
        <v>90.854144166787876</v>
      </c>
      <c r="J83" s="81">
        <f t="shared" si="19"/>
        <v>84.613239460159704</v>
      </c>
      <c r="K83" s="81">
        <f t="shared" si="20"/>
        <v>78.383705566175692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7"/>
        <v>112.99541804936804</v>
      </c>
      <c r="H84" s="54">
        <f>'Init. énergie'!D51</f>
        <v>99.969165808532892</v>
      </c>
      <c r="I84" s="81">
        <f t="shared" si="18"/>
        <v>80.226506184586526</v>
      </c>
      <c r="J84" s="81">
        <f t="shared" si="19"/>
        <v>74.715629552205598</v>
      </c>
      <c r="K84" s="81">
        <f t="shared" si="20"/>
        <v>69.214793634855198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7"/>
        <v>140.28365833833044</v>
      </c>
      <c r="H85" s="54">
        <f>'Init. énergie'!D52</f>
        <v>124.11158383895697</v>
      </c>
      <c r="I85" s="81">
        <f t="shared" si="18"/>
        <v>99.601098677818769</v>
      </c>
      <c r="J85" s="81">
        <f t="shared" si="19"/>
        <v>92.759352808938914</v>
      </c>
      <c r="K85" s="81">
        <f t="shared" si="20"/>
        <v>85.930072474158862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7"/>
        <v>92.329324616720555</v>
      </c>
      <c r="H86" s="54">
        <f>'Init. énergie'!D53</f>
        <v>69</v>
      </c>
      <c r="I86" s="81">
        <f t="shared" si="18"/>
        <v>65.553623857082187</v>
      </c>
      <c r="J86" s="81">
        <f t="shared" si="19"/>
        <v>61.050649079012025</v>
      </c>
      <c r="K86" s="81">
        <f t="shared" si="20"/>
        <v>56.555878637484355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7"/>
        <v>60.203960449257927</v>
      </c>
      <c r="H87" s="54">
        <f>'Init. énergie'!D54</f>
        <v>44.991916579518737</v>
      </c>
      <c r="I87" s="81">
        <f t="shared" si="18"/>
        <v>42.744683711057846</v>
      </c>
      <c r="J87" s="81">
        <f t="shared" si="19"/>
        <v>39.808488557802633</v>
      </c>
      <c r="K87" s="81">
        <f t="shared" si="20"/>
        <v>36.877643097667857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2">G81</f>
        <v>167.90443338994407</v>
      </c>
      <c r="H101" s="54">
        <f t="shared" si="22"/>
        <v>134.52715105091531</v>
      </c>
      <c r="I101" s="81">
        <f>$H101*(1+$G91)^(I$100-$H$100)</f>
        <v>125.01505335719065</v>
      </c>
      <c r="J101" s="81">
        <f>$H101*(1+$G91)^(J$100-$H$100)</f>
        <v>116.17553366595948</v>
      </c>
      <c r="K101" s="81">
        <f>$H101*(1+$G91)^(K$100-$H$100)</f>
        <v>107.96103557231471</v>
      </c>
      <c r="L101" s="67"/>
      <c r="M101" s="79">
        <f>(K101-G101)/H101</f>
        <v>-0.44558587132304778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2"/>
        <v>134.93364309349963</v>
      </c>
      <c r="H102" s="54">
        <f t="shared" si="22"/>
        <v>111.57561660808248</v>
      </c>
      <c r="I102" s="81">
        <f t="shared" ref="I102:K107" si="23">$H102*(1+$G92)^(I$100-$H$100)</f>
        <v>104.76742992797396</v>
      </c>
      <c r="J102" s="81">
        <f t="shared" si="23"/>
        <v>98.374669191994641</v>
      </c>
      <c r="K102" s="81">
        <f t="shared" si="23"/>
        <v>92.371985695244845</v>
      </c>
      <c r="L102" s="67"/>
      <c r="M102" s="79">
        <f t="shared" ref="M102:M107" si="24">(K102-G102)/H102</f>
        <v>-0.38146020333237968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127.96396714601187</v>
      </c>
      <c r="H103" s="54">
        <f t="shared" si="22"/>
        <v>113.21212196009803</v>
      </c>
      <c r="I103" s="81">
        <f t="shared" si="23"/>
        <v>108.70102486427788</v>
      </c>
      <c r="J103" s="81">
        <f t="shared" si="23"/>
        <v>104.36967881150495</v>
      </c>
      <c r="K103" s="81">
        <f t="shared" si="23"/>
        <v>100.21092136727822</v>
      </c>
      <c r="L103" s="67"/>
      <c r="M103" s="79">
        <f t="shared" si="24"/>
        <v>-0.24514199803193601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112.99541804936804</v>
      </c>
      <c r="H104" s="54">
        <f t="shared" si="22"/>
        <v>99.969165808532892</v>
      </c>
      <c r="I104" s="81">
        <f t="shared" si="23"/>
        <v>95.985753027793905</v>
      </c>
      <c r="J104" s="81">
        <f t="shared" si="23"/>
        <v>92.16106496235507</v>
      </c>
      <c r="K104" s="81">
        <f t="shared" si="23"/>
        <v>88.488777001478368</v>
      </c>
      <c r="L104" s="67"/>
      <c r="M104" s="79">
        <f t="shared" si="24"/>
        <v>-0.24514199803193618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140.28365833833044</v>
      </c>
      <c r="H105" s="54">
        <f t="shared" si="22"/>
        <v>124.11158383895697</v>
      </c>
      <c r="I105" s="81">
        <f t="shared" si="23"/>
        <v>119.16618227135019</v>
      </c>
      <c r="J105" s="81">
        <f>$H105*(1+$G95)^(J$100-$H$100)</f>
        <v>114.41783722263067</v>
      </c>
      <c r="K105" s="81">
        <f>$H105*(1+$G95)^(K$100-$H$100)</f>
        <v>109.85869669714037</v>
      </c>
      <c r="L105" s="67"/>
      <c r="M105" s="79">
        <f t="shared" si="24"/>
        <v>-0.24514199803193612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92.329324616720555</v>
      </c>
      <c r="H106" s="54">
        <f t="shared" si="22"/>
        <v>69</v>
      </c>
      <c r="I106" s="81">
        <f t="shared" si="23"/>
        <v>62.674889766242217</v>
      </c>
      <c r="J106" s="81">
        <f t="shared" si="23"/>
        <v>56.929591408849475</v>
      </c>
      <c r="K106" s="81">
        <f t="shared" si="23"/>
        <v>51.710954579519566</v>
      </c>
      <c r="L106" s="67"/>
      <c r="M106" s="79">
        <f t="shared" si="24"/>
        <v>-0.58867202952465203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60.203960449257927</v>
      </c>
      <c r="H107" s="54">
        <f t="shared" si="22"/>
        <v>44.991916579518737</v>
      </c>
      <c r="I107" s="81">
        <f t="shared" si="23"/>
        <v>40.867585681062351</v>
      </c>
      <c r="J107" s="81">
        <f t="shared" si="23"/>
        <v>37.121325037290461</v>
      </c>
      <c r="K107" s="81">
        <f t="shared" si="23"/>
        <v>33.718477604188791</v>
      </c>
      <c r="L107" s="67"/>
      <c r="M107" s="79">
        <f t="shared" si="24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G$36*G45*$H$73*G81/1000</f>
        <v>4582.8357224812571</v>
      </c>
      <c r="H111" s="54">
        <f t="shared" si="25"/>
        <v>3671.8258180113685</v>
      </c>
      <c r="I111" s="125">
        <f t="shared" si="25"/>
        <v>401.22341487941901</v>
      </c>
      <c r="J111" s="125">
        <f t="shared" si="25"/>
        <v>0</v>
      </c>
      <c r="K111" s="125">
        <f t="shared" si="25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12284.172334963996</v>
      </c>
      <c r="H112" s="54">
        <f t="shared" si="25"/>
        <v>10157.689893867431</v>
      </c>
      <c r="I112" s="125">
        <f t="shared" si="25"/>
        <v>7306.7361214949624</v>
      </c>
      <c r="J112" s="125">
        <f t="shared" si="25"/>
        <v>3461.859100476413</v>
      </c>
      <c r="K112" s="125">
        <f t="shared" si="25"/>
        <v>428.43190515346305</v>
      </c>
      <c r="L112" s="46"/>
      <c r="M112" s="79">
        <f t="shared" ref="M112:M118" si="26">(K112-G112)/H112</f>
        <v>-1.1671689679134896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1901.0834720233158</v>
      </c>
      <c r="H113" s="54">
        <f t="shared" si="25"/>
        <v>1681.9242064092098</v>
      </c>
      <c r="I113" s="125">
        <f t="shared" si="25"/>
        <v>2904.9282321552923</v>
      </c>
      <c r="J113" s="125">
        <f t="shared" si="25"/>
        <v>3582.0699869618688</v>
      </c>
      <c r="K113" s="125">
        <f t="shared" si="25"/>
        <v>3546.4714752738846</v>
      </c>
      <c r="L113" s="46"/>
      <c r="M113" s="79">
        <f t="shared" si="26"/>
        <v>0.97827714053973736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292.79734310290002</v>
      </c>
      <c r="H114" s="54">
        <f t="shared" si="25"/>
        <v>259.0433014563763</v>
      </c>
      <c r="I114" s="125">
        <f t="shared" si="25"/>
        <v>135.00658255462778</v>
      </c>
      <c r="J114" s="125">
        <f t="shared" si="25"/>
        <v>68.762138192727505</v>
      </c>
      <c r="K114" s="125">
        <f t="shared" si="25"/>
        <v>0</v>
      </c>
      <c r="L114" s="46"/>
      <c r="M114" s="79">
        <f t="shared" si="26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315.0398372882355</v>
      </c>
      <c r="H115" s="54">
        <f t="shared" si="25"/>
        <v>278.7216532656297</v>
      </c>
      <c r="I115" s="125">
        <f t="shared" si="25"/>
        <v>368.74307631604762</v>
      </c>
      <c r="J115" s="125">
        <f t="shared" si="25"/>
        <v>512.20860813810293</v>
      </c>
      <c r="K115" s="125">
        <f t="shared" si="25"/>
        <v>676.15772435617646</v>
      </c>
      <c r="L115" s="46"/>
      <c r="M115" s="79">
        <f t="shared" si="26"/>
        <v>1.2956219326231726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2695.5128254669703</v>
      </c>
      <c r="H116" s="54">
        <f t="shared" si="25"/>
        <v>2014.4237568000001</v>
      </c>
      <c r="I116" s="125">
        <f t="shared" si="25"/>
        <v>1707.4524255050546</v>
      </c>
      <c r="J116" s="125">
        <f t="shared" si="25"/>
        <v>1058.5444434159494</v>
      </c>
      <c r="K116" s="125">
        <f t="shared" si="25"/>
        <v>1041.9056183052592</v>
      </c>
      <c r="L116" s="46"/>
      <c r="M116" s="79">
        <f t="shared" si="26"/>
        <v>-0.82088349165844743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332.80518153141662</v>
      </c>
      <c r="H117" s="54">
        <f t="shared" si="25"/>
        <v>248.71358716198296</v>
      </c>
      <c r="I117" s="125">
        <f t="shared" si="25"/>
        <v>1078.9726384689116</v>
      </c>
      <c r="J117" s="125">
        <f t="shared" si="25"/>
        <v>3150.7362713267948</v>
      </c>
      <c r="K117" s="125">
        <f t="shared" si="25"/>
        <v>4425.2298806283779</v>
      </c>
      <c r="L117" s="46"/>
      <c r="M117" s="79">
        <f t="shared" si="26"/>
        <v>16.454367233389764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22404.246716858084</v>
      </c>
      <c r="H118" s="146">
        <f>SUM(H111:H117)</f>
        <v>18312.342216972</v>
      </c>
      <c r="I118" s="144">
        <f t="shared" ref="I118:J118" si="27">SUM(I111:I117)</f>
        <v>13903.062491374316</v>
      </c>
      <c r="J118" s="144">
        <f t="shared" si="27"/>
        <v>11834.180548511857</v>
      </c>
      <c r="K118" s="144">
        <f>SUM(K111:K117)</f>
        <v>10118.196603717162</v>
      </c>
      <c r="L118" s="21"/>
      <c r="M118" s="79">
        <f t="shared" si="26"/>
        <v>-0.67091636709115943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G$36*G45*(1-$H$73)*G101/1000</f>
        <v>171.14324274826288</v>
      </c>
      <c r="H122" s="147">
        <f t="shared" si="28"/>
        <v>137.12212598382717</v>
      </c>
      <c r="I122" s="143">
        <f t="shared" ref="I122:I128" si="29">I$36*I59*(1-$H$73)*I101/1000</f>
        <v>15.712845411497787</v>
      </c>
      <c r="J122" s="143">
        <f t="shared" ref="J122:K122" si="30">J$36*J59*(1-$H$73)*J101/1000</f>
        <v>0</v>
      </c>
      <c r="K122" s="143">
        <f t="shared" si="30"/>
        <v>0</v>
      </c>
      <c r="L122" s="46"/>
      <c r="M122" s="79">
        <f>(K122-G122)/H122</f>
        <v>-1.2481081482681236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458.74502495716206</v>
      </c>
      <c r="H123" s="147">
        <f t="shared" si="28"/>
        <v>379.33281761330687</v>
      </c>
      <c r="I123" s="143">
        <f t="shared" si="29"/>
        <v>298.39936064061942</v>
      </c>
      <c r="J123" s="143">
        <f t="shared" ref="J123:K123" si="31">J$36*J60*(1-$H$73)*J102/1000</f>
        <v>142.54345026514179</v>
      </c>
      <c r="K123" s="143">
        <f t="shared" si="31"/>
        <v>17.880893247795001</v>
      </c>
      <c r="L123" s="46"/>
      <c r="M123" s="79">
        <f t="shared" ref="M123:M129" si="32">(K123-G123)/H123</f>
        <v>-1.1622093086572471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70.994818457302301</v>
      </c>
      <c r="H124" s="147">
        <f t="shared" si="28"/>
        <v>62.810447542252703</v>
      </c>
      <c r="I124" s="143">
        <f t="shared" si="29"/>
        <v>129.79255187289471</v>
      </c>
      <c r="J124" s="143">
        <f t="shared" ref="J124:K124" si="33">J$36*J61*(1-$H$73)*J103/1000</f>
        <v>165.00441251305048</v>
      </c>
      <c r="K124" s="143">
        <f t="shared" si="33"/>
        <v>191.40651426983081</v>
      </c>
      <c r="L124" s="46"/>
      <c r="M124" s="79">
        <f t="shared" si="32"/>
        <v>1.9170647642898475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10.934340613801256</v>
      </c>
      <c r="H125" s="147">
        <f t="shared" si="28"/>
        <v>9.6738162369601195</v>
      </c>
      <c r="I125" s="143">
        <f t="shared" si="29"/>
        <v>6.0321107679836912</v>
      </c>
      <c r="J125" s="143">
        <f t="shared" ref="J125:K125" si="34">J$36*J62*(1-$H$73)*J104/1000</f>
        <v>3.1674579941011549</v>
      </c>
      <c r="K125" s="143">
        <f t="shared" si="34"/>
        <v>0</v>
      </c>
      <c r="L125" s="46"/>
      <c r="M125" s="79">
        <f t="shared" si="32"/>
        <v>-1.1303027001924155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11.764973176739096</v>
      </c>
      <c r="H126" s="147">
        <f t="shared" si="28"/>
        <v>10.408692445604437</v>
      </c>
      <c r="I126" s="143">
        <f t="shared" si="29"/>
        <v>16.475486151687775</v>
      </c>
      <c r="J126" s="143">
        <f t="shared" ref="J126:K126" si="35">J$36*J63*(1-$H$73)*J105/1000</f>
        <v>23.594368836338045</v>
      </c>
      <c r="K126" s="143">
        <f t="shared" si="35"/>
        <v>32.282171843339711</v>
      </c>
      <c r="L126" s="46"/>
      <c r="M126" s="79">
        <f t="shared" si="32"/>
        <v>1.9711600447244428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100.66230468548862</v>
      </c>
      <c r="H127" s="147">
        <f t="shared" si="28"/>
        <v>75.227443200000081</v>
      </c>
      <c r="I127" s="143">
        <f t="shared" si="29"/>
        <v>55.142207225726004</v>
      </c>
      <c r="J127" s="143">
        <f t="shared" ref="J127:K127" si="36">J$36*J64*(1-$H$73)*J106/1000</f>
        <v>36.862292833213679</v>
      </c>
      <c r="K127" s="143">
        <f t="shared" si="36"/>
        <v>35.576125442921139</v>
      </c>
      <c r="L127" s="46"/>
      <c r="M127" s="79">
        <f t="shared" si="32"/>
        <v>-0.86519196285229338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12.4284092688081</v>
      </c>
      <c r="H128" s="147">
        <f t="shared" si="28"/>
        <v>9.2880592716093311</v>
      </c>
      <c r="I128" s="143">
        <f t="shared" si="29"/>
        <v>41.092398964975558</v>
      </c>
      <c r="J128" s="143">
        <f t="shared" ref="J128:K128" si="37">J$36*J65*(1-$H$73)*J107/1000</f>
        <v>109.71987411230324</v>
      </c>
      <c r="K128" s="143">
        <f t="shared" si="37"/>
        <v>143.66939491434078</v>
      </c>
      <c r="L128" s="46"/>
      <c r="M128" s="79">
        <f t="shared" si="32"/>
        <v>14.130076241728451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836.67311390756436</v>
      </c>
      <c r="H129" s="148">
        <f>SUM(H122:H128)</f>
        <v>683.86340229356063</v>
      </c>
      <c r="I129" s="145">
        <f t="shared" ref="I129:K129" si="38">SUM(I122:I128)</f>
        <v>562.64696103538495</v>
      </c>
      <c r="J129" s="145">
        <f t="shared" si="38"/>
        <v>480.89185655414838</v>
      </c>
      <c r="K129" s="145">
        <f t="shared" si="38"/>
        <v>420.81509971822743</v>
      </c>
      <c r="L129" s="21"/>
      <c r="M129" s="79">
        <f t="shared" si="32"/>
        <v>-0.60810099326067224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3808.9479439951956</v>
      </c>
      <c r="I133" s="143">
        <f t="shared" ref="I133:K133" si="39">I111+I122</f>
        <v>416.93626029091678</v>
      </c>
      <c r="J133" s="143">
        <f t="shared" si="39"/>
        <v>0</v>
      </c>
      <c r="K133" s="143">
        <f t="shared" si="39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0">H112+H123</f>
        <v>10537.022711480739</v>
      </c>
      <c r="I134" s="143">
        <f t="shared" si="40"/>
        <v>7605.1354821355817</v>
      </c>
      <c r="J134" s="143">
        <f t="shared" si="40"/>
        <v>3604.4025507415549</v>
      </c>
      <c r="K134" s="143">
        <f t="shared" si="40"/>
        <v>446.31279840125808</v>
      </c>
      <c r="L134" s="46"/>
      <c r="M134" s="79">
        <f t="shared" ref="M134:M140" si="41">(K134-G134)/H134</f>
        <v>4.2356632477879415E-2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0"/>
        <v>1744.7346539514624</v>
      </c>
      <c r="I135" s="143">
        <f t="shared" si="40"/>
        <v>3034.7207840281872</v>
      </c>
      <c r="J135" s="143">
        <f t="shared" si="40"/>
        <v>3747.0743994749191</v>
      </c>
      <c r="K135" s="143">
        <f t="shared" si="40"/>
        <v>3737.8779895437156</v>
      </c>
      <c r="L135" s="46"/>
      <c r="M135" s="79">
        <f t="shared" si="41"/>
        <v>2.1423761951871572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0"/>
        <v>268.71711769333643</v>
      </c>
      <c r="I136" s="143">
        <f t="shared" si="40"/>
        <v>141.03869332261146</v>
      </c>
      <c r="J136" s="143">
        <f t="shared" si="40"/>
        <v>71.929596186828661</v>
      </c>
      <c r="K136" s="143">
        <f t="shared" si="40"/>
        <v>0</v>
      </c>
      <c r="L136" s="46"/>
      <c r="M136" s="79">
        <f t="shared" si="41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0"/>
        <v>289.13034571123416</v>
      </c>
      <c r="I137" s="143">
        <f t="shared" si="40"/>
        <v>385.21856246773541</v>
      </c>
      <c r="J137" s="143">
        <f t="shared" si="40"/>
        <v>535.80297697444098</v>
      </c>
      <c r="K137" s="143">
        <f t="shared" si="40"/>
        <v>708.43989619951617</v>
      </c>
      <c r="L137" s="46"/>
      <c r="M137" s="79">
        <f t="shared" si="41"/>
        <v>2.4502440048512337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0"/>
        <v>2089.6512000000002</v>
      </c>
      <c r="I138" s="143">
        <f t="shared" si="40"/>
        <v>1762.5946327307806</v>
      </c>
      <c r="J138" s="143">
        <f t="shared" si="40"/>
        <v>1095.406736249163</v>
      </c>
      <c r="K138" s="143">
        <f t="shared" si="40"/>
        <v>1077.4817437481804</v>
      </c>
      <c r="L138" s="46"/>
      <c r="M138" s="79">
        <f t="shared" si="41"/>
        <v>0.51562755724408948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0"/>
        <v>258.00164643359227</v>
      </c>
      <c r="I139" s="143">
        <f t="shared" si="40"/>
        <v>1120.065037433887</v>
      </c>
      <c r="J139" s="143">
        <f t="shared" si="40"/>
        <v>3260.4561454390982</v>
      </c>
      <c r="K139" s="143">
        <f t="shared" si="40"/>
        <v>4568.8992755427189</v>
      </c>
      <c r="L139" s="46"/>
      <c r="M139" s="79">
        <f t="shared" si="41"/>
        <v>17.708798911555473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18996.205619265562</v>
      </c>
      <c r="I140" s="145">
        <f t="shared" ref="I140:K140" si="42">SUM(I133:I139)</f>
        <v>14465.709452409701</v>
      </c>
      <c r="J140" s="145">
        <f t="shared" si="42"/>
        <v>12315.072405066005</v>
      </c>
      <c r="K140" s="145">
        <f t="shared" si="42"/>
        <v>10539.01170343539</v>
      </c>
      <c r="L140" s="21"/>
      <c r="M140" s="79">
        <f t="shared" si="41"/>
        <v>0.5547956215396479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énergie'!C48</f>
        <v>1.1068404808735261E-2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énergie'!C49</f>
        <v>0.44151844048973238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énergie'!C50</f>
        <v>0.19276276753541544</v>
      </c>
      <c r="I148" s="47">
        <v>0.4</v>
      </c>
      <c r="J148" s="47">
        <v>0.4</v>
      </c>
      <c r="K148" s="47">
        <v>0.4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énergie'!C51</f>
        <v>3.6575030316210601E-2</v>
      </c>
      <c r="I149" s="47">
        <f t="shared" ref="I149:K150" si="43">H149</f>
        <v>3.6575030316210601E-2</v>
      </c>
      <c r="J149" s="47">
        <f t="shared" si="43"/>
        <v>3.6575030316210601E-2</v>
      </c>
      <c r="K149" s="47">
        <f t="shared" si="43"/>
        <v>3.6575030316210601E-2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énergie'!C52</f>
        <v>3.1736685713051743E-2</v>
      </c>
      <c r="I150" s="47">
        <f t="shared" si="43"/>
        <v>3.1736685713051743E-2</v>
      </c>
      <c r="J150" s="47">
        <v>0.05</v>
      </c>
      <c r="K150" s="47">
        <v>0.08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énergie'!C53</f>
        <v>8.5410409228175652E-2</v>
      </c>
      <c r="I151" s="47">
        <f>1-I146-I147-I148-I149-I150-I152</f>
        <v>8.168828397073763E-2</v>
      </c>
      <c r="J151" s="47">
        <f t="shared" ref="J151:K151" si="44">1-J146-J147-J148-J149-J150-J152</f>
        <v>6.3424969683789356E-2</v>
      </c>
      <c r="K151" s="47">
        <f t="shared" si="44"/>
        <v>3.3424969683789385E-2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énergie'!C54</f>
        <v>0.20092826190867891</v>
      </c>
      <c r="I152" s="47">
        <v>0.45</v>
      </c>
      <c r="J152" s="47">
        <v>0.45</v>
      </c>
      <c r="K152" s="47">
        <v>0.45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5">SUM(I146:I152)</f>
        <v>1</v>
      </c>
      <c r="J153" s="15">
        <f t="shared" si="45"/>
        <v>1</v>
      </c>
      <c r="K153" s="15">
        <f t="shared" si="45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102.84904386463539</v>
      </c>
      <c r="J157" s="45">
        <f>K157</f>
        <v>102.84904386463539</v>
      </c>
      <c r="K157" s="45">
        <f t="shared" ref="K157:K163" si="46">K81</f>
        <v>102.84904386463539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7">J158</f>
        <v>82.652946662274104</v>
      </c>
      <c r="J158" s="45">
        <f t="shared" si="47"/>
        <v>82.652946662274104</v>
      </c>
      <c r="K158" s="45">
        <f t="shared" si="46"/>
        <v>82.652946662274104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7"/>
        <v>78.383705566175692</v>
      </c>
      <c r="J159" s="45">
        <f t="shared" si="47"/>
        <v>78.383705566175692</v>
      </c>
      <c r="K159" s="45">
        <f t="shared" si="46"/>
        <v>78.383705566175692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7"/>
        <v>69.214793634855198</v>
      </c>
      <c r="J160" s="45">
        <f t="shared" si="47"/>
        <v>69.214793634855198</v>
      </c>
      <c r="K160" s="45">
        <f t="shared" si="46"/>
        <v>69.214793634855198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7"/>
        <v>85.930072474158862</v>
      </c>
      <c r="J161" s="45">
        <f t="shared" si="47"/>
        <v>85.930072474158862</v>
      </c>
      <c r="K161" s="45">
        <f t="shared" si="46"/>
        <v>85.930072474158862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7"/>
        <v>56.555878637484355</v>
      </c>
      <c r="J162" s="45">
        <f t="shared" si="47"/>
        <v>56.555878637484355</v>
      </c>
      <c r="K162" s="45">
        <f t="shared" si="46"/>
        <v>56.555878637484355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7"/>
        <v>36.877643097667857</v>
      </c>
      <c r="J163" s="45">
        <f t="shared" si="47"/>
        <v>36.877643097667857</v>
      </c>
      <c r="K163" s="45">
        <f t="shared" si="46"/>
        <v>36.877643097667857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8">I$35*I146*I157/1000</f>
        <v>0</v>
      </c>
      <c r="J167" s="10">
        <f t="shared" si="48"/>
        <v>0</v>
      </c>
      <c r="K167" s="10">
        <f t="shared" si="48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9">H$35*H147*H158/1000</f>
        <v>0</v>
      </c>
      <c r="I168" s="10">
        <f t="shared" si="49"/>
        <v>0</v>
      </c>
      <c r="J168" s="10">
        <f t="shared" si="49"/>
        <v>0</v>
      </c>
      <c r="K168" s="10">
        <f t="shared" si="49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9"/>
        <v>0</v>
      </c>
      <c r="I169" s="10">
        <f t="shared" si="49"/>
        <v>672.2066795814701</v>
      </c>
      <c r="J169" s="10">
        <f t="shared" si="49"/>
        <v>581.39531856364465</v>
      </c>
      <c r="K169" s="10">
        <f t="shared" si="49"/>
        <v>364.82266056374397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9"/>
        <v>0</v>
      </c>
      <c r="I170" s="10">
        <f t="shared" si="49"/>
        <v>54.275104049953917</v>
      </c>
      <c r="J170" s="10">
        <f t="shared" si="49"/>
        <v>46.942841194087663</v>
      </c>
      <c r="K170" s="10">
        <f t="shared" si="49"/>
        <v>29.456398550229537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9"/>
        <v>0</v>
      </c>
      <c r="I171" s="10">
        <f t="shared" si="49"/>
        <v>58.468747513189022</v>
      </c>
      <c r="J171" s="10">
        <f t="shared" si="49"/>
        <v>79.671121535158107</v>
      </c>
      <c r="K171" s="10">
        <f t="shared" si="49"/>
        <v>79.989169779658567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9"/>
        <v>0</v>
      </c>
      <c r="I172" s="10">
        <f t="shared" si="49"/>
        <v>99.050020173795801</v>
      </c>
      <c r="J172" s="10">
        <f t="shared" si="49"/>
        <v>66.515639451570749</v>
      </c>
      <c r="K172" s="10">
        <f t="shared" si="49"/>
        <v>21.996055155969181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9"/>
        <v>0</v>
      </c>
      <c r="I173" s="10">
        <f t="shared" si="49"/>
        <v>355.78916010947529</v>
      </c>
      <c r="J173" s="10">
        <f t="shared" si="49"/>
        <v>307.72403542929936</v>
      </c>
      <c r="K173" s="10">
        <f t="shared" si="49"/>
        <v>193.09529633310822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0">SUM(I167:I173)</f>
        <v>1239.7897114278842</v>
      </c>
      <c r="J174" s="11">
        <f t="shared" si="50"/>
        <v>1082.2489561737607</v>
      </c>
      <c r="K174" s="11">
        <f t="shared" si="50"/>
        <v>689.35958038270951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1">H$36*($H$73*H45+(1-$H$73)*H59)+H$35*H146</f>
        <v>28313.599999999999</v>
      </c>
      <c r="I181" s="10">
        <f t="shared" si="51"/>
        <v>3491.3229757227109</v>
      </c>
      <c r="J181" s="10">
        <f t="shared" si="51"/>
        <v>0</v>
      </c>
      <c r="K181" s="10">
        <f t="shared" si="51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1"/>
        <v>94438.400000000009</v>
      </c>
      <c r="I182" s="10">
        <f t="shared" si="51"/>
        <v>79116.869952852358</v>
      </c>
      <c r="J182" s="10">
        <f t="shared" si="51"/>
        <v>40249.591868157826</v>
      </c>
      <c r="K182" s="10">
        <f t="shared" si="51"/>
        <v>5377.0791584378067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1"/>
        <v>15411.199999999999</v>
      </c>
      <c r="I183" s="10">
        <f t="shared" si="51"/>
        <v>41743.415439718745</v>
      </c>
      <c r="J183" s="10">
        <f t="shared" si="51"/>
        <v>51332.887055028186</v>
      </c>
      <c r="K183" s="10">
        <f t="shared" si="51"/>
        <v>51809.363216583777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1"/>
        <v>2688</v>
      </c>
      <c r="I184" s="10">
        <f t="shared" si="51"/>
        <v>2529.8161634684793</v>
      </c>
      <c r="J184" s="10">
        <f t="shared" si="51"/>
        <v>1632.906480881795</v>
      </c>
      <c r="K184" s="10">
        <f t="shared" si="51"/>
        <v>425.57951852934337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1"/>
        <v>2329.6</v>
      </c>
      <c r="I185" s="10">
        <f t="shared" si="51"/>
        <v>4520.8776892166243</v>
      </c>
      <c r="J185" s="10">
        <f t="shared" si="51"/>
        <v>6655.2825604136142</v>
      </c>
      <c r="K185" s="10">
        <f t="shared" si="51"/>
        <v>9093.4125276108953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1"/>
        <v>30284.800000000003</v>
      </c>
      <c r="I186" s="10">
        <f t="shared" si="51"/>
        <v>28677.830950025538</v>
      </c>
      <c r="J186" s="10">
        <f t="shared" si="51"/>
        <v>19162.402478805903</v>
      </c>
      <c r="K186" s="10">
        <f t="shared" si="51"/>
        <v>19499.493924814338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1"/>
        <v>5734.4000000000005</v>
      </c>
      <c r="I187" s="10">
        <f t="shared" si="51"/>
        <v>35895.594198130457</v>
      </c>
      <c r="J187" s="10">
        <f t="shared" si="51"/>
        <v>90447.517896214238</v>
      </c>
      <c r="K187" s="10">
        <f t="shared" si="51"/>
        <v>129494.59083811271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179200.00000000003</v>
      </c>
      <c r="I188" s="10">
        <f t="shared" ref="I188:K188" si="52">SUM(I181:I187)</f>
        <v>195975.7273691349</v>
      </c>
      <c r="J188" s="10">
        <f t="shared" si="52"/>
        <v>209480.58833950158</v>
      </c>
      <c r="K188" s="10">
        <f t="shared" si="52"/>
        <v>215699.51918408886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GB1593"/>
  <sheetViews>
    <sheetView showGridLines="0" topLeftCell="D37" zoomScale="115" zoomScaleNormal="115" workbookViewId="0">
      <selection activeCell="I66" sqref="I66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239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56508.434021496723</v>
      </c>
      <c r="I7" s="10">
        <f t="shared" si="0"/>
        <v>58404.017751985768</v>
      </c>
      <c r="J7" s="10">
        <f t="shared" si="0"/>
        <v>59160.994293855387</v>
      </c>
      <c r="K7" s="10">
        <f t="shared" si="0"/>
        <v>57895.332115337398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3032.6506608058498</v>
      </c>
      <c r="J8" s="76">
        <f t="shared" si="0"/>
        <v>1932.1865496032522</v>
      </c>
      <c r="K8" s="76">
        <f t="shared" si="0"/>
        <v>1190.4419462520159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56508.434021496723</v>
      </c>
      <c r="I9" s="96">
        <f t="shared" si="1"/>
        <v>55371.36709117992</v>
      </c>
      <c r="J9" s="96">
        <f t="shared" si="1"/>
        <v>57228.807744252132</v>
      </c>
      <c r="K9" s="96">
        <f t="shared" si="1"/>
        <v>56704.890169085382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775.0285636451614</v>
      </c>
      <c r="I13" s="86">
        <f t="shared" ref="I13:K13" si="2">I133+I167</f>
        <v>122.89630535301498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4659.8384813407283</v>
      </c>
      <c r="I14" s="86">
        <f t="shared" si="3"/>
        <v>3556.130826487105</v>
      </c>
      <c r="J14" s="86">
        <f t="shared" si="3"/>
        <v>1842.7174219457263</v>
      </c>
      <c r="K14" s="86">
        <f t="shared" si="3"/>
        <v>249.26294855321964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196.33019618287977</v>
      </c>
      <c r="I15" s="86">
        <f t="shared" si="3"/>
        <v>440.86141217293198</v>
      </c>
      <c r="J15" s="86">
        <f t="shared" si="3"/>
        <v>565.98966494131707</v>
      </c>
      <c r="K15" s="86">
        <f t="shared" si="3"/>
        <v>621.12820441494387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23.048589382883492</v>
      </c>
      <c r="I16" s="86">
        <f t="shared" si="3"/>
        <v>13.928731005992304</v>
      </c>
      <c r="J16" s="86">
        <f t="shared" si="3"/>
        <v>7.1778779598132187</v>
      </c>
      <c r="K16" s="86">
        <f t="shared" si="3"/>
        <v>0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21.255363322958679</v>
      </c>
      <c r="I17" s="86">
        <f t="shared" si="3"/>
        <v>56.256845218318389</v>
      </c>
      <c r="J17" s="86">
        <f t="shared" si="3"/>
        <v>95.862748410434719</v>
      </c>
      <c r="K17" s="86">
        <f t="shared" si="3"/>
        <v>140.0947914401533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922.21764323082664</v>
      </c>
      <c r="I18" s="86">
        <f t="shared" si="3"/>
        <v>696.15654039766798</v>
      </c>
      <c r="J18" s="86">
        <f t="shared" si="3"/>
        <v>478.59379908336115</v>
      </c>
      <c r="K18" s="86">
        <f t="shared" si="3"/>
        <v>474.72210117268406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164.33662746238309</v>
      </c>
      <c r="I19" s="86">
        <f t="shared" si="3"/>
        <v>516.89491801875215</v>
      </c>
      <c r="J19" s="86">
        <f t="shared" si="3"/>
        <v>1254.0904472704087</v>
      </c>
      <c r="K19" s="86">
        <f t="shared" si="3"/>
        <v>1800.3559856399422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6762.055464567823</v>
      </c>
      <c r="I20" s="13">
        <f t="shared" ref="I20:K20" si="4">SUM(I13:I19)</f>
        <v>5403.125578653784</v>
      </c>
      <c r="J20" s="13">
        <f t="shared" si="4"/>
        <v>4244.4319596110608</v>
      </c>
      <c r="K20" s="13">
        <f t="shared" si="4"/>
        <v>3285.564031220943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-0.3722874242771258</v>
      </c>
      <c r="J23" s="177">
        <f t="shared" ref="J23:K23" si="5">J118/$G118-1</f>
        <v>-0.49512117789944488</v>
      </c>
      <c r="K23" s="177">
        <f t="shared" si="5"/>
        <v>-0.59979458899302918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-0.365648562316644</v>
      </c>
      <c r="J24" s="177">
        <f t="shared" ref="J24:K24" si="6">J129/$G129-1</f>
        <v>-0.57109288732030339</v>
      </c>
      <c r="K24" s="177">
        <f t="shared" si="6"/>
        <v>-0.72661144533938682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56508.434021496723</v>
      </c>
      <c r="H34" s="125">
        <f>'Init. parc'!C26</f>
        <v>56508.434021496723</v>
      </c>
      <c r="I34" s="125">
        <f>'Init. parc'!D26</f>
        <v>58404.017751985768</v>
      </c>
      <c r="J34" s="125">
        <f>'Init. parc'!E26</f>
        <v>59160.994293855387</v>
      </c>
      <c r="K34" s="125">
        <f>'Init. parc'!F26</f>
        <v>57895.332115337398</v>
      </c>
      <c r="L34" s="6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parc'!N26</f>
        <v>3032.6506608058498</v>
      </c>
      <c r="J35" s="125">
        <f>'Init. parc'!O26</f>
        <v>1932.1865496032522</v>
      </c>
      <c r="K35" s="125">
        <f>'Init. parc'!P26</f>
        <v>1190.4419462520159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56508.434021496723</v>
      </c>
      <c r="H36" s="125">
        <f>H34-H35</f>
        <v>56508.434021496723</v>
      </c>
      <c r="I36" s="125">
        <f>I34-I35</f>
        <v>55371.36709117992</v>
      </c>
      <c r="J36" s="125">
        <f>J34-J35</f>
        <v>57228.807744252132</v>
      </c>
      <c r="K36" s="125">
        <f>K34-K35</f>
        <v>56704.890169085382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0.115</v>
      </c>
      <c r="H45" s="55">
        <f>'Init. énergie'!B57</f>
        <v>0.115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0.47399999999999998</v>
      </c>
      <c r="H46" s="55">
        <f>'Init. énergie'!B58</f>
        <v>0.47399999999999998</v>
      </c>
      <c r="I46" s="47">
        <f>H46*0.86</f>
        <v>0.40763999999999995</v>
      </c>
      <c r="J46" s="47">
        <f>H46*0.4</f>
        <v>0.18959999999999999</v>
      </c>
      <c r="K46" s="47">
        <f>H46*0.05</f>
        <v>2.3699999999999999E-2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7.4999999999999997E-2</v>
      </c>
      <c r="H47" s="55">
        <f>'Init. énergie'!B59</f>
        <v>7.4999999999999997E-2</v>
      </c>
      <c r="I47" s="47">
        <v>0.18</v>
      </c>
      <c r="J47" s="47">
        <v>0.22</v>
      </c>
      <c r="K47" s="47">
        <v>0.22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8.9999999999999993E-3</v>
      </c>
      <c r="H48" s="55">
        <f>'Init. énergie'!B60</f>
        <v>8.9999999999999993E-3</v>
      </c>
      <c r="I48" s="47">
        <f t="shared" ref="I48:I49" si="8">H48+((K48-H48)/3)</f>
        <v>6.0000000000000001E-3</v>
      </c>
      <c r="J48" s="47">
        <f t="shared" ref="J48:J49" si="9">H48+((K48-H48)/3*2)</f>
        <v>3.0000000000000001E-3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8.0000000000000002E-3</v>
      </c>
      <c r="H49" s="55">
        <f>'Init. énergie'!B61</f>
        <v>8.0000000000000002E-3</v>
      </c>
      <c r="I49" s="47">
        <f t="shared" si="8"/>
        <v>2.1999999999999999E-2</v>
      </c>
      <c r="J49" s="47">
        <f t="shared" si="9"/>
        <v>3.6000000000000004E-2</v>
      </c>
      <c r="K49" s="47">
        <v>0.05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0.255</v>
      </c>
      <c r="H50" s="55">
        <f>'Init. énergie'!B62</f>
        <v>0.255</v>
      </c>
      <c r="I50" s="47">
        <f t="shared" ref="I50:J50" si="10">1-I45-I46-I47-I48-I49-I51</f>
        <v>0.19435999999999995</v>
      </c>
      <c r="J50" s="47">
        <f t="shared" si="10"/>
        <v>0.12140000000000001</v>
      </c>
      <c r="K50" s="47">
        <f>1-K45-K46-K47-K48-K49-K51</f>
        <v>0.11629999999999996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6.4000000000000001E-2</v>
      </c>
      <c r="H51" s="55">
        <f>'Init. énergie'!B63</f>
        <v>6.4000000000000001E-2</v>
      </c>
      <c r="I51" s="47">
        <v>0.17</v>
      </c>
      <c r="J51" s="47">
        <v>0.43</v>
      </c>
      <c r="K51" s="123">
        <v>0.59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1">SUM(G45:G51)</f>
        <v>1</v>
      </c>
      <c r="H52" s="149">
        <f t="shared" si="11"/>
        <v>1</v>
      </c>
      <c r="I52" s="155">
        <f t="shared" si="11"/>
        <v>1</v>
      </c>
      <c r="J52" s="155">
        <f t="shared" si="11"/>
        <v>1</v>
      </c>
      <c r="K52" s="155">
        <v>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2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-0.1383257672419054</v>
      </c>
      <c r="J55" s="142">
        <f t="shared" si="12"/>
        <v>-0.28908680974855488</v>
      </c>
      <c r="K55" s="142">
        <f t="shared" si="12"/>
        <v>-0.27796248147609104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0.115</v>
      </c>
      <c r="H59" s="55">
        <f>H45</f>
        <v>0.115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3">H60</f>
        <v>0.47399999999999998</v>
      </c>
      <c r="H60" s="55">
        <f t="shared" ref="H60:K65" si="14">H46</f>
        <v>0.47399999999999998</v>
      </c>
      <c r="I60" s="47">
        <f t="shared" si="14"/>
        <v>0.40763999999999995</v>
      </c>
      <c r="J60" s="47">
        <f t="shared" si="14"/>
        <v>0.18959999999999999</v>
      </c>
      <c r="K60" s="47">
        <f t="shared" si="14"/>
        <v>2.3699999999999999E-2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3"/>
        <v>7.4999999999999997E-2</v>
      </c>
      <c r="H61" s="55">
        <f t="shared" si="14"/>
        <v>7.4999999999999997E-2</v>
      </c>
      <c r="I61" s="47">
        <v>0.22</v>
      </c>
      <c r="J61" s="47">
        <v>0.24</v>
      </c>
      <c r="K61" s="47">
        <v>0.31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3"/>
        <v>8.9999999999999993E-3</v>
      </c>
      <c r="H62" s="55">
        <f t="shared" si="14"/>
        <v>8.9999999999999993E-3</v>
      </c>
      <c r="I62" s="47">
        <f t="shared" si="14"/>
        <v>6.0000000000000001E-3</v>
      </c>
      <c r="J62" s="47">
        <f t="shared" si="14"/>
        <v>3.0000000000000001E-3</v>
      </c>
      <c r="K62" s="47">
        <f t="shared" si="14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3"/>
        <v>8.0000000000000002E-3</v>
      </c>
      <c r="H63" s="55">
        <f t="shared" si="14"/>
        <v>8.0000000000000002E-3</v>
      </c>
      <c r="I63" s="47">
        <f t="shared" si="14"/>
        <v>2.1999999999999999E-2</v>
      </c>
      <c r="J63" s="47">
        <f t="shared" si="14"/>
        <v>3.6000000000000004E-2</v>
      </c>
      <c r="K63" s="47">
        <f t="shared" si="14"/>
        <v>0.05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3"/>
        <v>0.255</v>
      </c>
      <c r="H64" s="55">
        <f t="shared" si="14"/>
        <v>0.255</v>
      </c>
      <c r="I64" s="47">
        <v>0.14000000000000001</v>
      </c>
      <c r="J64" s="47">
        <v>0.1</v>
      </c>
      <c r="K64" s="47">
        <v>0.06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3"/>
        <v>6.4000000000000001E-2</v>
      </c>
      <c r="H65" s="55">
        <f t="shared" si="14"/>
        <v>6.4000000000000001E-2</v>
      </c>
      <c r="I65" s="47">
        <v>0.18</v>
      </c>
      <c r="J65" s="47">
        <f t="shared" si="14"/>
        <v>0.43</v>
      </c>
      <c r="K65" s="47">
        <v>0.56000000000000005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5">SUM(G59:G65)</f>
        <v>1</v>
      </c>
      <c r="H66" s="149">
        <v>1</v>
      </c>
      <c r="I66" s="47">
        <f t="shared" ref="I66:J66" si="16">SUM(I59:I65)</f>
        <v>0.99564000000000008</v>
      </c>
      <c r="J66" s="47">
        <f t="shared" si="16"/>
        <v>0.99859999999999993</v>
      </c>
      <c r="K66" s="47">
        <f>SUM(K59:K65)</f>
        <v>1.0037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-0.14811688277472942</v>
      </c>
      <c r="J69" s="142">
        <f>(I$101*(J59-I59)+I$102*(J60-I60)+I$103*(J61-I61)+I$104*(J62-I62)+I$105*(J63-I63)+I$106*(J64-I64)+I$107*(J65-I65))/(I$101*I59+I$102*I60+I$103*I61+I$104*I62+I$105*I63+I$106*I64+I$107*I65)</f>
        <v>-0.2981754717055059</v>
      </c>
      <c r="K69" s="142">
        <f>(J$101*(K59-J59)+J$102*(K60-J60)+J$103*(K61-J61)+J$104*(K62-J62)+J$105*(K63-J63)+J$106*(K64-J64)+J$107*(K65-J65))/(J$101*J59+J$102*J60+J$103*J61+J$104*J62+J$105*J63+J$106*J64+J$107*J65)</f>
        <v>-0.30782890293942178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bord'!K12</f>
        <v>0.77</v>
      </c>
      <c r="G73" s="92">
        <f>'Tableau de bord'!K25</f>
        <v>0.9484999999999999</v>
      </c>
      <c r="H73" s="92">
        <f>'Tableau de bord'!K28</f>
        <v>0.89633249999999998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148.85341910555709</v>
      </c>
      <c r="H81" s="54">
        <f>'Init. énergie'!D57</f>
        <v>119.26323797509556</v>
      </c>
      <c r="I81" s="81">
        <f>G81*(1-F$77)/(1+I$55)</f>
        <v>110.99127505437407</v>
      </c>
      <c r="J81" s="81">
        <f>G81*(1-G$77)/(1+I$55)/(1+J$55)</f>
        <v>121.49800327335934</v>
      </c>
      <c r="K81" s="81">
        <f>G81*(1-H$77)/(1+I$55)/(1+J$55)/(1+K$55)</f>
        <v>134.61683101647429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7">H82/F82^10</f>
        <v>210.39247383479704</v>
      </c>
      <c r="H82" s="54">
        <f>'Init. énergie'!D58</f>
        <v>173.97195732387533</v>
      </c>
      <c r="I82" s="81">
        <f t="shared" ref="I82:I87" si="18">G82*(1-F$77)/(1+I$55)</f>
        <v>156.87734331590087</v>
      </c>
      <c r="J82" s="81">
        <f t="shared" ref="J82:J87" si="19">G82*(1-G$77)/(1+I$55)/(1+J$55)</f>
        <v>171.72776835272597</v>
      </c>
      <c r="K82" s="81">
        <f t="shared" ref="K82:K87" si="20">G82*(1-H$77)/(1+I$55)/(1+J$55)/(1+K$55)</f>
        <v>190.27018840106382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7"/>
        <v>52.360927406670321</v>
      </c>
      <c r="H83" s="54">
        <f>'Init. énergie'!D59</f>
        <v>46.324694613006521</v>
      </c>
      <c r="I83" s="81">
        <f t="shared" si="18"/>
        <v>39.042476355713731</v>
      </c>
      <c r="J83" s="81">
        <f t="shared" si="19"/>
        <v>42.738340628510706</v>
      </c>
      <c r="K83" s="81">
        <f t="shared" si="20"/>
        <v>47.353041394172926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7"/>
        <v>51.225161274527416</v>
      </c>
      <c r="H84" s="54">
        <f>'Init. énergie'!D60</f>
        <v>45.319861012282082</v>
      </c>
      <c r="I84" s="81">
        <f t="shared" si="18"/>
        <v>38.195602082165991</v>
      </c>
      <c r="J84" s="81">
        <f t="shared" si="19"/>
        <v>41.811298992046751</v>
      </c>
      <c r="K84" s="81">
        <f t="shared" si="20"/>
        <v>46.325901820197174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7"/>
        <v>53.144709664869517</v>
      </c>
      <c r="H85" s="54">
        <f>'Init. énergie'!D61</f>
        <v>47.018121478275241</v>
      </c>
      <c r="I85" s="81">
        <f t="shared" si="18"/>
        <v>39.626896873060637</v>
      </c>
      <c r="J85" s="81">
        <f t="shared" si="19"/>
        <v>43.378083940720124</v>
      </c>
      <c r="K85" s="81">
        <f t="shared" si="20"/>
        <v>48.061861416176519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7"/>
        <v>85.638793847392975</v>
      </c>
      <c r="H86" s="54">
        <f>'Init. énergie'!D62</f>
        <v>64</v>
      </c>
      <c r="I86" s="81">
        <f t="shared" si="18"/>
        <v>63.855832001416076</v>
      </c>
      <c r="J86" s="81">
        <f t="shared" si="19"/>
        <v>69.900594274012576</v>
      </c>
      <c r="K86" s="81">
        <f t="shared" si="20"/>
        <v>77.448157449671854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7"/>
        <v>60.803935819691645</v>
      </c>
      <c r="H87" s="54">
        <f>'Init. énergie'!D63</f>
        <v>45.44029309187578</v>
      </c>
      <c r="I87" s="81">
        <f t="shared" si="18"/>
        <v>45.337933152655118</v>
      </c>
      <c r="J87" s="81">
        <f t="shared" si="19"/>
        <v>49.629742048553524</v>
      </c>
      <c r="K87" s="81">
        <f t="shared" si="20"/>
        <v>54.988546467794258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1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1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1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1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1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1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2">G81</f>
        <v>148.85341910555709</v>
      </c>
      <c r="H101" s="54">
        <f t="shared" si="22"/>
        <v>119.26323797509556</v>
      </c>
      <c r="I101" s="81">
        <f>$H101*(1+$G91)^(I$100-$H$100)</f>
        <v>110.83041558922878</v>
      </c>
      <c r="J101" s="81">
        <f>$H101*(1+$G91)^(J$100-$H$100)</f>
        <v>102.99385819330321</v>
      </c>
      <c r="K101" s="81">
        <f>$H101*(1+$G91)^(K$100-$H$100)</f>
        <v>95.711405295616146</v>
      </c>
      <c r="L101" s="67"/>
      <c r="M101" s="79">
        <f>(K101-G101)/H101</f>
        <v>-0.44558587132304772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2"/>
        <v>210.39247383479704</v>
      </c>
      <c r="H102" s="54">
        <f t="shared" si="22"/>
        <v>173.97195732387533</v>
      </c>
      <c r="I102" s="81">
        <f t="shared" ref="I102:K107" si="23">$H102*(1+$G92)^(I$100-$H$100)</f>
        <v>163.35643398130466</v>
      </c>
      <c r="J102" s="81">
        <f t="shared" si="23"/>
        <v>153.38865489344096</v>
      </c>
      <c r="K102" s="81">
        <f t="shared" si="23"/>
        <v>144.02909561989952</v>
      </c>
      <c r="L102" s="67"/>
      <c r="M102" s="79">
        <f t="shared" ref="M102:M107" si="24">(K102-G102)/H102</f>
        <v>-0.38146020333237945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2"/>
        <v>52.360927406670321</v>
      </c>
      <c r="H103" s="54">
        <f t="shared" si="22"/>
        <v>46.324694613006521</v>
      </c>
      <c r="I103" s="81">
        <f t="shared" si="23"/>
        <v>44.478821647149182</v>
      </c>
      <c r="J103" s="81">
        <f t="shared" si="23"/>
        <v>42.706500099915253</v>
      </c>
      <c r="K103" s="81">
        <f t="shared" si="23"/>
        <v>41.004799211018636</v>
      </c>
      <c r="L103" s="67"/>
      <c r="M103" s="79">
        <f t="shared" si="24"/>
        <v>-0.24514199803193609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2"/>
        <v>51.225161274527416</v>
      </c>
      <c r="H104" s="54">
        <f t="shared" si="22"/>
        <v>45.319861012282082</v>
      </c>
      <c r="I104" s="81">
        <f t="shared" si="23"/>
        <v>43.514027062207944</v>
      </c>
      <c r="J104" s="81">
        <f t="shared" si="23"/>
        <v>41.780149119553087</v>
      </c>
      <c r="K104" s="81">
        <f t="shared" si="23"/>
        <v>40.115359995446944</v>
      </c>
      <c r="L104" s="67"/>
      <c r="M104" s="79">
        <f t="shared" si="24"/>
        <v>-0.24514199803193609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2"/>
        <v>53.144709664869517</v>
      </c>
      <c r="H105" s="54">
        <f t="shared" si="22"/>
        <v>47.018121478275241</v>
      </c>
      <c r="I105" s="81">
        <f t="shared" si="23"/>
        <v>45.144617938377607</v>
      </c>
      <c r="J105" s="81">
        <f>$H105*(1+$G95)^(J$100-$H$100)</f>
        <v>43.345766796399154</v>
      </c>
      <c r="K105" s="81">
        <f>$H105*(1+$G95)^(K$100-$H$100)</f>
        <v>41.618593421976833</v>
      </c>
      <c r="L105" s="67"/>
      <c r="M105" s="79">
        <f t="shared" si="24"/>
        <v>-0.24514199803193615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2"/>
        <v>85.638793847392975</v>
      </c>
      <c r="H106" s="54">
        <f t="shared" si="22"/>
        <v>64</v>
      </c>
      <c r="I106" s="81">
        <f t="shared" si="23"/>
        <v>58.133231087529012</v>
      </c>
      <c r="J106" s="81">
        <f t="shared" si="23"/>
        <v>52.804258698063279</v>
      </c>
      <c r="K106" s="81">
        <f t="shared" si="23"/>
        <v>47.963783957815252</v>
      </c>
      <c r="L106" s="67"/>
      <c r="M106" s="79">
        <f t="shared" si="24"/>
        <v>-0.58867202952465192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2"/>
        <v>60.803935819691645</v>
      </c>
      <c r="H107" s="54">
        <f t="shared" si="22"/>
        <v>45.44029309187578</v>
      </c>
      <c r="I107" s="81">
        <f t="shared" si="23"/>
        <v>41.274860296797861</v>
      </c>
      <c r="J107" s="81">
        <f t="shared" si="23"/>
        <v>37.491265495925411</v>
      </c>
      <c r="K107" s="81">
        <f t="shared" si="23"/>
        <v>34.054506263102105</v>
      </c>
      <c r="L107" s="67"/>
      <c r="M107" s="79">
        <f t="shared" si="24"/>
        <v>-0.58867202952465203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5">G$36*G45*$H$73*G81/1000</f>
        <v>867.03987474400924</v>
      </c>
      <c r="H111" s="54">
        <f t="shared" si="25"/>
        <v>694.68329002347662</v>
      </c>
      <c r="I111" s="125">
        <f t="shared" si="25"/>
        <v>110.17250550029576</v>
      </c>
      <c r="J111" s="125">
        <f t="shared" si="25"/>
        <v>0</v>
      </c>
      <c r="K111" s="125">
        <f t="shared" si="25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5"/>
        <v>5051.1580500548926</v>
      </c>
      <c r="H112" s="54">
        <f t="shared" si="25"/>
        <v>4176.764675576338</v>
      </c>
      <c r="I112" s="125">
        <f t="shared" si="25"/>
        <v>3173.8866225527122</v>
      </c>
      <c r="J112" s="125">
        <f t="shared" si="25"/>
        <v>1670.1777787065207</v>
      </c>
      <c r="K112" s="125">
        <f t="shared" si="25"/>
        <v>229.19690647071027</v>
      </c>
      <c r="L112" s="46"/>
      <c r="M112" s="79">
        <f t="shared" ref="M112:M118" si="26">(K112-G112)/H112</f>
        <v>-1.1544727841098243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5"/>
        <v>198.90743150700072</v>
      </c>
      <c r="H113" s="54">
        <f t="shared" si="25"/>
        <v>175.97713557009109</v>
      </c>
      <c r="I113" s="125">
        <f t="shared" si="25"/>
        <v>348.79018148444726</v>
      </c>
      <c r="J113" s="125">
        <f t="shared" si="25"/>
        <v>482.30768167558301</v>
      </c>
      <c r="K113" s="125">
        <f t="shared" si="25"/>
        <v>529.49299178301715</v>
      </c>
      <c r="L113" s="46"/>
      <c r="M113" s="79">
        <f t="shared" si="26"/>
        <v>1.8785710950747081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5"/>
        <v>23.351149253365129</v>
      </c>
      <c r="H114" s="54">
        <f t="shared" si="25"/>
        <v>20.659199743033415</v>
      </c>
      <c r="I114" s="125">
        <f t="shared" si="25"/>
        <v>11.3741512882603</v>
      </c>
      <c r="J114" s="125">
        <f t="shared" si="25"/>
        <v>6.4342622364598085</v>
      </c>
      <c r="K114" s="125">
        <f t="shared" si="25"/>
        <v>0</v>
      </c>
      <c r="L114" s="46"/>
      <c r="M114" s="79">
        <f t="shared" si="26"/>
        <v>-1.1303027001924157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5"/>
        <v>21.534383434220253</v>
      </c>
      <c r="H115" s="54">
        <f t="shared" si="25"/>
        <v>19.051872945675861</v>
      </c>
      <c r="I115" s="125">
        <f t="shared" si="25"/>
        <v>43.268031318001881</v>
      </c>
      <c r="J115" s="125">
        <f t="shared" si="25"/>
        <v>80.104461937769514</v>
      </c>
      <c r="K115" s="125">
        <f t="shared" si="25"/>
        <v>122.14065608736381</v>
      </c>
      <c r="L115" s="46"/>
      <c r="M115" s="79">
        <f t="shared" si="26"/>
        <v>5.2806499885869655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5"/>
        <v>1106.0968061819774</v>
      </c>
      <c r="H116" s="54">
        <f t="shared" si="25"/>
        <v>826.61364570119486</v>
      </c>
      <c r="I116" s="125">
        <f t="shared" si="25"/>
        <v>615.97324398561409</v>
      </c>
      <c r="J116" s="125">
        <f t="shared" si="25"/>
        <v>435.29471743393327</v>
      </c>
      <c r="K116" s="125">
        <f t="shared" si="25"/>
        <v>457.80492673278633</v>
      </c>
      <c r="L116" s="46"/>
      <c r="M116" s="79">
        <f t="shared" si="26"/>
        <v>-0.78427434971662247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5"/>
        <v>197.1033845525364</v>
      </c>
      <c r="H117" s="54">
        <f t="shared" si="25"/>
        <v>147.3002601349265</v>
      </c>
      <c r="I117" s="125">
        <f t="shared" si="25"/>
        <v>382.52958479015825</v>
      </c>
      <c r="J117" s="125">
        <f t="shared" si="25"/>
        <v>1094.6979770983789</v>
      </c>
      <c r="K117" s="125">
        <f t="shared" si="25"/>
        <v>1648.9743832342403</v>
      </c>
      <c r="L117" s="46"/>
      <c r="M117" s="79">
        <f t="shared" si="26"/>
        <v>9.8565406289968216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7465.1910797280025</v>
      </c>
      <c r="H118" s="146">
        <f>SUM(H111:H117)</f>
        <v>6061.0500796947372</v>
      </c>
      <c r="I118" s="144">
        <f t="shared" ref="I118:J118" si="27">SUM(I111:I117)</f>
        <v>4685.9943209194889</v>
      </c>
      <c r="J118" s="144">
        <f t="shared" si="27"/>
        <v>3769.0168790886451</v>
      </c>
      <c r="K118" s="144">
        <f>SUM(K111:K117)</f>
        <v>2987.6098643081177</v>
      </c>
      <c r="L118" s="21"/>
      <c r="M118" s="79">
        <f t="shared" si="26"/>
        <v>-0.73874677762857166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8">G$36*G45*(1-$H$73)*G101/1000</f>
        <v>100.27959068205672</v>
      </c>
      <c r="H122" s="147">
        <f t="shared" si="28"/>
        <v>80.345273621684782</v>
      </c>
      <c r="I122" s="143">
        <f t="shared" ref="I122:I128" si="29">I$36*I59*(1-$H$73)*I101/1000</f>
        <v>12.723799852719219</v>
      </c>
      <c r="J122" s="143">
        <f t="shared" ref="J122:K122" si="30">J$36*J59*(1-$H$73)*J101/1000</f>
        <v>0</v>
      </c>
      <c r="K122" s="143">
        <f t="shared" si="30"/>
        <v>0</v>
      </c>
      <c r="L122" s="46"/>
      <c r="M122" s="79">
        <f>(K122-G122)/H122</f>
        <v>-1.2481081482681238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8"/>
        <v>584.20388321751784</v>
      </c>
      <c r="H123" s="147">
        <f t="shared" si="28"/>
        <v>483.07380576439004</v>
      </c>
      <c r="I123" s="143">
        <f t="shared" si="29"/>
        <v>382.24420393439271</v>
      </c>
      <c r="J123" s="143">
        <f t="shared" ref="J123:K123" si="31">J$36*J60*(1-$H$73)*J102/1000</f>
        <v>172.53964323920562</v>
      </c>
      <c r="K123" s="143">
        <f t="shared" si="31"/>
        <v>20.066042082509377</v>
      </c>
      <c r="L123" s="46"/>
      <c r="M123" s="79">
        <f t="shared" ref="M123:M129" si="32">(K123-G123)/H123</f>
        <v>-1.1678087994076745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8"/>
        <v>23.005119367814959</v>
      </c>
      <c r="H124" s="147">
        <f t="shared" si="28"/>
        <v>20.353060612788692</v>
      </c>
      <c r="I124" s="143">
        <f t="shared" si="29"/>
        <v>56.169922619683398</v>
      </c>
      <c r="J124" s="143">
        <f t="shared" ref="J124:K124" si="33">J$36*J61*(1-$H$73)*J103/1000</f>
        <v>60.808255849577357</v>
      </c>
      <c r="K124" s="143">
        <f t="shared" si="33"/>
        <v>74.723898604457361</v>
      </c>
      <c r="L124" s="46"/>
      <c r="M124" s="79">
        <f t="shared" si="32"/>
        <v>2.5410811779406437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8"/>
        <v>2.7007335617343227</v>
      </c>
      <c r="H125" s="147">
        <f t="shared" si="28"/>
        <v>2.3893896398500747</v>
      </c>
      <c r="I125" s="143">
        <f t="shared" si="29"/>
        <v>1.4986782324557582</v>
      </c>
      <c r="J125" s="143">
        <f t="shared" ref="J125:K125" si="34">J$36*J62*(1-$H$73)*J104/1000</f>
        <v>0.74361572335341042</v>
      </c>
      <c r="K125" s="143">
        <f t="shared" si="34"/>
        <v>0</v>
      </c>
      <c r="L125" s="46"/>
      <c r="M125" s="79">
        <f t="shared" si="32"/>
        <v>-1.1303027001924155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8"/>
        <v>2.4906111232907753</v>
      </c>
      <c r="H126" s="147">
        <f t="shared" si="28"/>
        <v>2.2034903772828187</v>
      </c>
      <c r="I126" s="143">
        <f t="shared" si="29"/>
        <v>5.7010721111501574</v>
      </c>
      <c r="J126" s="143">
        <f t="shared" ref="J126:K126" si="35">J$36*J63*(1-$H$73)*J105/1000</f>
        <v>9.2577727202589877</v>
      </c>
      <c r="K126" s="143">
        <f t="shared" si="35"/>
        <v>12.23264976831271</v>
      </c>
      <c r="L126" s="46"/>
      <c r="M126" s="79">
        <f t="shared" si="32"/>
        <v>4.4211850187587824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8"/>
        <v>127.92829742854376</v>
      </c>
      <c r="H127" s="147">
        <f t="shared" si="28"/>
        <v>95.603997529631741</v>
      </c>
      <c r="I127" s="143">
        <f t="shared" si="29"/>
        <v>46.717583368426567</v>
      </c>
      <c r="J127" s="143">
        <f t="shared" ref="J127:K127" si="36">J$36*J64*(1-$H$73)*J106/1000</f>
        <v>31.327538600162981</v>
      </c>
      <c r="K127" s="143">
        <f t="shared" si="36"/>
        <v>16.917174439897757</v>
      </c>
      <c r="L127" s="46"/>
      <c r="M127" s="79">
        <f t="shared" si="32"/>
        <v>-1.1611556614485596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8"/>
        <v>22.796467960383083</v>
      </c>
      <c r="H128" s="147">
        <f t="shared" si="28"/>
        <v>17.036367327456603</v>
      </c>
      <c r="I128" s="143">
        <f t="shared" si="29"/>
        <v>42.646754748323659</v>
      </c>
      <c r="J128" s="143">
        <f t="shared" ref="J128:K128" si="37">J$36*J65*(1-$H$73)*J107/1000</f>
        <v>95.643592251646382</v>
      </c>
      <c r="K128" s="143">
        <f t="shared" si="37"/>
        <v>112.10519903848761</v>
      </c>
      <c r="L128" s="46"/>
      <c r="M128" s="79">
        <f t="shared" si="32"/>
        <v>5.2422402828900276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863.40470334134147</v>
      </c>
      <c r="H129" s="148">
        <f>SUM(H122:H128)</f>
        <v>701.00538487308472</v>
      </c>
      <c r="I129" s="145">
        <f t="shared" ref="I129:K129" si="38">SUM(I122:I128)</f>
        <v>547.70201486715143</v>
      </c>
      <c r="J129" s="145">
        <f t="shared" si="38"/>
        <v>370.32041838420474</v>
      </c>
      <c r="K129" s="145">
        <f t="shared" si="38"/>
        <v>236.0449639336648</v>
      </c>
      <c r="L129" s="21"/>
      <c r="M129" s="79">
        <f t="shared" si="32"/>
        <v>-0.89494282489892507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775.0285636451614</v>
      </c>
      <c r="I133" s="143">
        <f t="shared" ref="I133:K133" si="39">I111+I122</f>
        <v>122.89630535301498</v>
      </c>
      <c r="J133" s="143">
        <f t="shared" si="39"/>
        <v>0</v>
      </c>
      <c r="K133" s="143">
        <f t="shared" si="39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40">H112+H123</f>
        <v>4659.8384813407283</v>
      </c>
      <c r="I134" s="143">
        <f t="shared" si="40"/>
        <v>3556.130826487105</v>
      </c>
      <c r="J134" s="143">
        <f t="shared" si="40"/>
        <v>1842.7174219457263</v>
      </c>
      <c r="K134" s="143">
        <f t="shared" si="40"/>
        <v>249.26294855321964</v>
      </c>
      <c r="L134" s="46"/>
      <c r="M134" s="79">
        <f t="shared" ref="M134:M140" si="41">(K134-G134)/H134</f>
        <v>5.3491757182429579E-2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40"/>
        <v>196.33019618287977</v>
      </c>
      <c r="I135" s="143">
        <f t="shared" si="40"/>
        <v>404.96010410413066</v>
      </c>
      <c r="J135" s="143">
        <f t="shared" si="40"/>
        <v>543.11593752516035</v>
      </c>
      <c r="K135" s="143">
        <f t="shared" si="40"/>
        <v>604.21689038747445</v>
      </c>
      <c r="L135" s="46"/>
      <c r="M135" s="79">
        <f t="shared" si="41"/>
        <v>3.0775545592826279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40"/>
        <v>23.048589382883492</v>
      </c>
      <c r="I136" s="143">
        <f t="shared" si="40"/>
        <v>12.872829520716058</v>
      </c>
      <c r="J136" s="143">
        <f t="shared" si="40"/>
        <v>7.1778779598132187</v>
      </c>
      <c r="K136" s="143">
        <f t="shared" si="40"/>
        <v>0</v>
      </c>
      <c r="L136" s="46"/>
      <c r="M136" s="79">
        <f t="shared" si="41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40"/>
        <v>21.255363322958679</v>
      </c>
      <c r="I137" s="143">
        <f t="shared" si="40"/>
        <v>48.969103429152042</v>
      </c>
      <c r="J137" s="143">
        <f t="shared" si="40"/>
        <v>89.362234658028498</v>
      </c>
      <c r="K137" s="143">
        <f t="shared" si="40"/>
        <v>134.37330585567651</v>
      </c>
      <c r="L137" s="46"/>
      <c r="M137" s="79">
        <f t="shared" si="41"/>
        <v>6.3218541040197174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40"/>
        <v>922.21764323082664</v>
      </c>
      <c r="I138" s="143">
        <f t="shared" si="40"/>
        <v>662.69082735404061</v>
      </c>
      <c r="J138" s="143">
        <f t="shared" si="40"/>
        <v>466.62225603409627</v>
      </c>
      <c r="K138" s="143">
        <f t="shared" si="40"/>
        <v>474.72210117268406</v>
      </c>
      <c r="L138" s="46"/>
      <c r="M138" s="79">
        <f t="shared" si="41"/>
        <v>0.51476146076492202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40"/>
        <v>164.33662746238309</v>
      </c>
      <c r="I139" s="143">
        <f t="shared" si="40"/>
        <v>425.1763395384819</v>
      </c>
      <c r="J139" s="143">
        <f t="shared" si="40"/>
        <v>1190.3415693500253</v>
      </c>
      <c r="K139" s="143">
        <f t="shared" si="40"/>
        <v>1761.079582272728</v>
      </c>
      <c r="L139" s="46"/>
      <c r="M139" s="79">
        <f t="shared" si="41"/>
        <v>10.716293801732313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6762.055464567823</v>
      </c>
      <c r="I140" s="145">
        <f t="shared" ref="I140:K140" si="42">SUM(I133:I139)</f>
        <v>5233.6963357866407</v>
      </c>
      <c r="J140" s="145">
        <f t="shared" si="42"/>
        <v>4139.33729747285</v>
      </c>
      <c r="K140" s="145">
        <f t="shared" si="42"/>
        <v>3223.6548282417825</v>
      </c>
      <c r="L140" s="21"/>
      <c r="M140" s="79">
        <f t="shared" si="41"/>
        <v>0.4767270610442727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énergie'!C57</f>
        <v>1.9344819899405983E-2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énergie'!C58</f>
        <v>0.52399466367463399</v>
      </c>
      <c r="I147" s="47">
        <v>0</v>
      </c>
      <c r="J147" s="47">
        <v>0</v>
      </c>
      <c r="K147" s="47">
        <v>0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énergie'!C59</f>
        <v>6.7035227617333368E-2</v>
      </c>
      <c r="I148" s="47">
        <v>0.25</v>
      </c>
      <c r="J148" s="47">
        <v>0.25</v>
      </c>
      <c r="K148" s="47">
        <v>0.3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énergie'!C60</f>
        <v>7.5158331919586794E-3</v>
      </c>
      <c r="I149" s="47">
        <f t="shared" ref="I149" si="43">H149</f>
        <v>7.5158331919586794E-3</v>
      </c>
      <c r="J149" s="47">
        <v>0</v>
      </c>
      <c r="K149" s="47"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énergie'!C61</f>
        <v>6.8921199229294077E-3</v>
      </c>
      <c r="I150" s="47">
        <v>0.05</v>
      </c>
      <c r="J150" s="47">
        <v>7.0000000000000007E-2</v>
      </c>
      <c r="K150" s="47">
        <v>0.1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énergie'!C62</f>
        <v>0.16762986130287999</v>
      </c>
      <c r="I151" s="47">
        <f>1-I146-I147-I148-I149-I150-I152</f>
        <v>0.14248416680804121</v>
      </c>
      <c r="J151" s="47">
        <f t="shared" ref="J151:K151" si="44">1-J146-J147-J148-J149-J150-J152</f>
        <v>7.999999999999996E-2</v>
      </c>
      <c r="K151" s="47">
        <f t="shared" si="44"/>
        <v>0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énergie'!C63</f>
        <v>0.20758747439085867</v>
      </c>
      <c r="I152" s="47">
        <v>0.55000000000000004</v>
      </c>
      <c r="J152" s="47">
        <v>0.6</v>
      </c>
      <c r="K152" s="47">
        <v>0.6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5">SUM(I146:I152)</f>
        <v>1</v>
      </c>
      <c r="J153" s="15">
        <f t="shared" si="45"/>
        <v>1</v>
      </c>
      <c r="K153" s="15">
        <f t="shared" si="45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134.61683101647429</v>
      </c>
      <c r="J157" s="45">
        <f>K157</f>
        <v>134.61683101647429</v>
      </c>
      <c r="K157" s="45">
        <f t="shared" ref="K157:K163" si="46">K81</f>
        <v>134.61683101647429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7">J158</f>
        <v>190.27018840106382</v>
      </c>
      <c r="J158" s="45">
        <f t="shared" si="47"/>
        <v>190.27018840106382</v>
      </c>
      <c r="K158" s="45">
        <f t="shared" si="46"/>
        <v>190.27018840106382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7"/>
        <v>47.353041394172926</v>
      </c>
      <c r="J159" s="45">
        <f t="shared" si="47"/>
        <v>47.353041394172926</v>
      </c>
      <c r="K159" s="45">
        <f t="shared" si="46"/>
        <v>47.353041394172926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7"/>
        <v>46.325901820197174</v>
      </c>
      <c r="J160" s="45">
        <f t="shared" si="47"/>
        <v>46.325901820197174</v>
      </c>
      <c r="K160" s="45">
        <f t="shared" si="46"/>
        <v>46.325901820197174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7"/>
        <v>48.061861416176519</v>
      </c>
      <c r="J161" s="45">
        <f t="shared" si="47"/>
        <v>48.061861416176519</v>
      </c>
      <c r="K161" s="45">
        <f t="shared" si="46"/>
        <v>48.061861416176519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7"/>
        <v>77.448157449671854</v>
      </c>
      <c r="J162" s="45">
        <f t="shared" si="47"/>
        <v>77.448157449671854</v>
      </c>
      <c r="K162" s="45">
        <f t="shared" si="46"/>
        <v>77.448157449671854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7"/>
        <v>54.988546467794258</v>
      </c>
      <c r="J163" s="45">
        <f t="shared" si="47"/>
        <v>54.988546467794258</v>
      </c>
      <c r="K163" s="45">
        <f t="shared" si="46"/>
        <v>54.988546467794258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8">I$35*I146*I157/1000</f>
        <v>0</v>
      </c>
      <c r="J167" s="10">
        <f t="shared" si="48"/>
        <v>0</v>
      </c>
      <c r="K167" s="10">
        <f t="shared" si="48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9">H$35*H147*H158/1000</f>
        <v>0</v>
      </c>
      <c r="I168" s="10">
        <f t="shared" si="49"/>
        <v>0</v>
      </c>
      <c r="J168" s="10">
        <f t="shared" si="49"/>
        <v>0</v>
      </c>
      <c r="K168" s="10">
        <f t="shared" si="49"/>
        <v>0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9"/>
        <v>0</v>
      </c>
      <c r="I169" s="10">
        <f t="shared" si="49"/>
        <v>35.90130806880132</v>
      </c>
      <c r="J169" s="10">
        <f t="shared" si="49"/>
        <v>22.87372741615674</v>
      </c>
      <c r="K169" s="10">
        <f t="shared" si="49"/>
        <v>16.911314027469448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9"/>
        <v>0</v>
      </c>
      <c r="I170" s="10">
        <f t="shared" si="49"/>
        <v>1.0559014852762461</v>
      </c>
      <c r="J170" s="10">
        <f t="shared" si="49"/>
        <v>0</v>
      </c>
      <c r="K170" s="10">
        <f t="shared" si="49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9"/>
        <v>0</v>
      </c>
      <c r="I171" s="10">
        <f t="shared" si="49"/>
        <v>7.2877417891663443</v>
      </c>
      <c r="J171" s="10">
        <f t="shared" si="49"/>
        <v>6.5005137524062251</v>
      </c>
      <c r="K171" s="10">
        <f t="shared" si="49"/>
        <v>5.7214855844767856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9"/>
        <v>0</v>
      </c>
      <c r="I172" s="10">
        <f t="shared" si="49"/>
        <v>33.465713043627375</v>
      </c>
      <c r="J172" s="10">
        <f t="shared" si="49"/>
        <v>11.971543049264863</v>
      </c>
      <c r="K172" s="10">
        <f t="shared" si="49"/>
        <v>0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9"/>
        <v>0</v>
      </c>
      <c r="I173" s="10">
        <f t="shared" si="49"/>
        <v>91.718578480270196</v>
      </c>
      <c r="J173" s="10">
        <f t="shared" si="49"/>
        <v>63.748877920383286</v>
      </c>
      <c r="K173" s="10">
        <f t="shared" si="49"/>
        <v>39.27640336721425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50">SUM(I167:I173)</f>
        <v>169.42924286714148</v>
      </c>
      <c r="J174" s="11">
        <f t="shared" si="50"/>
        <v>105.09466213821111</v>
      </c>
      <c r="K174" s="11">
        <f t="shared" si="50"/>
        <v>61.909202979160483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1">H$36*($H$73*H45+(1-$H$73)*H59)+H$35*H146</f>
        <v>6498.4699124721237</v>
      </c>
      <c r="I181" s="10">
        <f t="shared" si="51"/>
        <v>1107.4273418235985</v>
      </c>
      <c r="J181" s="10">
        <f t="shared" si="51"/>
        <v>0</v>
      </c>
      <c r="K181" s="10">
        <f t="shared" si="51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1"/>
        <v>26784.997726189446</v>
      </c>
      <c r="I182" s="10">
        <f t="shared" si="51"/>
        <v>22571.584081048579</v>
      </c>
      <c r="J182" s="10">
        <f t="shared" si="51"/>
        <v>10850.581948310204</v>
      </c>
      <c r="K182" s="10">
        <f t="shared" si="51"/>
        <v>1343.9058970073236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1"/>
        <v>4238.1325516122542</v>
      </c>
      <c r="I183" s="10">
        <f t="shared" si="51"/>
        <v>10954.617189530843</v>
      </c>
      <c r="J183" s="10">
        <f t="shared" si="51"/>
        <v>13192.039689672829</v>
      </c>
      <c r="K183" s="10">
        <f t="shared" si="51"/>
        <v>13361.269299218719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1"/>
        <v>508.57590619347059</v>
      </c>
      <c r="I184" s="10">
        <f t="shared" si="51"/>
        <v>355.02109904317956</v>
      </c>
      <c r="J184" s="10">
        <f t="shared" si="51"/>
        <v>171.6864232327564</v>
      </c>
      <c r="K184" s="10">
        <f t="shared" si="51"/>
        <v>0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1"/>
        <v>452.0674721719738</v>
      </c>
      <c r="I185" s="10">
        <f t="shared" si="51"/>
        <v>1369.8026090462506</v>
      </c>
      <c r="J185" s="10">
        <f t="shared" si="51"/>
        <v>2195.4901372653044</v>
      </c>
      <c r="K185" s="10">
        <f t="shared" si="51"/>
        <v>2954.2887030794709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1"/>
        <v>14409.650675481666</v>
      </c>
      <c r="I186" s="10">
        <f t="shared" si="51"/>
        <v>10882.045729747308</v>
      </c>
      <c r="J186" s="10">
        <f t="shared" si="51"/>
        <v>6975.1909611863666</v>
      </c>
      <c r="K186" s="10">
        <f t="shared" si="51"/>
        <v>6263.8217551143416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1"/>
        <v>3616.5397773757904</v>
      </c>
      <c r="I187" s="10">
        <f t="shared" si="51"/>
        <v>11138.492380923055</v>
      </c>
      <c r="J187" s="10">
        <f t="shared" si="51"/>
        <v>25767.69925979037</v>
      </c>
      <c r="K187" s="10">
        <f t="shared" si="51"/>
        <v>33993.796741463477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56508.434021496723</v>
      </c>
      <c r="I188" s="10">
        <f t="shared" ref="I188:K188" si="52">SUM(I181:I187)</f>
        <v>58378.990431162805</v>
      </c>
      <c r="J188" s="10">
        <f t="shared" si="52"/>
        <v>59152.688419457831</v>
      </c>
      <c r="K188" s="10">
        <f t="shared" si="52"/>
        <v>57917.082395883335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GB1593"/>
  <sheetViews>
    <sheetView showGridLines="0" topLeftCell="A37" zoomScale="115" zoomScaleNormal="115" workbookViewId="0">
      <selection activeCell="I72" sqref="I72"/>
    </sheetView>
  </sheetViews>
  <sheetFormatPr baseColWidth="10" defaultColWidth="11.42578125" defaultRowHeight="11.25"/>
  <cols>
    <col min="1" max="1" width="2.85546875" style="56" customWidth="1"/>
    <col min="2" max="4" width="2.85546875" style="17" customWidth="1"/>
    <col min="5" max="5" width="21.42578125" style="1" customWidth="1"/>
    <col min="6" max="6" width="11.85546875" style="1" customWidth="1"/>
    <col min="7" max="7" width="12.85546875" style="1" customWidth="1"/>
    <col min="8" max="11" width="11.85546875" style="1" customWidth="1"/>
    <col min="12" max="12" width="2.140625" style="17" customWidth="1"/>
    <col min="13" max="13" width="35" style="72" customWidth="1"/>
    <col min="14" max="15" width="2.85546875" style="17" customWidth="1"/>
    <col min="16" max="16" width="11.42578125" style="17"/>
    <col min="17" max="27" width="7.140625" style="17" customWidth="1"/>
    <col min="28" max="184" width="11.42578125" style="17"/>
    <col min="185" max="16384" width="11.42578125" style="1"/>
  </cols>
  <sheetData>
    <row r="1" spans="1:15" s="56" customFormat="1" ht="18.75">
      <c r="C1" s="497" t="s">
        <v>240</v>
      </c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s="17" customFormat="1" ht="12" thickBot="1">
      <c r="A2" s="56"/>
      <c r="M2" s="65"/>
    </row>
    <row r="3" spans="1:15" ht="15.75">
      <c r="C3" s="498" t="s">
        <v>242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500"/>
    </row>
    <row r="4" spans="1:15" s="17" customFormat="1" ht="12.75">
      <c r="A4" s="56"/>
      <c r="C4" s="22"/>
      <c r="E4" s="28"/>
      <c r="F4" s="28"/>
      <c r="G4" s="103"/>
      <c r="H4" s="28"/>
      <c r="I4" s="28"/>
      <c r="J4" s="28"/>
      <c r="K4" s="28"/>
      <c r="L4" s="28"/>
      <c r="M4" s="65"/>
      <c r="O4" s="23"/>
    </row>
    <row r="5" spans="1:15">
      <c r="C5" s="22"/>
      <c r="E5" s="58"/>
      <c r="F5" s="501" t="s">
        <v>213</v>
      </c>
      <c r="G5" s="501"/>
      <c r="H5" s="501"/>
      <c r="I5" s="501"/>
      <c r="J5" s="501"/>
      <c r="K5" s="501"/>
      <c r="L5" s="62"/>
      <c r="M5" s="65"/>
      <c r="O5" s="23"/>
    </row>
    <row r="6" spans="1:15">
      <c r="C6" s="22"/>
      <c r="E6" s="8" t="s">
        <v>27</v>
      </c>
      <c r="F6" s="9"/>
      <c r="G6" s="9">
        <v>2010</v>
      </c>
      <c r="H6" s="9">
        <v>2020</v>
      </c>
      <c r="I6" s="9">
        <v>2030</v>
      </c>
      <c r="J6" s="9">
        <v>2040</v>
      </c>
      <c r="K6" s="9">
        <v>2050</v>
      </c>
      <c r="L6" s="29"/>
      <c r="M6" s="65"/>
      <c r="O6" s="23"/>
    </row>
    <row r="7" spans="1:15">
      <c r="C7" s="22"/>
      <c r="E7" s="3" t="s">
        <v>28</v>
      </c>
      <c r="F7" s="10"/>
      <c r="G7" s="10"/>
      <c r="H7" s="10">
        <f t="shared" ref="H7:K8" si="0">H34</f>
        <v>41814.604215450461</v>
      </c>
      <c r="I7" s="10">
        <f t="shared" si="0"/>
        <v>43217.281263933044</v>
      </c>
      <c r="J7" s="10">
        <f t="shared" si="0"/>
        <v>43777.42197649672</v>
      </c>
      <c r="K7" s="10">
        <f t="shared" si="0"/>
        <v>42840.868628636097</v>
      </c>
      <c r="L7" s="46"/>
      <c r="M7" s="98"/>
      <c r="O7" s="23"/>
    </row>
    <row r="8" spans="1:15" s="17" customFormat="1" ht="22.5">
      <c r="A8" s="56"/>
      <c r="C8" s="22"/>
      <c r="E8" s="83" t="s">
        <v>29</v>
      </c>
      <c r="F8" s="94"/>
      <c r="G8" s="94"/>
      <c r="H8" s="76">
        <f>H35</f>
        <v>0</v>
      </c>
      <c r="I8" s="76">
        <f>I35</f>
        <v>2489.8567580842946</v>
      </c>
      <c r="J8" s="76">
        <f t="shared" si="0"/>
        <v>1683.7900254259353</v>
      </c>
      <c r="K8" s="76">
        <f t="shared" si="0"/>
        <v>1138.2129713889146</v>
      </c>
      <c r="M8" s="99"/>
      <c r="O8" s="23"/>
    </row>
    <row r="9" spans="1:15" s="17" customFormat="1" ht="22.5">
      <c r="A9" s="56"/>
      <c r="C9" s="22"/>
      <c r="E9" s="83" t="s">
        <v>30</v>
      </c>
      <c r="F9" s="95"/>
      <c r="G9" s="96"/>
      <c r="H9" s="96">
        <f t="shared" ref="H9:K9" si="1">H36</f>
        <v>41814.604215450461</v>
      </c>
      <c r="I9" s="96">
        <f t="shared" si="1"/>
        <v>40727.42450584875</v>
      </c>
      <c r="J9" s="96">
        <f t="shared" si="1"/>
        <v>42093.631951070784</v>
      </c>
      <c r="K9" s="96">
        <f t="shared" si="1"/>
        <v>41702.655657247182</v>
      </c>
      <c r="M9" s="100"/>
      <c r="O9" s="23"/>
    </row>
    <row r="10" spans="1:15" s="17" customFormat="1">
      <c r="A10" s="56"/>
      <c r="C10" s="22"/>
      <c r="M10" s="65"/>
      <c r="O10" s="23"/>
    </row>
    <row r="11" spans="1:15">
      <c r="C11" s="22"/>
      <c r="F11" s="478" t="s">
        <v>215</v>
      </c>
      <c r="G11" s="479"/>
      <c r="H11" s="479"/>
      <c r="I11" s="479"/>
      <c r="J11" s="479"/>
      <c r="K11" s="480"/>
      <c r="L11" s="62"/>
      <c r="M11" s="65"/>
      <c r="O11" s="23"/>
    </row>
    <row r="12" spans="1:15">
      <c r="C12" s="22"/>
      <c r="E12" s="8" t="s">
        <v>20</v>
      </c>
      <c r="F12" s="9"/>
      <c r="G12" s="9">
        <v>2010</v>
      </c>
      <c r="H12" s="9">
        <v>2020</v>
      </c>
      <c r="I12" s="9">
        <v>2030</v>
      </c>
      <c r="J12" s="9">
        <v>2040</v>
      </c>
      <c r="K12" s="9">
        <v>2050</v>
      </c>
      <c r="L12" s="29"/>
      <c r="M12" s="65"/>
      <c r="O12" s="23"/>
    </row>
    <row r="13" spans="1:15">
      <c r="C13" s="22"/>
      <c r="E13" s="124" t="s">
        <v>15</v>
      </c>
      <c r="F13" s="86"/>
      <c r="G13" s="86"/>
      <c r="H13" s="86">
        <f>H133+H167</f>
        <v>1184.8678605253267</v>
      </c>
      <c r="I13" s="86">
        <f t="shared" ref="I13:K13" si="2">I133+I167</f>
        <v>105.99629801259429</v>
      </c>
      <c r="J13" s="86">
        <f t="shared" si="2"/>
        <v>0</v>
      </c>
      <c r="K13" s="86">
        <f t="shared" si="2"/>
        <v>0</v>
      </c>
      <c r="L13" s="21"/>
      <c r="M13" s="65"/>
      <c r="O13" s="23"/>
    </row>
    <row r="14" spans="1:15">
      <c r="C14" s="22"/>
      <c r="E14" s="124" t="s">
        <v>16</v>
      </c>
      <c r="F14" s="86"/>
      <c r="G14" s="86"/>
      <c r="H14" s="86">
        <f t="shared" ref="H14:K19" si="3">H134+H168</f>
        <v>2573.628699991908</v>
      </c>
      <c r="I14" s="86">
        <f t="shared" si="3"/>
        <v>1915.8497501168008</v>
      </c>
      <c r="J14" s="86">
        <f t="shared" si="3"/>
        <v>864.5886671376112</v>
      </c>
      <c r="K14" s="86">
        <f t="shared" si="3"/>
        <v>110.68839412563946</v>
      </c>
      <c r="L14" s="21"/>
      <c r="M14" s="65"/>
      <c r="O14" s="23"/>
    </row>
    <row r="15" spans="1:15">
      <c r="C15" s="22"/>
      <c r="E15" s="124" t="s">
        <v>21</v>
      </c>
      <c r="F15" s="86"/>
      <c r="G15" s="86"/>
      <c r="H15" s="86">
        <f t="shared" si="3"/>
        <v>324.73142968208481</v>
      </c>
      <c r="I15" s="86">
        <f t="shared" si="3"/>
        <v>875.54097057068611</v>
      </c>
      <c r="J15" s="86">
        <f t="shared" si="3"/>
        <v>1036.1799315569488</v>
      </c>
      <c r="K15" s="86">
        <f t="shared" si="3"/>
        <v>1035.0110262216631</v>
      </c>
      <c r="L15" s="46"/>
      <c r="M15" s="65"/>
      <c r="O15" s="23"/>
    </row>
    <row r="16" spans="1:15">
      <c r="C16" s="22"/>
      <c r="E16" s="124" t="s">
        <v>22</v>
      </c>
      <c r="F16" s="10"/>
      <c r="G16" s="10"/>
      <c r="H16" s="86">
        <f t="shared" si="3"/>
        <v>87.743683724161997</v>
      </c>
      <c r="I16" s="86">
        <f t="shared" si="3"/>
        <v>51.376996110728797</v>
      </c>
      <c r="J16" s="86">
        <f t="shared" si="3"/>
        <v>81.210807105402267</v>
      </c>
      <c r="K16" s="86">
        <f t="shared" si="3"/>
        <v>0</v>
      </c>
      <c r="L16" s="46"/>
      <c r="M16" s="65"/>
      <c r="O16" s="23"/>
    </row>
    <row r="17" spans="1:15">
      <c r="C17" s="22"/>
      <c r="E17" s="124" t="s">
        <v>42</v>
      </c>
      <c r="F17" s="10"/>
      <c r="G17" s="10"/>
      <c r="H17" s="86">
        <f t="shared" si="3"/>
        <v>74.66951741609185</v>
      </c>
      <c r="I17" s="86">
        <f t="shared" si="3"/>
        <v>87.019234083124289</v>
      </c>
      <c r="J17" s="86">
        <f t="shared" si="3"/>
        <v>104.68169503459919</v>
      </c>
      <c r="K17" s="86">
        <f t="shared" si="3"/>
        <v>117.89234919268829</v>
      </c>
      <c r="L17" s="46"/>
      <c r="M17" s="65"/>
      <c r="O17" s="23"/>
    </row>
    <row r="18" spans="1:15">
      <c r="C18" s="22"/>
      <c r="E18" s="124" t="s">
        <v>46</v>
      </c>
      <c r="F18" s="10"/>
      <c r="G18" s="86"/>
      <c r="H18" s="86">
        <f t="shared" si="3"/>
        <v>601.96304228562485</v>
      </c>
      <c r="I18" s="86">
        <f t="shared" si="3"/>
        <v>484.86921812018034</v>
      </c>
      <c r="J18" s="86">
        <f t="shared" si="3"/>
        <v>238.93421842543472</v>
      </c>
      <c r="K18" s="86">
        <f t="shared" si="3"/>
        <v>198.69509088631537</v>
      </c>
      <c r="L18" s="46"/>
      <c r="M18" s="65"/>
      <c r="O18" s="23"/>
    </row>
    <row r="19" spans="1:15">
      <c r="C19" s="22"/>
      <c r="E19" s="124" t="s">
        <v>47</v>
      </c>
      <c r="F19" s="10"/>
      <c r="G19" s="86"/>
      <c r="H19" s="86">
        <f t="shared" si="3"/>
        <v>131.45762730537481</v>
      </c>
      <c r="I19" s="86">
        <f t="shared" si="3"/>
        <v>428.98738893311253</v>
      </c>
      <c r="J19" s="86">
        <f t="shared" si="3"/>
        <v>830.35458490227552</v>
      </c>
      <c r="K19" s="86">
        <f t="shared" si="3"/>
        <v>1016.316154851211</v>
      </c>
      <c r="L19" s="46"/>
      <c r="M19" s="65"/>
      <c r="O19" s="23"/>
    </row>
    <row r="20" spans="1:15">
      <c r="C20" s="22"/>
      <c r="E20" s="12" t="s">
        <v>17</v>
      </c>
      <c r="F20" s="13"/>
      <c r="G20" s="13"/>
      <c r="H20" s="13">
        <f>SUM(H13:H19)</f>
        <v>4979.0618609305739</v>
      </c>
      <c r="I20" s="13">
        <f t="shared" ref="I20:K20" si="4">SUM(I13:I19)</f>
        <v>3949.6398559472273</v>
      </c>
      <c r="J20" s="13">
        <f t="shared" si="4"/>
        <v>3155.9499041622712</v>
      </c>
      <c r="K20" s="13">
        <f t="shared" si="4"/>
        <v>2478.6030152775174</v>
      </c>
      <c r="L20" s="21"/>
      <c r="M20" s="65"/>
      <c r="O20" s="23"/>
    </row>
    <row r="21" spans="1:15">
      <c r="C21" s="22"/>
      <c r="E21" s="65"/>
      <c r="F21" s="65"/>
      <c r="G21" s="65"/>
      <c r="H21" s="65"/>
      <c r="I21" s="65"/>
      <c r="J21" s="65"/>
      <c r="K21" s="65"/>
      <c r="L21" s="65"/>
      <c r="M21" s="65"/>
      <c r="O21" s="23"/>
    </row>
    <row r="22" spans="1:15">
      <c r="C22" s="22"/>
      <c r="E22" s="65"/>
      <c r="F22" s="478" t="s">
        <v>98</v>
      </c>
      <c r="G22" s="479"/>
      <c r="H22" s="479"/>
      <c r="I22" s="479"/>
      <c r="J22" s="479"/>
      <c r="K22" s="480"/>
      <c r="L22" s="65"/>
      <c r="M22" s="65"/>
      <c r="O22" s="23"/>
    </row>
    <row r="23" spans="1:15" ht="22.5">
      <c r="C23" s="22"/>
      <c r="E23" s="176" t="s">
        <v>99</v>
      </c>
      <c r="F23" s="65"/>
      <c r="G23" s="65"/>
      <c r="H23" s="65"/>
      <c r="I23" s="177">
        <f>I118/$G118-1</f>
        <v>-0.38174987069330979</v>
      </c>
      <c r="J23" s="177">
        <f t="shared" ref="J23:K23" si="5">J118/$G118-1</f>
        <v>-0.50273196822858734</v>
      </c>
      <c r="K23" s="177">
        <f t="shared" si="5"/>
        <v>-0.60588057552410368</v>
      </c>
      <c r="L23" s="65"/>
      <c r="M23" s="65"/>
      <c r="O23" s="23"/>
    </row>
    <row r="24" spans="1:15" ht="22.5">
      <c r="C24" s="22"/>
      <c r="E24" s="176" t="s">
        <v>100</v>
      </c>
      <c r="F24" s="65"/>
      <c r="G24" s="65"/>
      <c r="H24" s="65"/>
      <c r="I24" s="177">
        <f>I129/$G129-1</f>
        <v>-0.34194279694364538</v>
      </c>
      <c r="J24" s="177">
        <f t="shared" ref="J24:K24" si="6">J129/$G129-1</f>
        <v>-0.46326983530259469</v>
      </c>
      <c r="K24" s="177">
        <f t="shared" si="6"/>
        <v>-0.60947787422576716</v>
      </c>
      <c r="L24" s="65"/>
      <c r="M24" s="65"/>
      <c r="O24" s="23"/>
    </row>
    <row r="25" spans="1:15" s="17" customFormat="1" ht="12" thickBot="1">
      <c r="A25" s="56"/>
      <c r="C25" s="24"/>
      <c r="D25" s="44"/>
      <c r="E25" s="25"/>
      <c r="F25" s="26"/>
      <c r="G25" s="26"/>
      <c r="H25" s="26"/>
      <c r="I25" s="26"/>
      <c r="J25" s="26"/>
      <c r="K25" s="26"/>
      <c r="L25" s="26"/>
      <c r="M25" s="70"/>
      <c r="N25" s="44"/>
      <c r="O25" s="27"/>
    </row>
    <row r="26" spans="1:15" s="17" customFormat="1" ht="12" thickBot="1">
      <c r="A26" s="56"/>
      <c r="M26" s="65"/>
    </row>
    <row r="27" spans="1:15" ht="15.75">
      <c r="C27" s="502" t="s">
        <v>243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4"/>
    </row>
    <row r="28" spans="1:15" s="17" customFormat="1" ht="13.5" thickBot="1">
      <c r="A28" s="56"/>
      <c r="C28" s="40"/>
      <c r="E28" s="41"/>
      <c r="F28" s="41"/>
      <c r="G28" s="41"/>
      <c r="H28" s="41"/>
      <c r="I28" s="41"/>
      <c r="J28" s="41"/>
      <c r="K28" s="41"/>
      <c r="L28" s="41"/>
      <c r="M28" s="65"/>
      <c r="O28" s="42"/>
    </row>
    <row r="29" spans="1:15" ht="15" customHeight="1">
      <c r="C29" s="40"/>
      <c r="D29" s="505" t="s">
        <v>31</v>
      </c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42"/>
    </row>
    <row r="30" spans="1:15" s="17" customFormat="1">
      <c r="A30" s="56"/>
      <c r="C30" s="40"/>
      <c r="D30" s="32"/>
      <c r="E30" s="37"/>
      <c r="M30" s="65"/>
      <c r="N30" s="33"/>
      <c r="O30" s="42"/>
    </row>
    <row r="31" spans="1:15" s="17" customFormat="1">
      <c r="A31" s="56"/>
      <c r="C31" s="40"/>
      <c r="D31" s="32"/>
      <c r="E31" s="37"/>
      <c r="M31" s="65"/>
      <c r="N31" s="33"/>
      <c r="O31" s="42"/>
    </row>
    <row r="32" spans="1:15" s="17" customFormat="1">
      <c r="A32" s="56"/>
      <c r="C32" s="40"/>
      <c r="D32" s="32"/>
      <c r="E32" s="58"/>
      <c r="F32" s="509" t="s">
        <v>244</v>
      </c>
      <c r="G32" s="510"/>
      <c r="H32" s="510"/>
      <c r="I32" s="510"/>
      <c r="J32" s="510"/>
      <c r="K32" s="511"/>
      <c r="M32" s="65"/>
      <c r="N32" s="33"/>
      <c r="O32" s="42"/>
    </row>
    <row r="33" spans="1:17" s="17" customFormat="1">
      <c r="A33" s="56"/>
      <c r="C33" s="40"/>
      <c r="D33" s="32"/>
      <c r="E33" s="5" t="s">
        <v>33</v>
      </c>
      <c r="F33" s="4"/>
      <c r="G33" s="4">
        <v>2010</v>
      </c>
      <c r="H33" s="4">
        <v>2020</v>
      </c>
      <c r="I33" s="4">
        <v>2030</v>
      </c>
      <c r="J33" s="4">
        <v>2040</v>
      </c>
      <c r="K33" s="4">
        <v>2050</v>
      </c>
      <c r="L33" s="65"/>
      <c r="M33" s="65"/>
      <c r="N33" s="65"/>
      <c r="O33" s="42"/>
    </row>
    <row r="34" spans="1:17" s="17" customFormat="1">
      <c r="A34" s="56"/>
      <c r="C34" s="40"/>
      <c r="D34" s="32"/>
      <c r="E34" s="60" t="s">
        <v>34</v>
      </c>
      <c r="F34" s="55"/>
      <c r="G34" s="184">
        <f>H34</f>
        <v>41814.604215450461</v>
      </c>
      <c r="H34" s="125">
        <f>'Init. parc'!C27</f>
        <v>41814.604215450461</v>
      </c>
      <c r="I34" s="125">
        <f>'Init. parc'!D27</f>
        <v>43217.281263933044</v>
      </c>
      <c r="J34" s="125">
        <f>'Init. parc'!E27</f>
        <v>43777.42197649672</v>
      </c>
      <c r="K34" s="125">
        <f>'Init. parc'!F27</f>
        <v>42840.868628636097</v>
      </c>
      <c r="L34" s="125"/>
      <c r="M34" s="65"/>
      <c r="N34" s="65"/>
      <c r="O34" s="42"/>
    </row>
    <row r="35" spans="1:17" s="17" customFormat="1" ht="22.5">
      <c r="A35" s="56"/>
      <c r="C35" s="40"/>
      <c r="D35" s="32"/>
      <c r="E35" s="83" t="s">
        <v>29</v>
      </c>
      <c r="F35" s="55"/>
      <c r="G35" s="184"/>
      <c r="H35" s="125">
        <v>0</v>
      </c>
      <c r="I35" s="125">
        <f>'Init. parc'!N27</f>
        <v>2489.8567580842946</v>
      </c>
      <c r="J35" s="125">
        <f>'Init. parc'!O27</f>
        <v>1683.7900254259353</v>
      </c>
      <c r="K35" s="125">
        <f>'Init. parc'!P27</f>
        <v>1138.2129713889146</v>
      </c>
      <c r="L35" s="65"/>
      <c r="M35" s="65"/>
      <c r="N35" s="65"/>
      <c r="O35" s="42"/>
    </row>
    <row r="36" spans="1:17" s="17" customFormat="1" ht="22.5">
      <c r="A36" s="56"/>
      <c r="C36" s="40"/>
      <c r="D36" s="32"/>
      <c r="E36" s="83" t="s">
        <v>30</v>
      </c>
      <c r="F36" s="55"/>
      <c r="G36" s="184">
        <f>G34-G35</f>
        <v>41814.604215450461</v>
      </c>
      <c r="H36" s="125">
        <f>H34-H35</f>
        <v>41814.604215450461</v>
      </c>
      <c r="I36" s="125">
        <f>I34-I35</f>
        <v>40727.42450584875</v>
      </c>
      <c r="J36" s="125">
        <f>J34-J35</f>
        <v>42093.631951070784</v>
      </c>
      <c r="K36" s="125">
        <f>K34-K35</f>
        <v>41702.655657247182</v>
      </c>
      <c r="L36" s="65"/>
      <c r="M36" s="65"/>
      <c r="N36" s="65"/>
      <c r="O36" s="42"/>
    </row>
    <row r="37" spans="1:17" s="17" customFormat="1" ht="12" thickBot="1">
      <c r="A37" s="56"/>
      <c r="C37" s="40"/>
      <c r="D37" s="34"/>
      <c r="E37" s="35"/>
      <c r="F37" s="35"/>
      <c r="G37" s="35"/>
      <c r="H37" s="35"/>
      <c r="I37" s="35"/>
      <c r="J37" s="35"/>
      <c r="K37" s="35"/>
      <c r="L37" s="35"/>
      <c r="M37" s="73"/>
      <c r="N37" s="36"/>
      <c r="O37" s="42"/>
    </row>
    <row r="38" spans="1:17" s="17" customFormat="1" ht="12" thickBot="1">
      <c r="A38" s="56"/>
      <c r="C38" s="40"/>
      <c r="M38" s="65"/>
      <c r="O38" s="42"/>
    </row>
    <row r="39" spans="1:17" ht="15" customHeight="1">
      <c r="C39" s="40"/>
      <c r="D39" s="505" t="s">
        <v>24</v>
      </c>
      <c r="E39" s="506"/>
      <c r="F39" s="506"/>
      <c r="G39" s="506"/>
      <c r="H39" s="506"/>
      <c r="I39" s="506"/>
      <c r="J39" s="506"/>
      <c r="K39" s="506"/>
      <c r="L39" s="506"/>
      <c r="M39" s="506"/>
      <c r="N39" s="507"/>
      <c r="O39" s="42"/>
    </row>
    <row r="40" spans="1:17" s="17" customFormat="1">
      <c r="A40" s="56"/>
      <c r="C40" s="40"/>
      <c r="D40" s="32"/>
      <c r="M40" s="65"/>
      <c r="N40" s="38"/>
      <c r="O40" s="43"/>
      <c r="Q40" s="19"/>
    </row>
    <row r="41" spans="1:17" s="17" customFormat="1">
      <c r="A41" s="56"/>
      <c r="C41" s="40"/>
      <c r="D41" s="32"/>
      <c r="E41" s="508" t="s">
        <v>72</v>
      </c>
      <c r="F41" s="508"/>
      <c r="G41" s="508"/>
      <c r="H41" s="508"/>
      <c r="I41" s="508"/>
      <c r="J41" s="508"/>
      <c r="K41" s="508"/>
      <c r="L41" s="508"/>
      <c r="M41" s="508"/>
      <c r="N41" s="38"/>
      <c r="O41" s="43"/>
      <c r="Q41" s="19"/>
    </row>
    <row r="42" spans="1:17" s="17" customFormat="1">
      <c r="A42" s="56"/>
      <c r="C42" s="40"/>
      <c r="D42" s="32"/>
      <c r="M42" s="65"/>
      <c r="N42" s="38"/>
      <c r="O42" s="43"/>
      <c r="Q42" s="19"/>
    </row>
    <row r="43" spans="1:17" ht="22.5" customHeight="1">
      <c r="C43" s="40"/>
      <c r="D43" s="32"/>
      <c r="F43" s="496" t="s">
        <v>90</v>
      </c>
      <c r="G43" s="496"/>
      <c r="H43" s="496"/>
      <c r="I43" s="496"/>
      <c r="J43" s="496"/>
      <c r="K43" s="496"/>
      <c r="L43" s="58"/>
      <c r="M43" s="71"/>
      <c r="N43" s="38"/>
      <c r="O43" s="43"/>
      <c r="Q43" s="19"/>
    </row>
    <row r="44" spans="1:17">
      <c r="C44" s="40"/>
      <c r="D44" s="32"/>
      <c r="E44" s="5" t="s">
        <v>20</v>
      </c>
      <c r="F44" s="4"/>
      <c r="G44" s="4">
        <v>2010</v>
      </c>
      <c r="H44" s="4">
        <v>2020</v>
      </c>
      <c r="I44" s="4">
        <v>2030</v>
      </c>
      <c r="J44" s="4">
        <v>2040</v>
      </c>
      <c r="K44" s="4">
        <v>2050</v>
      </c>
      <c r="L44" s="29"/>
      <c r="M44" s="61" t="s">
        <v>32</v>
      </c>
      <c r="N44" s="33"/>
      <c r="O44" s="43"/>
      <c r="Q44" s="19"/>
    </row>
    <row r="45" spans="1:17" ht="11.25" customHeight="1">
      <c r="C45" s="40"/>
      <c r="D45" s="32"/>
      <c r="E45" s="6" t="s">
        <v>15</v>
      </c>
      <c r="F45" s="55"/>
      <c r="G45" s="55">
        <f>H45</f>
        <v>0.19600000000000001</v>
      </c>
      <c r="H45" s="55">
        <f>'Init. énergie'!B66</f>
        <v>0.19600000000000001</v>
      </c>
      <c r="I45" s="47">
        <v>0.02</v>
      </c>
      <c r="J45" s="47">
        <v>0</v>
      </c>
      <c r="K45" s="47">
        <v>0</v>
      </c>
      <c r="L45" s="64"/>
      <c r="M45" s="512" t="s">
        <v>291</v>
      </c>
      <c r="N45" s="39"/>
      <c r="O45" s="42"/>
      <c r="Q45" s="19"/>
    </row>
    <row r="46" spans="1:17">
      <c r="C46" s="40"/>
      <c r="D46" s="32"/>
      <c r="E46" s="6" t="s">
        <v>16</v>
      </c>
      <c r="F46" s="55"/>
      <c r="G46" s="55">
        <f t="shared" ref="G46:G51" si="7">H46</f>
        <v>0.41</v>
      </c>
      <c r="H46" s="55">
        <f>'Init. énergie'!B67</f>
        <v>0.41</v>
      </c>
      <c r="I46" s="47">
        <f>H46*0.86</f>
        <v>0.35259999999999997</v>
      </c>
      <c r="J46" s="47">
        <f>H46*0.4</f>
        <v>0.16400000000000001</v>
      </c>
      <c r="K46" s="47">
        <f>H46*0.05</f>
        <v>2.0500000000000001E-2</v>
      </c>
      <c r="L46" s="64"/>
      <c r="M46" s="512"/>
      <c r="N46" s="33"/>
      <c r="O46" s="42"/>
      <c r="Q46" s="20"/>
    </row>
    <row r="47" spans="1:17">
      <c r="C47" s="40"/>
      <c r="D47" s="32"/>
      <c r="E47" s="6" t="s">
        <v>68</v>
      </c>
      <c r="F47" s="55"/>
      <c r="G47" s="55">
        <f t="shared" si="7"/>
        <v>6.2E-2</v>
      </c>
      <c r="H47" s="55">
        <f>'Init. énergie'!B68</f>
        <v>6.2E-2</v>
      </c>
      <c r="I47" s="47">
        <v>0.2</v>
      </c>
      <c r="J47" s="47">
        <v>0.25</v>
      </c>
      <c r="K47" s="47">
        <v>0.27</v>
      </c>
      <c r="L47" s="64"/>
      <c r="M47" s="512"/>
      <c r="N47" s="33"/>
      <c r="O47" s="42"/>
    </row>
    <row r="48" spans="1:17">
      <c r="C48" s="40"/>
      <c r="D48" s="32"/>
      <c r="E48" s="6" t="s">
        <v>22</v>
      </c>
      <c r="F48" s="55"/>
      <c r="G48" s="55">
        <f t="shared" si="7"/>
        <v>1.7000000000000001E-2</v>
      </c>
      <c r="H48" s="55">
        <f>'Init. énergie'!B69</f>
        <v>1.7000000000000001E-2</v>
      </c>
      <c r="I48" s="47">
        <f t="shared" ref="I48:I49" si="8">H48+((K48-H48)/3)</f>
        <v>1.1333333333333334E-2</v>
      </c>
      <c r="J48" s="47">
        <v>0.02</v>
      </c>
      <c r="K48" s="47">
        <v>0</v>
      </c>
      <c r="L48" s="64"/>
      <c r="M48" s="512"/>
      <c r="N48" s="33"/>
      <c r="O48" s="42"/>
    </row>
    <row r="49" spans="1:17">
      <c r="C49" s="40"/>
      <c r="D49" s="32"/>
      <c r="E49" s="6" t="s">
        <v>42</v>
      </c>
      <c r="F49" s="55"/>
      <c r="G49" s="55">
        <f t="shared" si="7"/>
        <v>1.4E-2</v>
      </c>
      <c r="H49" s="55">
        <f>'Init. énergie'!B70</f>
        <v>1.4E-2</v>
      </c>
      <c r="I49" s="47">
        <f t="shared" si="8"/>
        <v>1.9333333333333334E-2</v>
      </c>
      <c r="J49" s="47">
        <f t="shared" ref="J49" si="9">H49+((K49-H49)/3*2)</f>
        <v>2.4666666666666667E-2</v>
      </c>
      <c r="K49" s="47">
        <v>0.03</v>
      </c>
      <c r="L49" s="64"/>
      <c r="M49" s="512"/>
      <c r="N49" s="33"/>
      <c r="O49" s="42"/>
    </row>
    <row r="50" spans="1:17">
      <c r="C50" s="40"/>
      <c r="D50" s="32"/>
      <c r="E50" s="6" t="s">
        <v>25</v>
      </c>
      <c r="F50" s="55"/>
      <c r="G50" s="55">
        <f t="shared" si="7"/>
        <v>0.23599999999999999</v>
      </c>
      <c r="H50" s="55">
        <f>'Init. énergie'!B71</f>
        <v>0.23599999999999999</v>
      </c>
      <c r="I50" s="47">
        <f>1-I45-I46-I47-I48-I49-I51</f>
        <v>0.19673333333333326</v>
      </c>
      <c r="J50" s="47">
        <v>0.1</v>
      </c>
      <c r="K50" s="47">
        <f>1-K45-K46-K47-K48-K49-K51</f>
        <v>8.9500000000000024E-2</v>
      </c>
      <c r="L50" s="64"/>
      <c r="M50" s="512"/>
      <c r="N50" s="33"/>
      <c r="O50" s="42"/>
    </row>
    <row r="51" spans="1:17">
      <c r="C51" s="40"/>
      <c r="D51" s="32"/>
      <c r="E51" s="6" t="s">
        <v>26</v>
      </c>
      <c r="F51" s="55"/>
      <c r="G51" s="55">
        <f t="shared" si="7"/>
        <v>6.6000000000000003E-2</v>
      </c>
      <c r="H51" s="55">
        <f>'Init. énergie'!B72</f>
        <v>6.6000000000000003E-2</v>
      </c>
      <c r="I51" s="47">
        <v>0.2</v>
      </c>
      <c r="J51" s="47">
        <v>0.44</v>
      </c>
      <c r="K51" s="123">
        <v>0.59</v>
      </c>
      <c r="L51" s="64"/>
      <c r="M51" s="512"/>
      <c r="N51" s="33"/>
      <c r="O51" s="42"/>
    </row>
    <row r="52" spans="1:17">
      <c r="C52" s="40"/>
      <c r="D52" s="32"/>
      <c r="E52" s="7" t="s">
        <v>17</v>
      </c>
      <c r="F52" s="53"/>
      <c r="G52" s="149">
        <f t="shared" ref="G52:J52" si="10">SUM(G45:G51)</f>
        <v>1.0009999999999999</v>
      </c>
      <c r="H52" s="149">
        <f t="shared" si="10"/>
        <v>1.0009999999999999</v>
      </c>
      <c r="I52" s="155">
        <f t="shared" si="10"/>
        <v>0.99999999999999978</v>
      </c>
      <c r="J52" s="155">
        <f t="shared" si="10"/>
        <v>0.99866666666666681</v>
      </c>
      <c r="K52" s="155">
        <f>SUM(K45:K51)</f>
        <v>1</v>
      </c>
      <c r="L52" s="63"/>
      <c r="M52" s="512"/>
      <c r="N52" s="33"/>
      <c r="O52" s="42"/>
    </row>
    <row r="53" spans="1:17" s="17" customFormat="1">
      <c r="A53" s="56"/>
      <c r="C53" s="40"/>
      <c r="D53" s="32"/>
      <c r="E53" s="30"/>
      <c r="F53" s="31"/>
      <c r="G53" s="31"/>
      <c r="H53" s="31"/>
      <c r="M53" s="65"/>
      <c r="N53" s="33"/>
      <c r="O53" s="42"/>
    </row>
    <row r="54" spans="1:17" ht="10.35" customHeight="1">
      <c r="C54" s="40"/>
      <c r="D54" s="32"/>
      <c r="F54" s="496" t="s">
        <v>87</v>
      </c>
      <c r="G54" s="496"/>
      <c r="H54" s="496"/>
      <c r="I54" s="496"/>
      <c r="J54" s="496"/>
      <c r="K54" s="496"/>
      <c r="L54" s="63"/>
      <c r="M54" s="65"/>
      <c r="N54" s="33"/>
      <c r="O54" s="42"/>
    </row>
    <row r="55" spans="1:17" ht="10.35" customHeight="1">
      <c r="C55" s="40"/>
      <c r="D55" s="32"/>
      <c r="E55" s="5"/>
      <c r="F55" s="4"/>
      <c r="G55" s="4"/>
      <c r="H55" s="142">
        <f t="shared" ref="H55:K55" si="11">(G$81*(H45-G45)+G$82*(H46-G46)+G$83*(H47-G47)+G$84*(H48-G48)+G$85*(H49-G49)+G$86*(H50-G50)+G$87*(H51-G51))/(G$81*G45+G$82*G46+G$83*G47+G$84*G48+G$85*G49+G$86*G50+G$87*G51)</f>
        <v>0</v>
      </c>
      <c r="I55" s="142">
        <f>(H$81*(I45-H45)+H$82*(I46-H46)+H$83*(I47-H47)+H$84*(I48-H48)+H$85*(I49-H49)+H$86*(I50-H50)+H$87*(I51-H51))/(H$81*H45+H$82*H46+H$83*H47+H$84*H48+H$85*H49+H$86*H50+H$87*H51)</f>
        <v>-0.10755888784684363</v>
      </c>
      <c r="J55" s="142">
        <f t="shared" si="11"/>
        <v>-0.16566776209571449</v>
      </c>
      <c r="K55" s="142">
        <f t="shared" si="11"/>
        <v>-0.15352286622669928</v>
      </c>
      <c r="L55" s="63"/>
      <c r="M55" s="65"/>
      <c r="N55" s="33"/>
      <c r="O55" s="42"/>
    </row>
    <row r="56" spans="1:17" ht="10.35" customHeight="1">
      <c r="C56" s="40"/>
      <c r="D56" s="32"/>
      <c r="E56" s="30"/>
      <c r="F56" s="30"/>
      <c r="G56" s="30"/>
      <c r="H56" s="30"/>
      <c r="I56" s="30"/>
      <c r="J56" s="30"/>
      <c r="K56" s="30"/>
      <c r="L56" s="63"/>
      <c r="M56" s="65"/>
      <c r="N56" s="33"/>
      <c r="O56" s="42"/>
    </row>
    <row r="57" spans="1:17" ht="22.5" customHeight="1">
      <c r="C57" s="40"/>
      <c r="D57" s="32"/>
      <c r="F57" s="490" t="s">
        <v>88</v>
      </c>
      <c r="G57" s="491"/>
      <c r="H57" s="491"/>
      <c r="I57" s="491"/>
      <c r="J57" s="491"/>
      <c r="K57" s="492"/>
      <c r="L57" s="58"/>
      <c r="M57" s="71"/>
      <c r="N57" s="38"/>
      <c r="O57" s="43"/>
      <c r="Q57" s="19"/>
    </row>
    <row r="58" spans="1:17">
      <c r="C58" s="40"/>
      <c r="D58" s="32"/>
      <c r="E58" s="5" t="s">
        <v>20</v>
      </c>
      <c r="F58" s="4">
        <v>2006</v>
      </c>
      <c r="G58" s="4">
        <v>2015</v>
      </c>
      <c r="H58" s="4">
        <v>2020</v>
      </c>
      <c r="I58" s="4">
        <v>2030</v>
      </c>
      <c r="J58" s="4">
        <v>2040</v>
      </c>
      <c r="K58" s="4">
        <v>2050</v>
      </c>
      <c r="L58" s="29"/>
      <c r="M58" s="61" t="s">
        <v>32</v>
      </c>
      <c r="N58" s="33"/>
      <c r="O58" s="43"/>
      <c r="Q58" s="19"/>
    </row>
    <row r="59" spans="1:17" ht="11.25" customHeight="1">
      <c r="C59" s="40"/>
      <c r="D59" s="32"/>
      <c r="E59" s="6" t="s">
        <v>15</v>
      </c>
      <c r="F59" s="55"/>
      <c r="G59" s="55">
        <f>H59</f>
        <v>0.19600000000000001</v>
      </c>
      <c r="H59" s="55">
        <f>H45</f>
        <v>0.19600000000000001</v>
      </c>
      <c r="I59" s="47">
        <f>I45</f>
        <v>0.02</v>
      </c>
      <c r="J59" s="47">
        <f>J45</f>
        <v>0</v>
      </c>
      <c r="K59" s="47">
        <f>K45</f>
        <v>0</v>
      </c>
      <c r="L59" s="64"/>
      <c r="M59" s="493"/>
      <c r="N59" s="39"/>
      <c r="O59" s="42"/>
      <c r="Q59" s="19"/>
    </row>
    <row r="60" spans="1:17">
      <c r="C60" s="40"/>
      <c r="D60" s="32"/>
      <c r="E60" s="6" t="s">
        <v>16</v>
      </c>
      <c r="F60" s="55"/>
      <c r="G60" s="55">
        <f t="shared" ref="G60:G65" si="12">H60</f>
        <v>0.41</v>
      </c>
      <c r="H60" s="55">
        <f t="shared" ref="H60:K65" si="13">H46</f>
        <v>0.41</v>
      </c>
      <c r="I60" s="47">
        <f t="shared" si="13"/>
        <v>0.35259999999999997</v>
      </c>
      <c r="J60" s="47">
        <f t="shared" si="13"/>
        <v>0.16400000000000001</v>
      </c>
      <c r="K60" s="47">
        <f t="shared" si="13"/>
        <v>2.0500000000000001E-2</v>
      </c>
      <c r="L60" s="64"/>
      <c r="M60" s="494"/>
      <c r="N60" s="33"/>
      <c r="O60" s="42"/>
      <c r="Q60" s="20"/>
    </row>
    <row r="61" spans="1:17">
      <c r="C61" s="40"/>
      <c r="D61" s="32"/>
      <c r="E61" s="150" t="s">
        <v>68</v>
      </c>
      <c r="F61" s="55"/>
      <c r="G61" s="55">
        <f t="shared" si="12"/>
        <v>6.2E-2</v>
      </c>
      <c r="H61" s="55">
        <f t="shared" si="13"/>
        <v>6.2E-2</v>
      </c>
      <c r="I61" s="47">
        <v>0.19</v>
      </c>
      <c r="J61" s="47">
        <f t="shared" si="13"/>
        <v>0.25</v>
      </c>
      <c r="K61" s="47">
        <v>0.24</v>
      </c>
      <c r="L61" s="64"/>
      <c r="M61" s="494"/>
      <c r="N61" s="33"/>
      <c r="O61" s="42"/>
    </row>
    <row r="62" spans="1:17">
      <c r="C62" s="40"/>
      <c r="D62" s="32"/>
      <c r="E62" s="150" t="s">
        <v>22</v>
      </c>
      <c r="F62" s="55"/>
      <c r="G62" s="55">
        <f t="shared" si="12"/>
        <v>1.7000000000000001E-2</v>
      </c>
      <c r="H62" s="55">
        <f t="shared" si="13"/>
        <v>1.7000000000000001E-2</v>
      </c>
      <c r="I62" s="47">
        <f t="shared" si="13"/>
        <v>1.1333333333333334E-2</v>
      </c>
      <c r="J62" s="47">
        <f t="shared" si="13"/>
        <v>0.02</v>
      </c>
      <c r="K62" s="47">
        <f t="shared" si="13"/>
        <v>0</v>
      </c>
      <c r="L62" s="64"/>
      <c r="M62" s="494"/>
      <c r="N62" s="33"/>
      <c r="O62" s="42"/>
    </row>
    <row r="63" spans="1:17">
      <c r="C63" s="40"/>
      <c r="D63" s="32"/>
      <c r="E63" s="150" t="s">
        <v>42</v>
      </c>
      <c r="F63" s="55"/>
      <c r="G63" s="55">
        <f t="shared" si="12"/>
        <v>1.4E-2</v>
      </c>
      <c r="H63" s="55">
        <f t="shared" si="13"/>
        <v>1.4E-2</v>
      </c>
      <c r="I63" s="47">
        <f t="shared" si="13"/>
        <v>1.9333333333333334E-2</v>
      </c>
      <c r="J63" s="47">
        <f t="shared" si="13"/>
        <v>2.4666666666666667E-2</v>
      </c>
      <c r="K63" s="47">
        <f t="shared" si="13"/>
        <v>0.03</v>
      </c>
      <c r="L63" s="64"/>
      <c r="M63" s="494"/>
      <c r="N63" s="33"/>
      <c r="O63" s="42"/>
    </row>
    <row r="64" spans="1:17">
      <c r="C64" s="40"/>
      <c r="D64" s="32"/>
      <c r="E64" s="151" t="s">
        <v>25</v>
      </c>
      <c r="F64" s="55"/>
      <c r="G64" s="55">
        <f t="shared" si="12"/>
        <v>0.23599999999999999</v>
      </c>
      <c r="H64" s="55">
        <f t="shared" si="13"/>
        <v>0.23599999999999999</v>
      </c>
      <c r="I64" s="47">
        <f t="shared" si="13"/>
        <v>0.19673333333333326</v>
      </c>
      <c r="J64" s="47">
        <f t="shared" si="13"/>
        <v>0.1</v>
      </c>
      <c r="K64" s="47">
        <f t="shared" si="13"/>
        <v>8.9500000000000024E-2</v>
      </c>
      <c r="L64" s="64"/>
      <c r="M64" s="494"/>
      <c r="N64" s="33"/>
      <c r="O64" s="42"/>
    </row>
    <row r="65" spans="1:15">
      <c r="C65" s="40"/>
      <c r="D65" s="32"/>
      <c r="E65" s="151" t="s">
        <v>26</v>
      </c>
      <c r="F65" s="55"/>
      <c r="G65" s="55">
        <f t="shared" si="12"/>
        <v>6.6000000000000003E-2</v>
      </c>
      <c r="H65" s="55">
        <f t="shared" si="13"/>
        <v>6.6000000000000003E-2</v>
      </c>
      <c r="I65" s="47">
        <v>0.21</v>
      </c>
      <c r="J65" s="47">
        <f t="shared" si="13"/>
        <v>0.44</v>
      </c>
      <c r="K65" s="47">
        <v>0.57999999999999996</v>
      </c>
      <c r="L65" s="64"/>
      <c r="M65" s="495"/>
      <c r="N65" s="33"/>
      <c r="O65" s="42"/>
    </row>
    <row r="66" spans="1:15">
      <c r="C66" s="40"/>
      <c r="D66" s="32"/>
      <c r="E66" s="7" t="s">
        <v>17</v>
      </c>
      <c r="F66" s="53"/>
      <c r="G66" s="149">
        <f t="shared" ref="G66" si="14">SUM(G59:G65)</f>
        <v>1.0009999999999999</v>
      </c>
      <c r="H66" s="149">
        <v>1</v>
      </c>
      <c r="I66" s="47">
        <f t="shared" ref="I66:J66" si="15">SUM(I59:I65)</f>
        <v>0.99999999999999978</v>
      </c>
      <c r="J66" s="47">
        <f t="shared" si="15"/>
        <v>0.99866666666666681</v>
      </c>
      <c r="K66" s="47">
        <f>SUM(K59:K65)</f>
        <v>0.96</v>
      </c>
      <c r="L66" s="63"/>
      <c r="N66" s="33"/>
      <c r="O66" s="42"/>
    </row>
    <row r="67" spans="1:15">
      <c r="C67" s="40"/>
      <c r="D67" s="32"/>
      <c r="E67" s="139"/>
      <c r="F67" s="152"/>
      <c r="G67" s="152"/>
      <c r="H67" s="153"/>
      <c r="I67" s="153"/>
      <c r="J67" s="153"/>
      <c r="K67" s="153"/>
      <c r="L67" s="63"/>
      <c r="N67" s="33"/>
      <c r="O67" s="42"/>
    </row>
    <row r="68" spans="1:15" ht="10.35" customHeight="1">
      <c r="C68" s="40"/>
      <c r="D68" s="32"/>
      <c r="F68" s="490" t="s">
        <v>89</v>
      </c>
      <c r="G68" s="491"/>
      <c r="H68" s="491"/>
      <c r="I68" s="491"/>
      <c r="J68" s="491"/>
      <c r="K68" s="492"/>
      <c r="L68" s="63"/>
      <c r="N68" s="33"/>
      <c r="O68" s="42"/>
    </row>
    <row r="69" spans="1:15" ht="10.35" customHeight="1">
      <c r="C69" s="40"/>
      <c r="D69" s="32"/>
      <c r="E69" s="5"/>
      <c r="F69" s="4"/>
      <c r="G69" s="4"/>
      <c r="H69" s="142">
        <f>(G101*(H59-G59)+G102*(H60-G60)+G103*(H61-H61)+G104*(H62-G62)+G105*(H63-G63)+G106*(H64-G64)+G107*(H65-G65))/(G101*G59+G102*G60+G103*G61+G104*G62+G105*G63+G106*G64+G107*G65)</f>
        <v>0</v>
      </c>
      <c r="I69" s="142">
        <f>(H$101*(I59-H59)+H$102*(I60-H60)+H$103*(I61-H61)+H$104*(I62-H62)+H$105*(I63-H63)+H$106*(I64-H64)+H$107*(I65-H65))/(H$101*H59+H$102*H60+H$103*H61+H$104*H62+H$105*H63+H$106*H64+H$107*H65)</f>
        <v>-0.1140778296943416</v>
      </c>
      <c r="J69" s="142">
        <f>(I$101*(J59-I59)+I$102*(J60-I60)+I$103*(J61-I61)+I$104*(J62-I62)+I$105*(J63-I63)+I$106*(J64-I64)+I$107*(J65-I65))/(I$101*I59+I$102*I60+I$103*I61+I$104*I62+I$105*I63+I$106*I64+I$107*I65)</f>
        <v>-0.15953359323397326</v>
      </c>
      <c r="K69" s="142">
        <f>(J$101*(K59-J59)+J$102*(K60-J60)+J$103*(K61-J61)+J$104*(K62-J62)+J$105*(K63-J63)+J$106*(K64-J64)+J$107*(K65-J65))/(J$101*J59+J$102*J60+J$103*J61+J$104*J62+J$105*J63+J$106*J64+J$107*J65)</f>
        <v>-0.21546800636487221</v>
      </c>
      <c r="L69" s="72"/>
      <c r="M69" s="154"/>
      <c r="N69" s="33"/>
      <c r="O69" s="42"/>
    </row>
    <row r="70" spans="1:15" ht="10.35" customHeight="1">
      <c r="C70" s="40"/>
      <c r="D70" s="32"/>
      <c r="E70" s="30"/>
      <c r="F70" s="30"/>
      <c r="G70" s="30"/>
      <c r="H70" s="30"/>
      <c r="I70" s="30"/>
      <c r="J70" s="30"/>
      <c r="K70" s="30"/>
      <c r="L70" s="63"/>
      <c r="M70" s="65"/>
      <c r="N70" s="33"/>
      <c r="O70" s="42"/>
    </row>
    <row r="71" spans="1:15" ht="10.35" customHeight="1">
      <c r="C71" s="40"/>
      <c r="D71" s="32"/>
      <c r="E71" s="30"/>
      <c r="F71" s="30"/>
      <c r="G71" s="30"/>
      <c r="H71" s="30"/>
      <c r="I71" s="30"/>
      <c r="J71" s="30"/>
      <c r="K71" s="30"/>
      <c r="L71" s="63"/>
      <c r="M71" s="65"/>
      <c r="N71" s="33"/>
      <c r="O71" s="42"/>
    </row>
    <row r="72" spans="1:15" s="17" customFormat="1" ht="56.25">
      <c r="A72" s="56"/>
      <c r="C72" s="40"/>
      <c r="D72" s="32"/>
      <c r="E72" s="90"/>
      <c r="F72" s="182" t="s">
        <v>84</v>
      </c>
      <c r="G72" s="183" t="s">
        <v>83</v>
      </c>
      <c r="H72" s="183" t="s">
        <v>35</v>
      </c>
      <c r="J72" s="392"/>
      <c r="M72" s="61" t="s">
        <v>32</v>
      </c>
      <c r="N72" s="33"/>
      <c r="O72" s="42"/>
    </row>
    <row r="73" spans="1:15" s="17" customFormat="1" ht="32.25" customHeight="1">
      <c r="A73" s="56"/>
      <c r="C73" s="40"/>
      <c r="D73" s="32"/>
      <c r="E73" s="84" t="s">
        <v>23</v>
      </c>
      <c r="F73" s="55">
        <f>'Tableau de bord'!L12</f>
        <v>0.86</v>
      </c>
      <c r="G73" s="92">
        <f>'Tableau de bord'!L25</f>
        <v>0.95</v>
      </c>
      <c r="H73" s="92">
        <f>'Tableau de bord'!L28</f>
        <v>0.95</v>
      </c>
      <c r="J73" s="390"/>
      <c r="M73" s="68" t="s">
        <v>73</v>
      </c>
      <c r="N73" s="33"/>
      <c r="O73" s="42"/>
    </row>
    <row r="74" spans="1:15" s="17" customFormat="1">
      <c r="A74" s="56"/>
      <c r="C74" s="40"/>
      <c r="D74" s="32"/>
      <c r="E74" s="387"/>
      <c r="F74" s="389"/>
      <c r="G74" s="390"/>
      <c r="H74" s="390"/>
      <c r="J74" s="390"/>
      <c r="M74" s="388"/>
      <c r="N74" s="33"/>
      <c r="O74" s="42"/>
    </row>
    <row r="75" spans="1:15" s="17" customFormat="1" ht="15" customHeight="1">
      <c r="A75" s="56"/>
      <c r="C75" s="40"/>
      <c r="D75" s="32"/>
      <c r="E75" s="387"/>
      <c r="F75" s="391">
        <v>2030</v>
      </c>
      <c r="G75" s="391">
        <v>2040</v>
      </c>
      <c r="H75" s="391">
        <v>2050</v>
      </c>
      <c r="J75" s="390"/>
      <c r="M75" s="388"/>
      <c r="N75" s="33"/>
      <c r="O75" s="42"/>
    </row>
    <row r="76" spans="1:15" s="17" customFormat="1" ht="47.25" customHeight="1">
      <c r="A76" s="56"/>
      <c r="C76" s="40"/>
      <c r="D76" s="32"/>
      <c r="E76" s="387"/>
      <c r="F76" s="382" t="s">
        <v>319</v>
      </c>
      <c r="G76" s="382" t="s">
        <v>317</v>
      </c>
      <c r="H76" s="382" t="s">
        <v>318</v>
      </c>
      <c r="J76" s="390"/>
      <c r="M76" s="388"/>
      <c r="N76" s="33"/>
      <c r="O76" s="42"/>
    </row>
    <row r="77" spans="1:15" s="17" customFormat="1" ht="32.25" customHeight="1">
      <c r="A77" s="56"/>
      <c r="C77" s="40"/>
      <c r="D77" s="32"/>
      <c r="E77" s="387"/>
      <c r="F77" s="92">
        <f>'Tableau de bord'!F41</f>
        <v>0.35750000000000004</v>
      </c>
      <c r="G77" s="92">
        <f>'Tableau de bord'!P33</f>
        <v>0.5</v>
      </c>
      <c r="H77" s="92">
        <f>'Tableau de bord'!AE33</f>
        <v>0.6</v>
      </c>
      <c r="J77" s="390"/>
      <c r="M77" s="388"/>
      <c r="N77" s="33"/>
      <c r="O77" s="42"/>
    </row>
    <row r="78" spans="1:15" s="17" customFormat="1">
      <c r="A78" s="56"/>
      <c r="C78" s="40"/>
      <c r="D78" s="32"/>
      <c r="E78" s="37"/>
      <c r="F78" s="89"/>
      <c r="G78" s="89"/>
      <c r="H78" s="89"/>
      <c r="M78" s="65"/>
      <c r="N78" s="33"/>
      <c r="O78" s="42"/>
    </row>
    <row r="79" spans="1:15" s="17" customFormat="1">
      <c r="A79" s="56"/>
      <c r="C79" s="40"/>
      <c r="D79" s="32"/>
      <c r="F79" s="489" t="s">
        <v>36</v>
      </c>
      <c r="G79" s="489"/>
      <c r="H79" s="489"/>
      <c r="I79" s="489"/>
      <c r="J79" s="489"/>
      <c r="K79" s="489"/>
      <c r="M79" s="65"/>
      <c r="N79" s="33"/>
      <c r="O79" s="42"/>
    </row>
    <row r="80" spans="1:15" s="17" customFormat="1">
      <c r="A80" s="56"/>
      <c r="C80" s="40"/>
      <c r="D80" s="32"/>
      <c r="E80" s="5" t="s">
        <v>20</v>
      </c>
      <c r="F80" s="304" t="s">
        <v>287</v>
      </c>
      <c r="G80" s="4">
        <v>2010</v>
      </c>
      <c r="H80" s="4">
        <v>2020</v>
      </c>
      <c r="I80" s="4">
        <v>2030</v>
      </c>
      <c r="J80" s="4">
        <v>2040</v>
      </c>
      <c r="K80" s="4">
        <v>2050</v>
      </c>
      <c r="M80" s="61" t="s">
        <v>32</v>
      </c>
      <c r="N80" s="33"/>
      <c r="O80" s="42"/>
    </row>
    <row r="81" spans="1:22" s="17" customFormat="1">
      <c r="A81" s="56"/>
      <c r="C81" s="40"/>
      <c r="D81" s="32"/>
      <c r="E81" s="6" t="s">
        <v>15</v>
      </c>
      <c r="F81" s="305">
        <f>'Init. énergie'!K78</f>
        <v>0.9780809001820524</v>
      </c>
      <c r="G81" s="81">
        <f>H81/F81^10</f>
        <v>180.44218446699179</v>
      </c>
      <c r="H81" s="54">
        <f>'Init. énergie'!D66</f>
        <v>144.57255544511395</v>
      </c>
      <c r="I81" s="81">
        <f>G81*(1-F$77)/(1+I$55)</f>
        <v>129.90672655177519</v>
      </c>
      <c r="J81" s="81">
        <f>G81*(1-G$77)/(1+I$55)/(1+J$55)</f>
        <v>121.1684317604708</v>
      </c>
      <c r="K81" s="81">
        <f>G81*(1-H$77)/(1+I$55)/(1+J$55)/(1+K$55)</f>
        <v>114.5154919616969</v>
      </c>
      <c r="M81" s="512" t="s">
        <v>40</v>
      </c>
      <c r="N81" s="33"/>
      <c r="O81" s="42"/>
      <c r="Q81" s="52"/>
      <c r="R81" s="52"/>
      <c r="V81" s="101"/>
    </row>
    <row r="82" spans="1:22" s="17" customFormat="1">
      <c r="A82" s="56"/>
      <c r="C82" s="40"/>
      <c r="D82" s="32"/>
      <c r="E82" s="6" t="s">
        <v>16</v>
      </c>
      <c r="F82" s="305">
        <f>'Init. énergie'!K77</f>
        <v>0.98117145514094439</v>
      </c>
      <c r="G82" s="81">
        <f t="shared" ref="G82:G87" si="16">H82/F82^10</f>
        <v>181.54529344579473</v>
      </c>
      <c r="H82" s="54">
        <f>'Init. énergie'!D67</f>
        <v>150.1184403986914</v>
      </c>
      <c r="I82" s="81">
        <f t="shared" ref="I82:I87" si="17">G82*(1-F$77)/(1+I$55)</f>
        <v>130.70089381864494</v>
      </c>
      <c r="J82" s="81">
        <f t="shared" ref="J82:J87" si="18">G82*(1-G$77)/(1+I$55)/(1+J$55)</f>
        <v>121.90917863968461</v>
      </c>
      <c r="K82" s="81">
        <f t="shared" ref="K82:K87" si="19">G82*(1-H$77)/(1+I$55)/(1+J$55)/(1+K$55)</f>
        <v>115.21556698998437</v>
      </c>
      <c r="M82" s="512"/>
      <c r="N82" s="33"/>
      <c r="O82" s="42"/>
      <c r="Q82" s="52"/>
      <c r="R82" s="52"/>
      <c r="V82" s="101"/>
    </row>
    <row r="83" spans="1:22" s="17" customFormat="1">
      <c r="A83" s="56"/>
      <c r="C83" s="40"/>
      <c r="D83" s="32"/>
      <c r="E83" s="6" t="s">
        <v>68</v>
      </c>
      <c r="F83" s="305">
        <f>'Init. énergie'!K$79</f>
        <v>0.98782616080973285</v>
      </c>
      <c r="G83" s="81">
        <f t="shared" si="16"/>
        <v>141.57918557083755</v>
      </c>
      <c r="H83" s="54">
        <f>'Init. énergie'!D68</f>
        <v>125.25776108181995</v>
      </c>
      <c r="I83" s="81">
        <f t="shared" si="17"/>
        <v>101.92787567775365</v>
      </c>
      <c r="J83" s="81">
        <f t="shared" si="18"/>
        <v>95.071603883631795</v>
      </c>
      <c r="K83" s="81">
        <f t="shared" si="19"/>
        <v>89.851550706241198</v>
      </c>
      <c r="M83" s="512"/>
      <c r="N83" s="33"/>
      <c r="O83" s="42"/>
      <c r="Q83" s="52"/>
      <c r="R83" s="52"/>
      <c r="V83" s="101"/>
    </row>
    <row r="84" spans="1:22" s="17" customFormat="1">
      <c r="A84" s="56"/>
      <c r="C84" s="40"/>
      <c r="D84" s="32"/>
      <c r="E84" s="6" t="s">
        <v>22</v>
      </c>
      <c r="F84" s="305">
        <f>'Init. énergie'!K$79</f>
        <v>0.98782616080973285</v>
      </c>
      <c r="G84" s="81">
        <f t="shared" si="16"/>
        <v>139.51911623316892</v>
      </c>
      <c r="H84" s="54">
        <f>'Init. énergie'!D69</f>
        <v>123.43517909796911</v>
      </c>
      <c r="I84" s="81">
        <f t="shared" si="17"/>
        <v>100.44475871751106</v>
      </c>
      <c r="J84" s="81">
        <f t="shared" si="18"/>
        <v>93.688250142374017</v>
      </c>
      <c r="K84" s="81">
        <f t="shared" si="19"/>
        <v>88.544152137690361</v>
      </c>
      <c r="M84" s="512"/>
      <c r="N84" s="33"/>
      <c r="O84" s="42"/>
      <c r="Q84" s="52"/>
      <c r="R84" s="52"/>
      <c r="V84" s="101"/>
    </row>
    <row r="85" spans="1:22" s="17" customFormat="1">
      <c r="A85" s="56"/>
      <c r="C85" s="40"/>
      <c r="D85" s="32"/>
      <c r="E85" s="6" t="s">
        <v>42</v>
      </c>
      <c r="F85" s="305">
        <f>'Init. énergie'!K$79</f>
        <v>0.98782616080973285</v>
      </c>
      <c r="G85" s="81">
        <f t="shared" si="16"/>
        <v>144.17238519039412</v>
      </c>
      <c r="H85" s="54">
        <f>'Init. énergie'!D70</f>
        <v>127.55201342600625</v>
      </c>
      <c r="I85" s="81">
        <f t="shared" si="17"/>
        <v>103.79481203117342</v>
      </c>
      <c r="J85" s="81">
        <f t="shared" si="18"/>
        <v>96.812959055492939</v>
      </c>
      <c r="K85" s="81">
        <f t="shared" si="19"/>
        <v>91.497294084185796</v>
      </c>
      <c r="M85" s="512"/>
      <c r="N85" s="33"/>
      <c r="O85" s="42"/>
      <c r="Q85" s="52"/>
      <c r="R85" s="52"/>
      <c r="V85" s="101"/>
    </row>
    <row r="86" spans="1:22" s="17" customFormat="1">
      <c r="A86" s="56"/>
      <c r="C86" s="40"/>
      <c r="D86" s="32"/>
      <c r="E86" s="6" t="s">
        <v>25</v>
      </c>
      <c r="F86" s="305">
        <f>'Init. énergie'!K80</f>
        <v>0.97129453057288506</v>
      </c>
      <c r="G86" s="81">
        <f t="shared" si="16"/>
        <v>81.62447538579643</v>
      </c>
      <c r="H86" s="54">
        <f>'Init. énergie'!D71</f>
        <v>61</v>
      </c>
      <c r="I86" s="81">
        <f t="shared" si="17"/>
        <v>58.764353996248964</v>
      </c>
      <c r="J86" s="81">
        <f t="shared" si="18"/>
        <v>54.81151597107457</v>
      </c>
      <c r="K86" s="81">
        <f t="shared" si="19"/>
        <v>51.802005071767404</v>
      </c>
      <c r="M86" s="512"/>
      <c r="N86" s="33"/>
      <c r="O86" s="42"/>
      <c r="Q86" s="52"/>
      <c r="R86" s="52"/>
      <c r="V86" s="101"/>
    </row>
    <row r="87" spans="1:22" s="17" customFormat="1">
      <c r="A87" s="56"/>
      <c r="C87" s="40"/>
      <c r="D87" s="32"/>
      <c r="E87" s="6" t="s">
        <v>26</v>
      </c>
      <c r="F87" s="305">
        <f>'Init. énergie'!K80</f>
        <v>0.97129453057288506</v>
      </c>
      <c r="G87" s="81">
        <f t="shared" si="16"/>
        <v>63.73888051007966</v>
      </c>
      <c r="H87" s="54">
        <f>'Init. énergie'!D72</f>
        <v>47.633650234662667</v>
      </c>
      <c r="I87" s="81">
        <f t="shared" si="17"/>
        <v>45.887880074151226</v>
      </c>
      <c r="J87" s="81">
        <f t="shared" si="18"/>
        <v>42.801189845865444</v>
      </c>
      <c r="K87" s="81">
        <f t="shared" si="19"/>
        <v>40.451124443324424</v>
      </c>
      <c r="M87" s="512"/>
      <c r="N87" s="33"/>
      <c r="O87" s="42"/>
      <c r="Q87" s="52"/>
      <c r="R87" s="52"/>
      <c r="V87" s="101"/>
    </row>
    <row r="88" spans="1:22" s="17" customFormat="1">
      <c r="A88" s="56"/>
      <c r="C88" s="40"/>
      <c r="D88" s="32"/>
      <c r="E88" s="127"/>
      <c r="F88" s="89"/>
      <c r="G88" s="89"/>
      <c r="H88" s="89"/>
      <c r="I88" s="89"/>
      <c r="J88" s="89"/>
      <c r="K88" s="89"/>
      <c r="M88" s="302"/>
      <c r="N88" s="33"/>
      <c r="O88" s="42"/>
      <c r="Q88" s="52"/>
      <c r="R88" s="52"/>
      <c r="V88" s="101"/>
    </row>
    <row r="89" spans="1:22" s="17" customFormat="1" ht="69" customHeight="1">
      <c r="A89" s="56"/>
      <c r="C89" s="40"/>
      <c r="D89" s="32"/>
      <c r="F89" s="489" t="s">
        <v>245</v>
      </c>
      <c r="G89" s="489"/>
      <c r="H89" s="58"/>
      <c r="I89" s="58"/>
      <c r="J89" s="58"/>
      <c r="K89" s="58"/>
      <c r="L89" s="58"/>
      <c r="M89" s="71"/>
      <c r="N89" s="33"/>
      <c r="O89" s="42"/>
    </row>
    <row r="90" spans="1:22" s="17" customFormat="1" ht="23.25" customHeight="1">
      <c r="A90" s="56"/>
      <c r="C90" s="40"/>
      <c r="D90" s="32"/>
      <c r="E90" s="5" t="s">
        <v>20</v>
      </c>
      <c r="F90" s="59" t="s">
        <v>81</v>
      </c>
      <c r="G90" s="59" t="s">
        <v>37</v>
      </c>
      <c r="I90" s="66"/>
      <c r="J90" s="66"/>
      <c r="K90" s="66"/>
      <c r="L90" s="66"/>
      <c r="M90" s="61" t="s">
        <v>32</v>
      </c>
      <c r="N90" s="33"/>
      <c r="O90" s="42"/>
    </row>
    <row r="91" spans="1:22" s="17" customFormat="1" ht="15" customHeight="1">
      <c r="A91" s="56"/>
      <c r="C91" s="40"/>
      <c r="D91" s="32"/>
      <c r="E91" s="6" t="s">
        <v>15</v>
      </c>
      <c r="F91" s="77">
        <f>'Init. énergie'!L78</f>
        <v>-2.1919099817947596E-2</v>
      </c>
      <c r="G91" s="78">
        <f>F91/3</f>
        <v>-7.3063666059825323E-3</v>
      </c>
      <c r="I91" s="65"/>
      <c r="J91" s="65"/>
      <c r="K91" s="65"/>
      <c r="L91" s="65"/>
      <c r="M91" s="493" t="s">
        <v>82</v>
      </c>
      <c r="N91" s="33"/>
      <c r="O91" s="42"/>
    </row>
    <row r="92" spans="1:22" s="17" customFormat="1">
      <c r="A92" s="56"/>
      <c r="C92" s="40"/>
      <c r="D92" s="32"/>
      <c r="E92" s="6" t="s">
        <v>16</v>
      </c>
      <c r="F92" s="77">
        <f>'Init. énergie'!L77</f>
        <v>-1.8828544859055607E-2</v>
      </c>
      <c r="G92" s="78">
        <f t="shared" ref="G92:G97" si="20">F92/3</f>
        <v>-6.2761816196852021E-3</v>
      </c>
      <c r="H92" s="65"/>
      <c r="I92" s="65"/>
      <c r="J92" s="65"/>
      <c r="K92" s="65"/>
      <c r="L92" s="65"/>
      <c r="M92" s="494"/>
      <c r="N92" s="33"/>
      <c r="O92" s="42"/>
    </row>
    <row r="93" spans="1:22" s="17" customFormat="1">
      <c r="A93" s="56"/>
      <c r="C93" s="40"/>
      <c r="D93" s="32"/>
      <c r="E93" s="6" t="s">
        <v>68</v>
      </c>
      <c r="F93" s="77">
        <f>'Init. énergie'!L79</f>
        <v>-1.2173839190267155E-2</v>
      </c>
      <c r="G93" s="78">
        <f t="shared" si="20"/>
        <v>-4.0579463967557183E-3</v>
      </c>
      <c r="H93" s="65"/>
      <c r="I93" s="65"/>
      <c r="J93" s="65"/>
      <c r="K93" s="65"/>
      <c r="L93" s="65"/>
      <c r="M93" s="494"/>
      <c r="N93" s="33"/>
      <c r="O93" s="42"/>
    </row>
    <row r="94" spans="1:22" s="17" customFormat="1">
      <c r="A94" s="56"/>
      <c r="C94" s="40"/>
      <c r="D94" s="32"/>
      <c r="E94" s="6" t="s">
        <v>22</v>
      </c>
      <c r="F94" s="77">
        <f>'Init. énergie'!L79</f>
        <v>-1.2173839190267155E-2</v>
      </c>
      <c r="G94" s="78">
        <f t="shared" si="20"/>
        <v>-4.0579463967557183E-3</v>
      </c>
      <c r="H94" s="65"/>
      <c r="I94" s="65"/>
      <c r="J94" s="65"/>
      <c r="K94" s="65"/>
      <c r="L94" s="65"/>
      <c r="M94" s="494"/>
      <c r="N94" s="33"/>
      <c r="O94" s="42"/>
    </row>
    <row r="95" spans="1:22" s="17" customFormat="1">
      <c r="A95" s="56"/>
      <c r="C95" s="40"/>
      <c r="D95" s="32"/>
      <c r="E95" s="6" t="s">
        <v>42</v>
      </c>
      <c r="F95" s="77">
        <f>'Init. énergie'!L79</f>
        <v>-1.2173839190267155E-2</v>
      </c>
      <c r="G95" s="78">
        <f t="shared" si="20"/>
        <v>-4.0579463967557183E-3</v>
      </c>
      <c r="H95" s="65"/>
      <c r="I95" s="65"/>
      <c r="J95" s="65"/>
      <c r="K95" s="65"/>
      <c r="L95" s="65"/>
      <c r="M95" s="494"/>
      <c r="N95" s="33"/>
      <c r="O95" s="42"/>
    </row>
    <row r="96" spans="1:22" s="17" customFormat="1">
      <c r="A96" s="56"/>
      <c r="C96" s="40"/>
      <c r="D96" s="32"/>
      <c r="E96" s="6" t="s">
        <v>25</v>
      </c>
      <c r="F96" s="77">
        <f>'Init. énergie'!L80</f>
        <v>-2.8705469427114938E-2</v>
      </c>
      <c r="G96" s="78">
        <f t="shared" si="20"/>
        <v>-9.5684898090383132E-3</v>
      </c>
      <c r="H96" s="65"/>
      <c r="I96" s="65"/>
      <c r="J96" s="65"/>
      <c r="K96" s="65"/>
      <c r="L96" s="65"/>
      <c r="M96" s="494"/>
      <c r="N96" s="33"/>
      <c r="O96" s="42"/>
    </row>
    <row r="97" spans="1:184" s="17" customFormat="1">
      <c r="A97" s="56"/>
      <c r="C97" s="40"/>
      <c r="D97" s="32"/>
      <c r="E97" s="6" t="s">
        <v>26</v>
      </c>
      <c r="F97" s="77">
        <f>F96</f>
        <v>-2.8705469427114938E-2</v>
      </c>
      <c r="G97" s="78">
        <f t="shared" si="20"/>
        <v>-9.5684898090383132E-3</v>
      </c>
      <c r="H97" s="65"/>
      <c r="I97" s="65"/>
      <c r="J97" s="65"/>
      <c r="K97" s="65"/>
      <c r="L97" s="65"/>
      <c r="M97" s="495"/>
      <c r="N97" s="33"/>
      <c r="O97" s="42"/>
    </row>
    <row r="98" spans="1:184" s="17" customFormat="1">
      <c r="A98" s="56"/>
      <c r="C98" s="40"/>
      <c r="D98" s="32"/>
      <c r="E98" s="65"/>
      <c r="F98" s="65"/>
      <c r="G98" s="65"/>
      <c r="M98" s="65"/>
      <c r="N98" s="33"/>
      <c r="O98" s="42"/>
    </row>
    <row r="99" spans="1:184" s="17" customFormat="1" ht="27.75" customHeight="1">
      <c r="A99" s="56"/>
      <c r="C99" s="40"/>
      <c r="D99" s="32"/>
      <c r="F99" s="489" t="s">
        <v>246</v>
      </c>
      <c r="G99" s="489"/>
      <c r="H99" s="489"/>
      <c r="I99" s="489"/>
      <c r="J99" s="489"/>
      <c r="K99" s="489"/>
      <c r="L99" s="58"/>
      <c r="M99" s="71"/>
      <c r="N99" s="33"/>
      <c r="O99" s="42"/>
    </row>
    <row r="100" spans="1:184" s="2" customFormat="1">
      <c r="A100" s="57"/>
      <c r="B100" s="18"/>
      <c r="C100" s="48"/>
      <c r="D100" s="49"/>
      <c r="E100" s="5" t="s">
        <v>20</v>
      </c>
      <c r="F100" s="4"/>
      <c r="G100" s="4">
        <v>2010</v>
      </c>
      <c r="H100" s="4">
        <v>2020</v>
      </c>
      <c r="I100" s="4">
        <v>2030</v>
      </c>
      <c r="J100" s="4">
        <v>2040</v>
      </c>
      <c r="K100" s="4">
        <v>2050</v>
      </c>
      <c r="L100" s="29"/>
      <c r="M100" s="80" t="s">
        <v>91</v>
      </c>
      <c r="N100" s="50"/>
      <c r="O100" s="51"/>
      <c r="P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</row>
    <row r="101" spans="1:184">
      <c r="C101" s="40"/>
      <c r="D101" s="32"/>
      <c r="E101" s="6" t="s">
        <v>15</v>
      </c>
      <c r="F101" s="54"/>
      <c r="G101" s="81">
        <f t="shared" ref="G101:H107" si="21">G81</f>
        <v>180.44218446699179</v>
      </c>
      <c r="H101" s="54">
        <f t="shared" si="21"/>
        <v>144.57255544511395</v>
      </c>
      <c r="I101" s="81">
        <f>$H101*(1+$G91)^(I$100-$H$100)</f>
        <v>134.35017088941282</v>
      </c>
      <c r="J101" s="81">
        <f>$H101*(1+$G91)^(J$100-$H$100)</f>
        <v>124.85058704566502</v>
      </c>
      <c r="K101" s="81">
        <f>$H101*(1+$G91)^(K$100-$H$100)</f>
        <v>116.02269637958108</v>
      </c>
      <c r="L101" s="67"/>
      <c r="M101" s="79">
        <f>(K101-G101)/H101</f>
        <v>-0.44558587132304761</v>
      </c>
      <c r="N101" s="33"/>
      <c r="O101" s="4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</row>
    <row r="102" spans="1:184">
      <c r="C102" s="40"/>
      <c r="D102" s="32"/>
      <c r="E102" s="6" t="s">
        <v>16</v>
      </c>
      <c r="F102" s="54"/>
      <c r="G102" s="81">
        <f t="shared" si="21"/>
        <v>181.54529344579473</v>
      </c>
      <c r="H102" s="54">
        <f t="shared" si="21"/>
        <v>150.1184403986914</v>
      </c>
      <c r="I102" s="81">
        <f t="shared" ref="I102:K107" si="22">$H102*(1+$G92)^(I$100-$H$100)</f>
        <v>140.95842499899163</v>
      </c>
      <c r="J102" s="81">
        <f t="shared" si="22"/>
        <v>132.35734081320464</v>
      </c>
      <c r="K102" s="81">
        <f t="shared" si="22"/>
        <v>124.28108264737018</v>
      </c>
      <c r="L102" s="67"/>
      <c r="M102" s="79">
        <f t="shared" ref="M102:M107" si="23">(K102-G102)/H102</f>
        <v>-0.38146020333237968</v>
      </c>
      <c r="N102" s="33"/>
      <c r="O102" s="4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</row>
    <row r="103" spans="1:184">
      <c r="C103" s="40"/>
      <c r="D103" s="32"/>
      <c r="E103" s="6" t="s">
        <v>68</v>
      </c>
      <c r="F103" s="54"/>
      <c r="G103" s="81">
        <f t="shared" si="21"/>
        <v>141.57918557083755</v>
      </c>
      <c r="H103" s="54">
        <f t="shared" si="21"/>
        <v>125.25776108181995</v>
      </c>
      <c r="I103" s="81">
        <f t="shared" si="22"/>
        <v>120.2666884611311</v>
      </c>
      <c r="J103" s="81">
        <f t="shared" si="22"/>
        <v>115.47449218702421</v>
      </c>
      <c r="K103" s="81">
        <f t="shared" si="22"/>
        <v>110.87324775023333</v>
      </c>
      <c r="L103" s="67"/>
      <c r="M103" s="79">
        <f t="shared" si="23"/>
        <v>-0.24514199803193604</v>
      </c>
      <c r="N103" s="33"/>
      <c r="O103" s="4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</row>
    <row r="104" spans="1:184">
      <c r="C104" s="40"/>
      <c r="D104" s="32"/>
      <c r="E104" s="6" t="s">
        <v>22</v>
      </c>
      <c r="F104" s="54"/>
      <c r="G104" s="81">
        <f t="shared" si="21"/>
        <v>139.51911623316892</v>
      </c>
      <c r="H104" s="54">
        <f t="shared" si="21"/>
        <v>123.43517909796911</v>
      </c>
      <c r="I104" s="81">
        <f t="shared" si="22"/>
        <v>118.51672983378921</v>
      </c>
      <c r="J104" s="81">
        <f t="shared" si="22"/>
        <v>113.79426313585255</v>
      </c>
      <c r="K104" s="81">
        <f t="shared" si="22"/>
        <v>109.25996980166288</v>
      </c>
      <c r="L104" s="67"/>
      <c r="M104" s="79">
        <f t="shared" si="23"/>
        <v>-0.24514199803193623</v>
      </c>
      <c r="N104" s="33"/>
      <c r="O104" s="4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</row>
    <row r="105" spans="1:184">
      <c r="C105" s="40"/>
      <c r="D105" s="32"/>
      <c r="E105" s="6" t="s">
        <v>42</v>
      </c>
      <c r="F105" s="54"/>
      <c r="G105" s="81">
        <f t="shared" si="21"/>
        <v>144.17238519039412</v>
      </c>
      <c r="H105" s="54">
        <f t="shared" si="21"/>
        <v>127.55201342600625</v>
      </c>
      <c r="I105" s="81">
        <f t="shared" si="22"/>
        <v>122.46952307629908</v>
      </c>
      <c r="J105" s="81">
        <f>$H105*(1+$G95)^(J$100-$H$100)</f>
        <v>117.58955174186289</v>
      </c>
      <c r="K105" s="81">
        <f>$H105*(1+$G95)^(K$100-$H$100)</f>
        <v>112.90402976614661</v>
      </c>
      <c r="L105" s="67"/>
      <c r="M105" s="79">
        <f t="shared" si="23"/>
        <v>-0.24514199803193615</v>
      </c>
      <c r="N105" s="33"/>
      <c r="O105" s="4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</row>
    <row r="106" spans="1:184">
      <c r="C106" s="40"/>
      <c r="D106" s="32"/>
      <c r="E106" s="6" t="s">
        <v>25</v>
      </c>
      <c r="F106" s="54"/>
      <c r="G106" s="81">
        <f t="shared" si="21"/>
        <v>81.62447538579643</v>
      </c>
      <c r="H106" s="54">
        <f t="shared" si="21"/>
        <v>61</v>
      </c>
      <c r="I106" s="81">
        <f t="shared" si="22"/>
        <v>55.408235880301092</v>
      </c>
      <c r="J106" s="81">
        <f t="shared" si="22"/>
        <v>50.329059071591566</v>
      </c>
      <c r="K106" s="81">
        <f t="shared" si="22"/>
        <v>45.715481584792663</v>
      </c>
      <c r="L106" s="67"/>
      <c r="M106" s="79">
        <f t="shared" si="23"/>
        <v>-0.58867202952465192</v>
      </c>
      <c r="N106" s="33"/>
      <c r="O106" s="4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</row>
    <row r="107" spans="1:184">
      <c r="C107" s="40"/>
      <c r="D107" s="32"/>
      <c r="E107" s="6" t="s">
        <v>26</v>
      </c>
      <c r="F107" s="54"/>
      <c r="G107" s="81">
        <f t="shared" si="21"/>
        <v>63.73888051007966</v>
      </c>
      <c r="H107" s="54">
        <f t="shared" si="21"/>
        <v>47.633650234662667</v>
      </c>
      <c r="I107" s="81">
        <f t="shared" si="22"/>
        <v>43.267156197408987</v>
      </c>
      <c r="J107" s="81">
        <f t="shared" si="22"/>
        <v>39.300931089440468</v>
      </c>
      <c r="K107" s="81">
        <f t="shared" si="22"/>
        <v>35.698282952773376</v>
      </c>
      <c r="L107" s="67"/>
      <c r="M107" s="79">
        <f t="shared" si="23"/>
        <v>-0.58867202952465192</v>
      </c>
      <c r="N107" s="33"/>
      <c r="O107" s="4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</row>
    <row r="108" spans="1:184" s="17" customFormat="1">
      <c r="A108" s="56"/>
      <c r="C108" s="40"/>
      <c r="D108" s="32"/>
      <c r="M108" s="65"/>
      <c r="N108" s="33"/>
      <c r="O108" s="42"/>
    </row>
    <row r="109" spans="1:184" ht="26.25" customHeight="1">
      <c r="C109" s="40"/>
      <c r="D109" s="32"/>
      <c r="E109" s="17"/>
      <c r="F109" s="489" t="s">
        <v>247</v>
      </c>
      <c r="G109" s="489"/>
      <c r="H109" s="489"/>
      <c r="I109" s="489"/>
      <c r="J109" s="489"/>
      <c r="K109" s="489"/>
      <c r="L109" s="62"/>
      <c r="M109" s="69"/>
      <c r="N109" s="33"/>
      <c r="O109" s="42"/>
    </row>
    <row r="110" spans="1:184">
      <c r="C110" s="40"/>
      <c r="D110" s="32"/>
      <c r="E110" s="5" t="s">
        <v>20</v>
      </c>
      <c r="F110" s="4"/>
      <c r="G110" s="4">
        <v>2010</v>
      </c>
      <c r="H110" s="4">
        <v>2020</v>
      </c>
      <c r="I110" s="4">
        <v>2030</v>
      </c>
      <c r="J110" s="4">
        <v>2040</v>
      </c>
      <c r="K110" s="4">
        <v>2050</v>
      </c>
      <c r="L110" s="29"/>
      <c r="M110" s="69"/>
      <c r="N110" s="33"/>
      <c r="O110" s="42"/>
    </row>
    <row r="111" spans="1:184">
      <c r="C111" s="40"/>
      <c r="D111" s="32"/>
      <c r="E111" s="6" t="s">
        <v>15</v>
      </c>
      <c r="F111" s="75"/>
      <c r="G111" s="125">
        <f t="shared" ref="G111:K117" si="24">G$36*G45*$H$73*G81/1000</f>
        <v>1404.9010697755448</v>
      </c>
      <c r="H111" s="54">
        <f t="shared" si="24"/>
        <v>1125.6244674990603</v>
      </c>
      <c r="I111" s="125">
        <f t="shared" si="24"/>
        <v>100.52456157034786</v>
      </c>
      <c r="J111" s="125">
        <f t="shared" si="24"/>
        <v>0</v>
      </c>
      <c r="K111" s="125">
        <f t="shared" si="24"/>
        <v>0</v>
      </c>
      <c r="L111" s="46"/>
      <c r="M111" s="79">
        <f>(K111-G111)/H111</f>
        <v>-1.2481081482681236</v>
      </c>
      <c r="N111" s="33"/>
      <c r="O111" s="42"/>
    </row>
    <row r="112" spans="1:184">
      <c r="C112" s="40"/>
      <c r="D112" s="32"/>
      <c r="E112" s="6" t="s">
        <v>16</v>
      </c>
      <c r="F112" s="75"/>
      <c r="G112" s="125">
        <f t="shared" si="24"/>
        <v>2956.7897688230432</v>
      </c>
      <c r="H112" s="54">
        <f t="shared" si="24"/>
        <v>2444.9472649923123</v>
      </c>
      <c r="I112" s="125">
        <f t="shared" si="24"/>
        <v>1783.0824199347726</v>
      </c>
      <c r="J112" s="125">
        <f t="shared" si="24"/>
        <v>799.50329513070767</v>
      </c>
      <c r="K112" s="125">
        <f t="shared" si="24"/>
        <v>93.573384894573906</v>
      </c>
      <c r="L112" s="46"/>
      <c r="M112" s="79">
        <f t="shared" ref="M112:M118" si="25">(K112-G112)/H112</f>
        <v>-1.1710749041196487</v>
      </c>
      <c r="N112" s="33"/>
      <c r="O112" s="42"/>
    </row>
    <row r="113" spans="3:15">
      <c r="C113" s="40"/>
      <c r="D113" s="32"/>
      <c r="E113" s="6" t="s">
        <v>68</v>
      </c>
      <c r="F113" s="75"/>
      <c r="G113" s="125">
        <f t="shared" si="24"/>
        <v>348.69257121665379</v>
      </c>
      <c r="H113" s="54">
        <f t="shared" si="24"/>
        <v>308.49485819798053</v>
      </c>
      <c r="I113" s="125">
        <f t="shared" si="24"/>
        <v>788.73937372437729</v>
      </c>
      <c r="J113" s="125">
        <f t="shared" si="24"/>
        <v>950.45341193295224</v>
      </c>
      <c r="K113" s="125">
        <f t="shared" si="24"/>
        <v>961.11788365893381</v>
      </c>
      <c r="L113" s="46"/>
      <c r="M113" s="79">
        <f t="shared" si="25"/>
        <v>1.9852042786698516</v>
      </c>
      <c r="N113" s="33"/>
      <c r="O113" s="42"/>
    </row>
    <row r="114" spans="3:15">
      <c r="C114" s="40"/>
      <c r="D114" s="32"/>
      <c r="E114" s="6" t="s">
        <v>22</v>
      </c>
      <c r="F114" s="75"/>
      <c r="G114" s="125">
        <f t="shared" si="24"/>
        <v>94.218076506337127</v>
      </c>
      <c r="H114" s="54">
        <f t="shared" si="24"/>
        <v>83.356499537953894</v>
      </c>
      <c r="I114" s="125">
        <f t="shared" si="24"/>
        <v>44.044886461307563</v>
      </c>
      <c r="J114" s="125">
        <f t="shared" si="24"/>
        <v>74.929895673025982</v>
      </c>
      <c r="K114" s="125">
        <f t="shared" si="24"/>
        <v>0</v>
      </c>
      <c r="L114" s="46"/>
      <c r="M114" s="79">
        <f t="shared" si="25"/>
        <v>-1.1303027001924155</v>
      </c>
      <c r="N114" s="33"/>
      <c r="O114" s="42"/>
    </row>
    <row r="115" spans="3:15">
      <c r="C115" s="40"/>
      <c r="D115" s="32"/>
      <c r="E115" s="6" t="s">
        <v>42</v>
      </c>
      <c r="F115" s="75"/>
      <c r="G115" s="125">
        <f t="shared" si="24"/>
        <v>80.17919929959956</v>
      </c>
      <c r="H115" s="54">
        <f t="shared" si="24"/>
        <v>70.936041545287253</v>
      </c>
      <c r="I115" s="125">
        <f t="shared" si="24"/>
        <v>77.641324982506859</v>
      </c>
      <c r="J115" s="125">
        <f t="shared" si="24"/>
        <v>95.495732460097713</v>
      </c>
      <c r="K115" s="125">
        <f t="shared" si="24"/>
        <v>108.74688423973636</v>
      </c>
      <c r="L115" s="46"/>
      <c r="M115" s="79">
        <f t="shared" si="25"/>
        <v>0.40272454337473163</v>
      </c>
      <c r="N115" s="33"/>
      <c r="O115" s="42"/>
    </row>
    <row r="116" spans="3:15">
      <c r="C116" s="40"/>
      <c r="D116" s="32"/>
      <c r="E116" s="6" t="s">
        <v>25</v>
      </c>
      <c r="F116" s="75"/>
      <c r="G116" s="125">
        <f t="shared" si="24"/>
        <v>765.21592871790176</v>
      </c>
      <c r="H116" s="54">
        <f t="shared" si="24"/>
        <v>571.86489017134363</v>
      </c>
      <c r="I116" s="125">
        <f t="shared" si="24"/>
        <v>447.30367810514457</v>
      </c>
      <c r="J116" s="125">
        <f t="shared" si="24"/>
        <v>219.18549909683185</v>
      </c>
      <c r="K116" s="125">
        <f t="shared" si="24"/>
        <v>183.67790731784211</v>
      </c>
      <c r="L116" s="46"/>
      <c r="M116" s="79">
        <f t="shared" si="25"/>
        <v>-1.0169150640211846</v>
      </c>
      <c r="N116" s="33"/>
      <c r="O116" s="42"/>
    </row>
    <row r="117" spans="3:15">
      <c r="C117" s="40"/>
      <c r="D117" s="32"/>
      <c r="E117" s="6" t="s">
        <v>26</v>
      </c>
      <c r="F117" s="75"/>
      <c r="G117" s="125">
        <f t="shared" si="24"/>
        <v>167.10904706638735</v>
      </c>
      <c r="H117" s="54">
        <f t="shared" si="24"/>
        <v>124.88474594010606</v>
      </c>
      <c r="I117" s="125">
        <f t="shared" si="24"/>
        <v>355.09008257615267</v>
      </c>
      <c r="J117" s="125">
        <f t="shared" si="24"/>
        <v>753.0928485598231</v>
      </c>
      <c r="K117" s="125">
        <f t="shared" si="24"/>
        <v>945.5182752775155</v>
      </c>
      <c r="L117" s="46"/>
      <c r="M117" s="79">
        <f t="shared" si="25"/>
        <v>6.2330208733775088</v>
      </c>
      <c r="N117" s="33"/>
      <c r="O117" s="42"/>
    </row>
    <row r="118" spans="3:15">
      <c r="C118" s="40"/>
      <c r="D118" s="32"/>
      <c r="E118" s="7" t="s">
        <v>17</v>
      </c>
      <c r="F118" s="14"/>
      <c r="G118" s="144">
        <f>SUM(G111:G117)</f>
        <v>5817.1056614054678</v>
      </c>
      <c r="H118" s="146">
        <f>SUM(H111:H117)</f>
        <v>4730.1087678840431</v>
      </c>
      <c r="I118" s="144">
        <f t="shared" ref="I118:J118" si="26">SUM(I111:I117)</f>
        <v>3596.4263273546098</v>
      </c>
      <c r="J118" s="144">
        <f t="shared" si="26"/>
        <v>2892.6606828534386</v>
      </c>
      <c r="K118" s="144">
        <f>SUM(K111:K117)</f>
        <v>2292.6343353886014</v>
      </c>
      <c r="L118" s="21"/>
      <c r="M118" s="79">
        <f t="shared" si="25"/>
        <v>-0.74511422442268616</v>
      </c>
      <c r="N118" s="33"/>
      <c r="O118" s="42"/>
    </row>
    <row r="119" spans="3:15">
      <c r="C119" s="40"/>
      <c r="D119" s="32"/>
      <c r="E119" s="139"/>
      <c r="F119" s="140"/>
      <c r="G119" s="140"/>
      <c r="H119" s="140"/>
      <c r="I119" s="140"/>
      <c r="J119" s="140"/>
      <c r="K119" s="140"/>
      <c r="L119" s="21"/>
      <c r="M119" s="65"/>
      <c r="N119" s="33"/>
      <c r="O119" s="42"/>
    </row>
    <row r="120" spans="3:15" ht="26.25" customHeight="1">
      <c r="C120" s="40"/>
      <c r="D120" s="32"/>
      <c r="E120" s="17"/>
      <c r="F120" s="489" t="s">
        <v>248</v>
      </c>
      <c r="G120" s="489"/>
      <c r="H120" s="489"/>
      <c r="I120" s="489"/>
      <c r="J120" s="489"/>
      <c r="K120" s="489"/>
      <c r="L120" s="62"/>
      <c r="M120" s="69"/>
      <c r="N120" s="33"/>
      <c r="O120" s="42"/>
    </row>
    <row r="121" spans="3:15">
      <c r="C121" s="40"/>
      <c r="D121" s="32"/>
      <c r="E121" s="5" t="s">
        <v>20</v>
      </c>
      <c r="F121" s="4"/>
      <c r="G121" s="4">
        <v>2010</v>
      </c>
      <c r="H121" s="4">
        <v>2020</v>
      </c>
      <c r="I121" s="4">
        <v>2030</v>
      </c>
      <c r="J121" s="4">
        <v>2040</v>
      </c>
      <c r="K121" s="4">
        <v>2050</v>
      </c>
      <c r="L121" s="29"/>
      <c r="M121" s="69"/>
      <c r="N121" s="33"/>
      <c r="O121" s="42"/>
    </row>
    <row r="122" spans="3:15">
      <c r="C122" s="40"/>
      <c r="D122" s="32"/>
      <c r="E122" s="6" t="s">
        <v>15</v>
      </c>
      <c r="F122" s="75"/>
      <c r="G122" s="143">
        <f t="shared" ref="G122:H128" si="27">G$36*G45*(1-$H$73)*G101/1000</f>
        <v>73.942161567133994</v>
      </c>
      <c r="H122" s="147">
        <f t="shared" si="27"/>
        <v>59.243393026266382</v>
      </c>
      <c r="I122" s="143">
        <f t="shared" ref="I122:I128" si="28">I$36*I59*(1-$H$73)*I101/1000</f>
        <v>5.4717364422464447</v>
      </c>
      <c r="J122" s="143">
        <f t="shared" ref="J122:K122" si="29">J$36*J59*(1-$H$73)*J101/1000</f>
        <v>0</v>
      </c>
      <c r="K122" s="143">
        <f t="shared" si="29"/>
        <v>0</v>
      </c>
      <c r="L122" s="46"/>
      <c r="M122" s="79">
        <f>(K122-G122)/H122</f>
        <v>-1.2481081482681236</v>
      </c>
      <c r="N122" s="33"/>
      <c r="O122" s="42"/>
    </row>
    <row r="123" spans="3:15">
      <c r="C123" s="40"/>
      <c r="D123" s="32"/>
      <c r="E123" s="6" t="s">
        <v>16</v>
      </c>
      <c r="F123" s="75"/>
      <c r="G123" s="143">
        <f t="shared" si="27"/>
        <v>155.62051414858138</v>
      </c>
      <c r="H123" s="147">
        <f t="shared" si="27"/>
        <v>128.6814349995955</v>
      </c>
      <c r="I123" s="143">
        <f t="shared" si="28"/>
        <v>101.21160179031043</v>
      </c>
      <c r="J123" s="143">
        <f t="shared" ref="J123:K123" si="30">J$36*J60*(1-$H$73)*J102/1000</f>
        <v>45.685489759750546</v>
      </c>
      <c r="K123" s="143">
        <f t="shared" si="30"/>
        <v>5.3124224742119903</v>
      </c>
      <c r="L123" s="46"/>
      <c r="M123" s="79">
        <f t="shared" ref="M123:M129" si="31">(K123-G123)/H123</f>
        <v>-1.1680635336001801</v>
      </c>
      <c r="N123" s="33"/>
      <c r="O123" s="42"/>
    </row>
    <row r="124" spans="3:15">
      <c r="C124" s="40"/>
      <c r="D124" s="32"/>
      <c r="E124" s="6" t="s">
        <v>68</v>
      </c>
      <c r="F124" s="75"/>
      <c r="G124" s="143">
        <f t="shared" si="27"/>
        <v>18.352240590350217</v>
      </c>
      <c r="H124" s="147">
        <f t="shared" si="27"/>
        <v>16.236571484104257</v>
      </c>
      <c r="I124" s="143">
        <f t="shared" si="28"/>
        <v>46.532448511256938</v>
      </c>
      <c r="J124" s="143">
        <f t="shared" ref="J124:K124" si="32">J$36*J61*(1-$H$73)*J103/1000</f>
        <v>60.7592596732175</v>
      </c>
      <c r="K124" s="143">
        <f t="shared" si="32"/>
        <v>55.484506470343682</v>
      </c>
      <c r="L124" s="46"/>
      <c r="M124" s="79">
        <f t="shared" si="31"/>
        <v>2.28695238501221</v>
      </c>
      <c r="N124" s="33"/>
      <c r="O124" s="42"/>
    </row>
    <row r="125" spans="3:15">
      <c r="C125" s="40"/>
      <c r="D125" s="32"/>
      <c r="E125" s="6" t="s">
        <v>22</v>
      </c>
      <c r="F125" s="75"/>
      <c r="G125" s="143">
        <f t="shared" si="27"/>
        <v>4.9588461319124848</v>
      </c>
      <c r="H125" s="147">
        <f t="shared" si="27"/>
        <v>4.3871841862081027</v>
      </c>
      <c r="I125" s="143">
        <f t="shared" si="28"/>
        <v>2.7352326612919122</v>
      </c>
      <c r="J125" s="143">
        <f t="shared" ref="J125:K125" si="33">J$36*J62*(1-$H$73)*J104/1000</f>
        <v>4.7900138305838826</v>
      </c>
      <c r="K125" s="143">
        <f t="shared" si="33"/>
        <v>0</v>
      </c>
      <c r="L125" s="46"/>
      <c r="M125" s="79">
        <f t="shared" si="31"/>
        <v>-1.1303027001924157</v>
      </c>
      <c r="N125" s="33"/>
      <c r="O125" s="42"/>
    </row>
    <row r="126" spans="3:15">
      <c r="C126" s="40"/>
      <c r="D126" s="32"/>
      <c r="E126" s="6" t="s">
        <v>42</v>
      </c>
      <c r="F126" s="75"/>
      <c r="G126" s="143">
        <f t="shared" si="27"/>
        <v>4.2199578578736645</v>
      </c>
      <c r="H126" s="147">
        <f t="shared" si="27"/>
        <v>3.7334758708045954</v>
      </c>
      <c r="I126" s="143">
        <f t="shared" si="28"/>
        <v>4.8216059801787017</v>
      </c>
      <c r="J126" s="143">
        <f t="shared" ref="J126:K126" si="34">J$36*J63*(1-$H$73)*J105/1000</f>
        <v>6.1047179518531625</v>
      </c>
      <c r="K126" s="143">
        <f t="shared" si="34"/>
        <v>7.0625968134798027</v>
      </c>
      <c r="L126" s="46"/>
      <c r="M126" s="79">
        <f t="shared" si="31"/>
        <v>0.76139207911728801</v>
      </c>
      <c r="N126" s="33"/>
      <c r="O126" s="42"/>
    </row>
    <row r="127" spans="3:15">
      <c r="C127" s="40"/>
      <c r="D127" s="32"/>
      <c r="E127" s="6" t="s">
        <v>25</v>
      </c>
      <c r="F127" s="75"/>
      <c r="G127" s="143">
        <f t="shared" si="27"/>
        <v>40.274522564100131</v>
      </c>
      <c r="H127" s="147">
        <f t="shared" si="27"/>
        <v>30.098152114281266</v>
      </c>
      <c r="I127" s="143">
        <f t="shared" si="28"/>
        <v>22.197763763348757</v>
      </c>
      <c r="J127" s="143">
        <f t="shared" ref="J127:K127" si="35">J$36*J64*(1-$H$73)*J106/1000</f>
        <v>10.592664445016387</v>
      </c>
      <c r="K127" s="143">
        <f t="shared" si="35"/>
        <v>8.5313950156428628</v>
      </c>
      <c r="L127" s="46"/>
      <c r="M127" s="79">
        <f t="shared" si="31"/>
        <v>-1.0546537019259556</v>
      </c>
      <c r="N127" s="33"/>
      <c r="O127" s="42"/>
    </row>
    <row r="128" spans="3:15">
      <c r="C128" s="40"/>
      <c r="D128" s="32"/>
      <c r="E128" s="6" t="s">
        <v>26</v>
      </c>
      <c r="F128" s="75"/>
      <c r="G128" s="143">
        <f t="shared" si="27"/>
        <v>8.7952130034940783</v>
      </c>
      <c r="H128" s="147">
        <f t="shared" si="27"/>
        <v>6.5728813652687457</v>
      </c>
      <c r="I128" s="143">
        <f t="shared" si="28"/>
        <v>18.502678294933791</v>
      </c>
      <c r="J128" s="143">
        <f t="shared" ref="J128:K128" si="36">J$36*J65*(1-$H$73)*J107/1000</f>
        <v>36.395016429492685</v>
      </c>
      <c r="K128" s="143">
        <f t="shared" si="36"/>
        <v>43.172682844500109</v>
      </c>
      <c r="L128" s="46"/>
      <c r="M128" s="79">
        <f t="shared" si="31"/>
        <v>5.2301978281028108</v>
      </c>
      <c r="N128" s="33"/>
      <c r="O128" s="42"/>
    </row>
    <row r="129" spans="1:15">
      <c r="C129" s="40"/>
      <c r="D129" s="32"/>
      <c r="E129" s="7" t="s">
        <v>17</v>
      </c>
      <c r="F129" s="14"/>
      <c r="G129" s="145">
        <f>SUM(G122:G128)</f>
        <v>306.16345586344602</v>
      </c>
      <c r="H129" s="148">
        <f>SUM(H122:H128)</f>
        <v>248.95309304652883</v>
      </c>
      <c r="I129" s="145">
        <f t="shared" ref="I129:K129" si="37">SUM(I122:I128)</f>
        <v>201.47306744356695</v>
      </c>
      <c r="J129" s="145">
        <f t="shared" si="37"/>
        <v>164.32716208991417</v>
      </c>
      <c r="K129" s="145">
        <f t="shared" si="37"/>
        <v>119.56360361817843</v>
      </c>
      <c r="L129" s="21"/>
      <c r="M129" s="79">
        <f t="shared" si="31"/>
        <v>-0.74953819597811722</v>
      </c>
      <c r="N129" s="33"/>
      <c r="O129" s="42"/>
    </row>
    <row r="130" spans="1:15">
      <c r="C130" s="40"/>
      <c r="D130" s="32"/>
      <c r="E130" s="139"/>
      <c r="F130" s="65"/>
      <c r="G130" s="65"/>
      <c r="H130" s="141"/>
      <c r="I130" s="141"/>
      <c r="J130" s="141"/>
      <c r="K130" s="141"/>
      <c r="L130" s="21"/>
      <c r="M130" s="65"/>
      <c r="N130" s="33"/>
      <c r="O130" s="42"/>
    </row>
    <row r="131" spans="1:15" ht="26.25" customHeight="1">
      <c r="C131" s="40"/>
      <c r="D131" s="32"/>
      <c r="E131" s="17"/>
      <c r="F131" s="489" t="s">
        <v>249</v>
      </c>
      <c r="G131" s="489"/>
      <c r="H131" s="489"/>
      <c r="I131" s="489"/>
      <c r="J131" s="489"/>
      <c r="K131" s="489"/>
      <c r="L131" s="62"/>
      <c r="M131" s="69"/>
      <c r="N131" s="33"/>
      <c r="O131" s="42"/>
    </row>
    <row r="132" spans="1:15">
      <c r="C132" s="40"/>
      <c r="D132" s="32"/>
      <c r="E132" s="5" t="s">
        <v>20</v>
      </c>
      <c r="F132" s="4"/>
      <c r="G132" s="4">
        <v>2010</v>
      </c>
      <c r="H132" s="4">
        <v>2020</v>
      </c>
      <c r="I132" s="4">
        <v>2030</v>
      </c>
      <c r="J132" s="4">
        <v>2040</v>
      </c>
      <c r="K132" s="4">
        <v>2050</v>
      </c>
      <c r="L132" s="29"/>
      <c r="M132" s="69"/>
      <c r="N132" s="33"/>
      <c r="O132" s="42"/>
    </row>
    <row r="133" spans="1:15">
      <c r="C133" s="40"/>
      <c r="D133" s="32"/>
      <c r="E133" s="6" t="s">
        <v>15</v>
      </c>
      <c r="F133" s="75"/>
      <c r="G133" s="75"/>
      <c r="H133" s="143">
        <f>H111+H122</f>
        <v>1184.8678605253267</v>
      </c>
      <c r="I133" s="143">
        <f t="shared" ref="I133:K133" si="38">I111+I122</f>
        <v>105.99629801259429</v>
      </c>
      <c r="J133" s="143">
        <f t="shared" si="38"/>
        <v>0</v>
      </c>
      <c r="K133" s="143">
        <f t="shared" si="38"/>
        <v>0</v>
      </c>
      <c r="L133" s="46"/>
      <c r="M133" s="79">
        <f>(K133-G133)/H133</f>
        <v>0</v>
      </c>
      <c r="N133" s="33"/>
      <c r="O133" s="42"/>
    </row>
    <row r="134" spans="1:15">
      <c r="C134" s="40"/>
      <c r="D134" s="32"/>
      <c r="E134" s="6" t="s">
        <v>16</v>
      </c>
      <c r="F134" s="75"/>
      <c r="G134" s="75"/>
      <c r="H134" s="143">
        <f t="shared" ref="H134:K139" si="39">H112+H123</f>
        <v>2573.628699991908</v>
      </c>
      <c r="I134" s="143">
        <f t="shared" si="39"/>
        <v>1884.294021725083</v>
      </c>
      <c r="J134" s="143">
        <f t="shared" si="39"/>
        <v>845.18878489045824</v>
      </c>
      <c r="K134" s="143">
        <f t="shared" si="39"/>
        <v>98.885807368785891</v>
      </c>
      <c r="L134" s="46"/>
      <c r="M134" s="79">
        <f t="shared" ref="M134:M140" si="40">(K134-G134)/H134</f>
        <v>3.8422717064468863E-2</v>
      </c>
      <c r="N134" s="33"/>
      <c r="O134" s="42"/>
    </row>
    <row r="135" spans="1:15">
      <c r="C135" s="40"/>
      <c r="D135" s="32"/>
      <c r="E135" s="6" t="s">
        <v>68</v>
      </c>
      <c r="F135" s="75"/>
      <c r="G135" s="75"/>
      <c r="H135" s="143">
        <f t="shared" si="39"/>
        <v>324.73142968208481</v>
      </c>
      <c r="I135" s="143">
        <f t="shared" si="39"/>
        <v>835.2718222356342</v>
      </c>
      <c r="J135" s="143">
        <f t="shared" si="39"/>
        <v>1011.2126716061697</v>
      </c>
      <c r="K135" s="143">
        <f t="shared" si="39"/>
        <v>1016.6023901292775</v>
      </c>
      <c r="L135" s="46"/>
      <c r="M135" s="79">
        <f t="shared" si="40"/>
        <v>3.1305943841793851</v>
      </c>
      <c r="N135" s="33"/>
      <c r="O135" s="42"/>
    </row>
    <row r="136" spans="1:15">
      <c r="C136" s="40"/>
      <c r="D136" s="32"/>
      <c r="E136" s="6" t="s">
        <v>22</v>
      </c>
      <c r="F136" s="75"/>
      <c r="G136" s="75"/>
      <c r="H136" s="143">
        <f t="shared" si="39"/>
        <v>87.743683724161997</v>
      </c>
      <c r="I136" s="143">
        <f t="shared" si="39"/>
        <v>46.780119122599473</v>
      </c>
      <c r="J136" s="143">
        <f t="shared" si="39"/>
        <v>79.71990950360987</v>
      </c>
      <c r="K136" s="143">
        <f t="shared" si="39"/>
        <v>0</v>
      </c>
      <c r="L136" s="46"/>
      <c r="M136" s="79">
        <f t="shared" si="40"/>
        <v>0</v>
      </c>
      <c r="N136" s="33"/>
      <c r="O136" s="42"/>
    </row>
    <row r="137" spans="1:15">
      <c r="C137" s="40"/>
      <c r="D137" s="32"/>
      <c r="E137" s="6" t="s">
        <v>42</v>
      </c>
      <c r="F137" s="75"/>
      <c r="G137" s="75"/>
      <c r="H137" s="143">
        <f t="shared" si="39"/>
        <v>74.66951741609185</v>
      </c>
      <c r="I137" s="143">
        <f t="shared" si="39"/>
        <v>82.462930962685562</v>
      </c>
      <c r="J137" s="143">
        <f t="shared" si="39"/>
        <v>101.60045041195087</v>
      </c>
      <c r="K137" s="143">
        <f t="shared" si="39"/>
        <v>115.80948105321616</v>
      </c>
      <c r="L137" s="46"/>
      <c r="M137" s="79">
        <f t="shared" si="40"/>
        <v>1.550960620354275</v>
      </c>
      <c r="N137" s="33"/>
      <c r="O137" s="42"/>
    </row>
    <row r="138" spans="1:15">
      <c r="C138" s="40"/>
      <c r="D138" s="32"/>
      <c r="E138" s="6" t="s">
        <v>25</v>
      </c>
      <c r="F138" s="75"/>
      <c r="G138" s="75"/>
      <c r="H138" s="143">
        <f t="shared" si="39"/>
        <v>601.96304228562485</v>
      </c>
      <c r="I138" s="143">
        <f t="shared" si="39"/>
        <v>469.50144186849332</v>
      </c>
      <c r="J138" s="143">
        <f t="shared" si="39"/>
        <v>229.77816354184824</v>
      </c>
      <c r="K138" s="143">
        <f t="shared" si="39"/>
        <v>192.20930233348497</v>
      </c>
      <c r="L138" s="46"/>
      <c r="M138" s="79">
        <f t="shared" si="40"/>
        <v>0.31930415794909178</v>
      </c>
      <c r="N138" s="33"/>
      <c r="O138" s="42"/>
    </row>
    <row r="139" spans="1:15">
      <c r="C139" s="40"/>
      <c r="D139" s="32"/>
      <c r="E139" s="6" t="s">
        <v>26</v>
      </c>
      <c r="F139" s="75"/>
      <c r="G139" s="75"/>
      <c r="H139" s="143">
        <f t="shared" si="39"/>
        <v>131.45762730537481</v>
      </c>
      <c r="I139" s="143">
        <f t="shared" si="39"/>
        <v>373.59276087108645</v>
      </c>
      <c r="J139" s="143">
        <f t="shared" si="39"/>
        <v>789.48786498931577</v>
      </c>
      <c r="K139" s="143">
        <f t="shared" si="39"/>
        <v>988.69095812201556</v>
      </c>
      <c r="L139" s="46"/>
      <c r="M139" s="79">
        <f t="shared" si="40"/>
        <v>7.5209858749792886</v>
      </c>
      <c r="N139" s="33"/>
      <c r="O139" s="42"/>
    </row>
    <row r="140" spans="1:15">
      <c r="C140" s="40"/>
      <c r="D140" s="32"/>
      <c r="E140" s="7" t="s">
        <v>17</v>
      </c>
      <c r="F140" s="14"/>
      <c r="G140" s="14"/>
      <c r="H140" s="145">
        <f>SUM(H133:H139)</f>
        <v>4979.0618609305739</v>
      </c>
      <c r="I140" s="145">
        <f t="shared" ref="I140:K140" si="41">SUM(I133:I139)</f>
        <v>3797.8993947981762</v>
      </c>
      <c r="J140" s="145">
        <f t="shared" si="41"/>
        <v>3056.9878449433527</v>
      </c>
      <c r="K140" s="145">
        <f t="shared" si="41"/>
        <v>2412.1979390067804</v>
      </c>
      <c r="L140" s="21"/>
      <c r="M140" s="79">
        <f t="shared" si="40"/>
        <v>0.48446836098476326</v>
      </c>
      <c r="N140" s="33"/>
      <c r="O140" s="42"/>
    </row>
    <row r="141" spans="1:15" s="17" customFormat="1">
      <c r="A141" s="56"/>
      <c r="C141" s="40"/>
      <c r="D141" s="32"/>
      <c r="M141" s="65"/>
      <c r="N141" s="33"/>
      <c r="O141" s="42"/>
    </row>
    <row r="142" spans="1:15" s="17" customFormat="1">
      <c r="A142" s="56"/>
      <c r="C142" s="40"/>
      <c r="D142" s="32"/>
      <c r="E142" s="508" t="s">
        <v>71</v>
      </c>
      <c r="F142" s="508"/>
      <c r="G142" s="508"/>
      <c r="H142" s="508"/>
      <c r="I142" s="508"/>
      <c r="J142" s="508"/>
      <c r="K142" s="508"/>
      <c r="L142" s="508"/>
      <c r="M142" s="508"/>
      <c r="N142" s="33"/>
      <c r="O142" s="42"/>
    </row>
    <row r="143" spans="1:15" s="17" customFormat="1">
      <c r="A143" s="56"/>
      <c r="C143" s="40"/>
      <c r="D143" s="32"/>
      <c r="M143" s="65"/>
      <c r="N143" s="33"/>
      <c r="O143" s="42"/>
    </row>
    <row r="144" spans="1:15" s="17" customFormat="1" ht="24" customHeight="1">
      <c r="A144" s="56"/>
      <c r="C144" s="40"/>
      <c r="D144" s="32"/>
      <c r="E144" s="1"/>
      <c r="F144" s="496" t="s">
        <v>250</v>
      </c>
      <c r="G144" s="496"/>
      <c r="H144" s="496"/>
      <c r="I144" s="496"/>
      <c r="J144" s="496"/>
      <c r="K144" s="496"/>
      <c r="M144" s="65"/>
      <c r="N144" s="33"/>
      <c r="O144" s="42"/>
    </row>
    <row r="145" spans="1:15" s="17" customFormat="1">
      <c r="A145" s="56"/>
      <c r="C145" s="40"/>
      <c r="D145" s="32"/>
      <c r="E145" s="5" t="s">
        <v>20</v>
      </c>
      <c r="F145" s="4"/>
      <c r="G145" s="4">
        <v>2010</v>
      </c>
      <c r="H145" s="4">
        <v>2020</v>
      </c>
      <c r="I145" s="4">
        <v>2030</v>
      </c>
      <c r="J145" s="4">
        <v>2040</v>
      </c>
      <c r="K145" s="4">
        <v>2050</v>
      </c>
      <c r="M145" s="61" t="s">
        <v>32</v>
      </c>
      <c r="N145" s="33"/>
      <c r="O145" s="42"/>
    </row>
    <row r="146" spans="1:15" s="17" customFormat="1" ht="11.25" customHeight="1">
      <c r="A146" s="56"/>
      <c r="C146" s="40"/>
      <c r="D146" s="32"/>
      <c r="E146" s="6" t="s">
        <v>15</v>
      </c>
      <c r="F146" s="55"/>
      <c r="G146" s="55"/>
      <c r="H146" s="55">
        <f>'Init. énergie'!C66</f>
        <v>8.566654622007622E-4</v>
      </c>
      <c r="I146" s="47">
        <v>0</v>
      </c>
      <c r="J146" s="47">
        <v>0</v>
      </c>
      <c r="K146" s="47">
        <v>0</v>
      </c>
      <c r="M146" s="493" t="s">
        <v>41</v>
      </c>
      <c r="N146" s="33"/>
      <c r="O146" s="42"/>
    </row>
    <row r="147" spans="1:15" s="17" customFormat="1">
      <c r="A147" s="56"/>
      <c r="C147" s="40"/>
      <c r="D147" s="32"/>
      <c r="E147" s="6" t="s">
        <v>16</v>
      </c>
      <c r="F147" s="55"/>
      <c r="G147" s="55"/>
      <c r="H147" s="55">
        <f>'Init. énergie'!C67</f>
        <v>0.12133733261175747</v>
      </c>
      <c r="I147" s="47">
        <v>0.11</v>
      </c>
      <c r="J147" s="47">
        <v>0.1</v>
      </c>
      <c r="K147" s="47">
        <v>0.09</v>
      </c>
      <c r="M147" s="494"/>
      <c r="N147" s="33"/>
      <c r="O147" s="42"/>
    </row>
    <row r="148" spans="1:15" s="17" customFormat="1">
      <c r="A148" s="56"/>
      <c r="C148" s="40"/>
      <c r="D148" s="32"/>
      <c r="E148" s="6" t="s">
        <v>68</v>
      </c>
      <c r="F148" s="55"/>
      <c r="G148" s="55"/>
      <c r="H148" s="55">
        <f>'Init. énergie'!C68</f>
        <v>0.13508370055286556</v>
      </c>
      <c r="I148" s="47">
        <v>0.18</v>
      </c>
      <c r="J148" s="47">
        <f>H148+((K148-H148)/3*2)</f>
        <v>0.16502790018428851</v>
      </c>
      <c r="K148" s="47">
        <v>0.18</v>
      </c>
      <c r="M148" s="494"/>
      <c r="N148" s="33"/>
      <c r="O148" s="42"/>
    </row>
    <row r="149" spans="1:15" s="17" customFormat="1">
      <c r="A149" s="56"/>
      <c r="C149" s="40"/>
      <c r="D149" s="32"/>
      <c r="E149" s="6" t="s">
        <v>22</v>
      </c>
      <c r="F149" s="55"/>
      <c r="G149" s="55"/>
      <c r="H149" s="55">
        <f>'Init. énergie'!C69</f>
        <v>2.0851083900283521E-2</v>
      </c>
      <c r="I149" s="47">
        <f t="shared" ref="I149" si="42">H149</f>
        <v>2.0851083900283521E-2</v>
      </c>
      <c r="J149" s="47">
        <v>0.01</v>
      </c>
      <c r="K149" s="47">
        <v>0</v>
      </c>
      <c r="M149" s="494"/>
      <c r="N149" s="33"/>
      <c r="O149" s="42"/>
    </row>
    <row r="150" spans="1:15" s="17" customFormat="1">
      <c r="A150" s="56"/>
      <c r="C150" s="40"/>
      <c r="D150" s="32"/>
      <c r="E150" s="6" t="s">
        <v>42</v>
      </c>
      <c r="F150" s="55"/>
      <c r="G150" s="55"/>
      <c r="H150" s="55">
        <f>'Init. énergie'!C70</f>
        <v>2.1412462228474215E-2</v>
      </c>
      <c r="I150" s="47">
        <v>0.02</v>
      </c>
      <c r="J150" s="47">
        <v>0.02</v>
      </c>
      <c r="K150" s="47">
        <v>0.02</v>
      </c>
      <c r="M150" s="494"/>
      <c r="N150" s="33"/>
      <c r="O150" s="42"/>
    </row>
    <row r="151" spans="1:15" s="17" customFormat="1">
      <c r="A151" s="56"/>
      <c r="C151" s="40"/>
      <c r="D151" s="32"/>
      <c r="E151" s="6" t="s">
        <v>25</v>
      </c>
      <c r="F151" s="55"/>
      <c r="G151" s="85"/>
      <c r="H151" s="55">
        <f>'Init. énergie'!C71</f>
        <v>0.23233774569965782</v>
      </c>
      <c r="I151" s="47">
        <f>1-I146-I147-I148-I149-I150-I152</f>
        <v>0.11914891609971634</v>
      </c>
      <c r="J151" s="47">
        <f t="shared" ref="J151:K151" si="43">1-J146-J147-J148-J149-J150-J152</f>
        <v>0.10497209981571154</v>
      </c>
      <c r="K151" s="47">
        <f t="shared" si="43"/>
        <v>0.10999999999999999</v>
      </c>
      <c r="M151" s="494"/>
      <c r="N151" s="33"/>
      <c r="O151" s="42"/>
    </row>
    <row r="152" spans="1:15" s="17" customFormat="1">
      <c r="A152" s="56"/>
      <c r="C152" s="40"/>
      <c r="D152" s="32"/>
      <c r="E152" s="6" t="s">
        <v>26</v>
      </c>
      <c r="F152" s="55"/>
      <c r="G152" s="85"/>
      <c r="H152" s="55">
        <f>'Init. énergie'!C72</f>
        <v>0.46812100954476071</v>
      </c>
      <c r="I152" s="47">
        <v>0.55000000000000004</v>
      </c>
      <c r="J152" s="47">
        <v>0.6</v>
      </c>
      <c r="K152" s="47">
        <v>0.6</v>
      </c>
      <c r="M152" s="494"/>
      <c r="N152" s="33"/>
      <c r="O152" s="42"/>
    </row>
    <row r="153" spans="1:15" s="17" customFormat="1">
      <c r="A153" s="56"/>
      <c r="C153" s="40"/>
      <c r="D153" s="32"/>
      <c r="E153" s="7" t="s">
        <v>17</v>
      </c>
      <c r="F153" s="53"/>
      <c r="G153" s="53"/>
      <c r="H153" s="15">
        <f>SUM(H146:H152)</f>
        <v>1</v>
      </c>
      <c r="I153" s="15">
        <f t="shared" ref="I153:K153" si="44">SUM(I146:I152)</f>
        <v>0.99999999999999989</v>
      </c>
      <c r="J153" s="15">
        <f t="shared" si="44"/>
        <v>1</v>
      </c>
      <c r="K153" s="15">
        <f t="shared" si="44"/>
        <v>1</v>
      </c>
      <c r="M153" s="495"/>
      <c r="N153" s="33"/>
      <c r="O153" s="42"/>
    </row>
    <row r="154" spans="1:15" s="17" customFormat="1">
      <c r="A154" s="56"/>
      <c r="C154" s="40"/>
      <c r="D154" s="32"/>
      <c r="M154" s="65"/>
      <c r="N154" s="33"/>
      <c r="O154" s="42"/>
    </row>
    <row r="155" spans="1:15" s="17" customFormat="1" ht="30.75" customHeight="1">
      <c r="A155" s="56"/>
      <c r="C155" s="40"/>
      <c r="D155" s="32"/>
      <c r="F155" s="489" t="s">
        <v>251</v>
      </c>
      <c r="G155" s="489"/>
      <c r="H155" s="489"/>
      <c r="I155" s="489"/>
      <c r="J155" s="489"/>
      <c r="K155" s="489"/>
      <c r="M155" s="65"/>
      <c r="N155" s="33"/>
      <c r="O155" s="42"/>
    </row>
    <row r="156" spans="1:15" s="17" customFormat="1">
      <c r="A156" s="56"/>
      <c r="C156" s="40"/>
      <c r="D156" s="32"/>
      <c r="E156" s="5" t="s">
        <v>20</v>
      </c>
      <c r="F156" s="4"/>
      <c r="G156" s="4"/>
      <c r="H156" s="4">
        <v>2020</v>
      </c>
      <c r="I156" s="4">
        <v>2030</v>
      </c>
      <c r="J156" s="4">
        <v>2040</v>
      </c>
      <c r="K156" s="4">
        <v>2050</v>
      </c>
      <c r="M156" s="61" t="s">
        <v>32</v>
      </c>
      <c r="N156" s="33"/>
      <c r="O156" s="42"/>
    </row>
    <row r="157" spans="1:15" s="17" customFormat="1">
      <c r="A157" s="56"/>
      <c r="C157" s="40"/>
      <c r="D157" s="32"/>
      <c r="E157" s="6" t="s">
        <v>15</v>
      </c>
      <c r="F157" s="82"/>
      <c r="G157" s="54"/>
      <c r="H157" s="54"/>
      <c r="I157" s="45">
        <f>J157</f>
        <v>114.5154919616969</v>
      </c>
      <c r="J157" s="45">
        <f>K157</f>
        <v>114.5154919616969</v>
      </c>
      <c r="K157" s="45">
        <f t="shared" ref="K157:K163" si="45">K81</f>
        <v>114.5154919616969</v>
      </c>
      <c r="M157" s="493" t="s">
        <v>38</v>
      </c>
      <c r="N157" s="33"/>
      <c r="O157" s="42"/>
    </row>
    <row r="158" spans="1:15" s="17" customFormat="1">
      <c r="A158" s="56"/>
      <c r="C158" s="40"/>
      <c r="D158" s="32"/>
      <c r="E158" s="6" t="s">
        <v>16</v>
      </c>
      <c r="F158" s="82"/>
      <c r="G158" s="54"/>
      <c r="H158" s="54"/>
      <c r="I158" s="45">
        <f t="shared" ref="I158:J163" si="46">J158</f>
        <v>115.21556698998437</v>
      </c>
      <c r="J158" s="45">
        <f t="shared" si="46"/>
        <v>115.21556698998437</v>
      </c>
      <c r="K158" s="45">
        <f t="shared" si="45"/>
        <v>115.21556698998437</v>
      </c>
      <c r="M158" s="494"/>
      <c r="N158" s="33"/>
      <c r="O158" s="42"/>
    </row>
    <row r="159" spans="1:15" s="17" customFormat="1">
      <c r="A159" s="56"/>
      <c r="C159" s="40"/>
      <c r="D159" s="32"/>
      <c r="E159" s="6" t="s">
        <v>68</v>
      </c>
      <c r="F159" s="82"/>
      <c r="G159" s="54"/>
      <c r="H159" s="54"/>
      <c r="I159" s="45">
        <f t="shared" si="46"/>
        <v>89.851550706241198</v>
      </c>
      <c r="J159" s="45">
        <f t="shared" si="46"/>
        <v>89.851550706241198</v>
      </c>
      <c r="K159" s="45">
        <f t="shared" si="45"/>
        <v>89.851550706241198</v>
      </c>
      <c r="M159" s="494"/>
      <c r="N159" s="33"/>
      <c r="O159" s="42"/>
    </row>
    <row r="160" spans="1:15" s="17" customFormat="1">
      <c r="A160" s="56"/>
      <c r="C160" s="40"/>
      <c r="D160" s="32"/>
      <c r="E160" s="6" t="s">
        <v>22</v>
      </c>
      <c r="F160" s="82"/>
      <c r="G160" s="54"/>
      <c r="H160" s="54"/>
      <c r="I160" s="45">
        <f t="shared" si="46"/>
        <v>88.544152137690361</v>
      </c>
      <c r="J160" s="45">
        <f t="shared" si="46"/>
        <v>88.544152137690361</v>
      </c>
      <c r="K160" s="45">
        <f t="shared" si="45"/>
        <v>88.544152137690361</v>
      </c>
      <c r="M160" s="494"/>
      <c r="N160" s="33"/>
      <c r="O160" s="42"/>
    </row>
    <row r="161" spans="1:15" s="17" customFormat="1">
      <c r="A161" s="56"/>
      <c r="C161" s="40"/>
      <c r="D161" s="32"/>
      <c r="E161" s="6" t="s">
        <v>42</v>
      </c>
      <c r="F161" s="82"/>
      <c r="G161" s="54"/>
      <c r="H161" s="54"/>
      <c r="I161" s="45">
        <f t="shared" si="46"/>
        <v>91.497294084185796</v>
      </c>
      <c r="J161" s="45">
        <f t="shared" si="46"/>
        <v>91.497294084185796</v>
      </c>
      <c r="K161" s="45">
        <f t="shared" si="45"/>
        <v>91.497294084185796</v>
      </c>
      <c r="M161" s="494"/>
      <c r="N161" s="33"/>
      <c r="O161" s="42"/>
    </row>
    <row r="162" spans="1:15" s="17" customFormat="1">
      <c r="A162" s="56"/>
      <c r="C162" s="40"/>
      <c r="D162" s="32"/>
      <c r="E162" s="6" t="s">
        <v>25</v>
      </c>
      <c r="F162" s="82"/>
      <c r="G162" s="87"/>
      <c r="H162" s="54"/>
      <c r="I162" s="45">
        <f t="shared" si="46"/>
        <v>51.802005071767404</v>
      </c>
      <c r="J162" s="45">
        <f t="shared" si="46"/>
        <v>51.802005071767404</v>
      </c>
      <c r="K162" s="45">
        <f t="shared" si="45"/>
        <v>51.802005071767404</v>
      </c>
      <c r="M162" s="494"/>
      <c r="N162" s="33"/>
      <c r="O162" s="42"/>
    </row>
    <row r="163" spans="1:15" s="17" customFormat="1">
      <c r="A163" s="56"/>
      <c r="C163" s="40"/>
      <c r="D163" s="32"/>
      <c r="E163" s="6" t="s">
        <v>26</v>
      </c>
      <c r="F163" s="82"/>
      <c r="G163" s="87"/>
      <c r="H163" s="54"/>
      <c r="I163" s="45">
        <f t="shared" si="46"/>
        <v>40.451124443324424</v>
      </c>
      <c r="J163" s="45">
        <f t="shared" si="46"/>
        <v>40.451124443324424</v>
      </c>
      <c r="K163" s="45">
        <f t="shared" si="45"/>
        <v>40.451124443324424</v>
      </c>
      <c r="M163" s="495"/>
      <c r="N163" s="33"/>
      <c r="O163" s="42"/>
    </row>
    <row r="164" spans="1:15" s="17" customFormat="1">
      <c r="A164" s="56"/>
      <c r="C164" s="40"/>
      <c r="D164" s="32"/>
      <c r="M164" s="65"/>
      <c r="N164" s="33"/>
      <c r="O164" s="42"/>
    </row>
    <row r="165" spans="1:15" s="17" customFormat="1" ht="29.25" customHeight="1">
      <c r="A165" s="56"/>
      <c r="C165" s="40"/>
      <c r="D165" s="32"/>
      <c r="F165" s="489" t="s">
        <v>252</v>
      </c>
      <c r="G165" s="489"/>
      <c r="H165" s="489"/>
      <c r="I165" s="489"/>
      <c r="J165" s="489"/>
      <c r="K165" s="489"/>
      <c r="M165" s="69"/>
      <c r="N165" s="33"/>
      <c r="O165" s="42"/>
    </row>
    <row r="166" spans="1:15" s="17" customFormat="1">
      <c r="A166" s="56"/>
      <c r="C166" s="40"/>
      <c r="D166" s="32"/>
      <c r="E166" s="5" t="s">
        <v>20</v>
      </c>
      <c r="F166" s="4"/>
      <c r="G166" s="4"/>
      <c r="H166" s="4">
        <v>2020</v>
      </c>
      <c r="I166" s="4">
        <v>2030</v>
      </c>
      <c r="J166" s="4">
        <v>2040</v>
      </c>
      <c r="K166" s="4">
        <v>2050</v>
      </c>
      <c r="M166" s="65"/>
      <c r="N166" s="33"/>
      <c r="O166" s="42"/>
    </row>
    <row r="167" spans="1:15" s="17" customFormat="1">
      <c r="A167" s="56"/>
      <c r="C167" s="40"/>
      <c r="D167" s="32"/>
      <c r="E167" s="6" t="s">
        <v>15</v>
      </c>
      <c r="F167" s="82"/>
      <c r="G167" s="82"/>
      <c r="H167" s="10">
        <f>H$35*H146*H157/1000</f>
        <v>0</v>
      </c>
      <c r="I167" s="10">
        <f t="shared" ref="I167:K167" si="47">I$35*I146*I157/1000</f>
        <v>0</v>
      </c>
      <c r="J167" s="10">
        <f t="shared" si="47"/>
        <v>0</v>
      </c>
      <c r="K167" s="10">
        <f t="shared" si="47"/>
        <v>0</v>
      </c>
      <c r="M167" s="65"/>
      <c r="N167" s="33"/>
      <c r="O167" s="42"/>
    </row>
    <row r="168" spans="1:15" s="17" customFormat="1">
      <c r="A168" s="56"/>
      <c r="C168" s="40"/>
      <c r="D168" s="32"/>
      <c r="E168" s="6" t="s">
        <v>16</v>
      </c>
      <c r="F168" s="82"/>
      <c r="G168" s="82"/>
      <c r="H168" s="10">
        <f t="shared" ref="H168:K173" si="48">H$35*H147*H158/1000</f>
        <v>0</v>
      </c>
      <c r="I168" s="10">
        <f t="shared" si="48"/>
        <v>31.555728391717899</v>
      </c>
      <c r="J168" s="10">
        <f t="shared" si="48"/>
        <v>19.399882247152931</v>
      </c>
      <c r="K168" s="10">
        <f t="shared" si="48"/>
        <v>11.802586756853577</v>
      </c>
      <c r="M168" s="65"/>
      <c r="N168" s="33"/>
      <c r="O168" s="42"/>
    </row>
    <row r="169" spans="1:15" s="17" customFormat="1">
      <c r="A169" s="56"/>
      <c r="C169" s="40"/>
      <c r="D169" s="32"/>
      <c r="E169" s="6" t="s">
        <v>68</v>
      </c>
      <c r="F169" s="82"/>
      <c r="G169" s="82"/>
      <c r="H169" s="10">
        <f t="shared" si="48"/>
        <v>0</v>
      </c>
      <c r="I169" s="10">
        <f t="shared" si="48"/>
        <v>40.269148335051895</v>
      </c>
      <c r="J169" s="10">
        <f t="shared" si="48"/>
        <v>24.967259950779049</v>
      </c>
      <c r="K169" s="10">
        <f t="shared" si="48"/>
        <v>18.408636092385454</v>
      </c>
      <c r="M169" s="65"/>
      <c r="N169" s="33"/>
      <c r="O169" s="42"/>
    </row>
    <row r="170" spans="1:15" s="17" customFormat="1">
      <c r="A170" s="56"/>
      <c r="C170" s="40"/>
      <c r="D170" s="32"/>
      <c r="E170" s="6" t="s">
        <v>22</v>
      </c>
      <c r="F170" s="82"/>
      <c r="G170" s="82"/>
      <c r="H170" s="10">
        <f t="shared" si="48"/>
        <v>0</v>
      </c>
      <c r="I170" s="10">
        <f t="shared" si="48"/>
        <v>4.5968769881293259</v>
      </c>
      <c r="J170" s="10">
        <f t="shared" si="48"/>
        <v>1.4908976017923954</v>
      </c>
      <c r="K170" s="10">
        <f t="shared" si="48"/>
        <v>0</v>
      </c>
      <c r="M170" s="65"/>
      <c r="N170" s="33"/>
      <c r="O170" s="42"/>
    </row>
    <row r="171" spans="1:15" s="17" customFormat="1">
      <c r="A171" s="56"/>
      <c r="C171" s="40"/>
      <c r="D171" s="32"/>
      <c r="E171" s="6" t="s">
        <v>42</v>
      </c>
      <c r="F171" s="82"/>
      <c r="G171" s="82"/>
      <c r="H171" s="10">
        <f t="shared" si="48"/>
        <v>0</v>
      </c>
      <c r="I171" s="10">
        <f t="shared" si="48"/>
        <v>4.5563031204387237</v>
      </c>
      <c r="J171" s="10">
        <f t="shared" si="48"/>
        <v>3.0812446226483092</v>
      </c>
      <c r="K171" s="10">
        <f t="shared" si="48"/>
        <v>2.0828681394721293</v>
      </c>
      <c r="M171" s="65"/>
      <c r="N171" s="33"/>
      <c r="O171" s="42"/>
    </row>
    <row r="172" spans="1:15" s="17" customFormat="1">
      <c r="A172" s="56"/>
      <c r="C172" s="40"/>
      <c r="D172" s="32"/>
      <c r="E172" s="6" t="s">
        <v>25</v>
      </c>
      <c r="F172" s="82"/>
      <c r="G172" s="82"/>
      <c r="H172" s="10">
        <f t="shared" si="48"/>
        <v>0</v>
      </c>
      <c r="I172" s="10">
        <f t="shared" si="48"/>
        <v>15.367776251686999</v>
      </c>
      <c r="J172" s="10">
        <f t="shared" si="48"/>
        <v>9.1560548835864832</v>
      </c>
      <c r="K172" s="10">
        <f t="shared" si="48"/>
        <v>6.4857885528303996</v>
      </c>
      <c r="M172" s="65"/>
      <c r="N172" s="33"/>
      <c r="O172" s="42"/>
    </row>
    <row r="173" spans="1:15" s="17" customFormat="1">
      <c r="A173" s="56"/>
      <c r="C173" s="40"/>
      <c r="D173" s="32"/>
      <c r="E173" s="6" t="s">
        <v>26</v>
      </c>
      <c r="F173" s="82"/>
      <c r="G173" s="82"/>
      <c r="H173" s="10">
        <f t="shared" si="48"/>
        <v>0</v>
      </c>
      <c r="I173" s="10">
        <f t="shared" si="48"/>
        <v>55.394628062026072</v>
      </c>
      <c r="J173" s="10">
        <f t="shared" si="48"/>
        <v>40.866719912959745</v>
      </c>
      <c r="K173" s="10">
        <f t="shared" si="48"/>
        <v>27.625196729195427</v>
      </c>
      <c r="L173" s="65"/>
      <c r="M173" s="65"/>
      <c r="N173" s="33"/>
      <c r="O173" s="42"/>
    </row>
    <row r="174" spans="1:15" s="17" customFormat="1">
      <c r="A174" s="56"/>
      <c r="C174" s="40"/>
      <c r="D174" s="32"/>
      <c r="E174" s="7" t="s">
        <v>17</v>
      </c>
      <c r="F174" s="82"/>
      <c r="G174" s="82"/>
      <c r="H174" s="11">
        <f>SUM(H167:H173)</f>
        <v>0</v>
      </c>
      <c r="I174" s="11">
        <f t="shared" ref="I174:K174" si="49">SUM(I167:I173)</f>
        <v>151.74046114905093</v>
      </c>
      <c r="J174" s="11">
        <f t="shared" si="49"/>
        <v>98.96205921891891</v>
      </c>
      <c r="K174" s="11">
        <f t="shared" si="49"/>
        <v>66.405076270736984</v>
      </c>
      <c r="M174" s="65"/>
      <c r="N174" s="33"/>
      <c r="O174" s="42"/>
    </row>
    <row r="175" spans="1:15" s="17" customFormat="1" ht="12" thickBot="1">
      <c r="A175" s="56"/>
      <c r="C175" s="40"/>
      <c r="D175" s="34"/>
      <c r="E175" s="35"/>
      <c r="F175" s="35"/>
      <c r="G175" s="35"/>
      <c r="H175" s="35"/>
      <c r="I175" s="35"/>
      <c r="J175" s="35"/>
      <c r="K175" s="35"/>
      <c r="L175" s="35"/>
      <c r="M175" s="73"/>
      <c r="N175" s="36"/>
      <c r="O175" s="42"/>
    </row>
    <row r="176" spans="1:15" s="17" customFormat="1">
      <c r="A176" s="56"/>
      <c r="C176" s="40"/>
      <c r="M176" s="65"/>
      <c r="O176" s="42"/>
    </row>
    <row r="177" spans="1:13" s="17" customFormat="1">
      <c r="A177" s="56"/>
      <c r="M177" s="65"/>
    </row>
    <row r="178" spans="1:13" s="17" customFormat="1">
      <c r="A178" s="56"/>
      <c r="E178" s="508" t="s">
        <v>225</v>
      </c>
      <c r="F178" s="508"/>
      <c r="G178" s="508"/>
      <c r="H178" s="508"/>
      <c r="I178" s="508"/>
      <c r="J178" s="508"/>
      <c r="K178" s="508"/>
      <c r="L178" s="508"/>
      <c r="M178" s="508"/>
    </row>
    <row r="179" spans="1:13" s="17" customFormat="1">
      <c r="A179" s="56"/>
      <c r="M179" s="65"/>
    </row>
    <row r="180" spans="1:13" s="17" customFormat="1">
      <c r="A180" s="56"/>
      <c r="E180" s="5" t="s">
        <v>20</v>
      </c>
      <c r="F180" s="4"/>
      <c r="G180" s="4"/>
      <c r="H180" s="4">
        <v>2020</v>
      </c>
      <c r="I180" s="4">
        <v>2030</v>
      </c>
      <c r="J180" s="4">
        <v>2040</v>
      </c>
      <c r="K180" s="4">
        <v>2050</v>
      </c>
      <c r="M180" s="65"/>
    </row>
    <row r="181" spans="1:13" s="17" customFormat="1">
      <c r="A181" s="56"/>
      <c r="E181" s="6" t="s">
        <v>15</v>
      </c>
      <c r="F181" s="82"/>
      <c r="G181" s="82"/>
      <c r="H181" s="10">
        <f t="shared" ref="H181:K187" si="50">H$36*($H$73*H45+(1-$H$73)*H59)+H$35*H146</f>
        <v>8195.6624262282912</v>
      </c>
      <c r="I181" s="10">
        <f t="shared" si="50"/>
        <v>814.54849011697502</v>
      </c>
      <c r="J181" s="10">
        <f t="shared" si="50"/>
        <v>0</v>
      </c>
      <c r="K181" s="10">
        <f t="shared" si="50"/>
        <v>0</v>
      </c>
      <c r="M181" s="65"/>
    </row>
    <row r="182" spans="1:13" s="17" customFormat="1">
      <c r="A182" s="56"/>
      <c r="E182" s="6" t="s">
        <v>16</v>
      </c>
      <c r="F182" s="82"/>
      <c r="G182" s="82"/>
      <c r="H182" s="10">
        <f t="shared" si="50"/>
        <v>17143.987728334687</v>
      </c>
      <c r="I182" s="10">
        <f t="shared" si="50"/>
        <v>14634.374124151542</v>
      </c>
      <c r="J182" s="10">
        <f t="shared" si="50"/>
        <v>7071.7346425182022</v>
      </c>
      <c r="K182" s="10">
        <f t="shared" si="50"/>
        <v>957.34360839856959</v>
      </c>
      <c r="M182" s="65"/>
    </row>
    <row r="183" spans="1:13" s="17" customFormat="1">
      <c r="A183" s="56"/>
      <c r="E183" s="6" t="s">
        <v>68</v>
      </c>
      <c r="F183" s="82"/>
      <c r="G183" s="82"/>
      <c r="H183" s="10">
        <f t="shared" si="50"/>
        <v>2592.5054613579287</v>
      </c>
      <c r="I183" s="10">
        <f t="shared" si="50"/>
        <v>8573.2954053719986</v>
      </c>
      <c r="J183" s="10">
        <f t="shared" si="50"/>
        <v>10801.280320014988</v>
      </c>
      <c r="K183" s="10">
        <f t="shared" si="50"/>
        <v>11402.041378820873</v>
      </c>
      <c r="M183" s="65"/>
    </row>
    <row r="184" spans="1:13" s="17" customFormat="1">
      <c r="A184" s="56"/>
      <c r="E184" s="6" t="s">
        <v>22</v>
      </c>
      <c r="F184" s="82"/>
      <c r="G184" s="82"/>
      <c r="H184" s="10">
        <f t="shared" si="50"/>
        <v>710.84827166265791</v>
      </c>
      <c r="I184" s="10">
        <f t="shared" si="50"/>
        <v>513.4936898954561</v>
      </c>
      <c r="J184" s="10">
        <f t="shared" si="50"/>
        <v>858.71053927567505</v>
      </c>
      <c r="K184" s="10">
        <f t="shared" si="50"/>
        <v>0</v>
      </c>
      <c r="M184" s="65"/>
    </row>
    <row r="185" spans="1:13" s="17" customFormat="1">
      <c r="A185" s="56"/>
      <c r="E185" s="6" t="s">
        <v>42</v>
      </c>
      <c r="F185" s="82"/>
      <c r="G185" s="82"/>
      <c r="H185" s="10">
        <f t="shared" si="50"/>
        <v>585.40445901630642</v>
      </c>
      <c r="I185" s="10">
        <f t="shared" si="50"/>
        <v>837.19400894142848</v>
      </c>
      <c r="J185" s="10">
        <f t="shared" si="50"/>
        <v>1071.9853886349313</v>
      </c>
      <c r="K185" s="10">
        <f t="shared" si="50"/>
        <v>1273.8439291451937</v>
      </c>
      <c r="M185" s="65"/>
    </row>
    <row r="186" spans="1:13" s="17" customFormat="1">
      <c r="A186" s="56"/>
      <c r="E186" s="6" t="s">
        <v>25</v>
      </c>
      <c r="F186" s="82"/>
      <c r="G186" s="82"/>
      <c r="H186" s="10">
        <f t="shared" si="50"/>
        <v>9868.2465948463087</v>
      </c>
      <c r="I186" s="10">
        <f t="shared" si="50"/>
        <v>8309.1057150866054</v>
      </c>
      <c r="J186" s="10">
        <f t="shared" si="50"/>
        <v>4386.1141697247895</v>
      </c>
      <c r="K186" s="10">
        <f t="shared" si="50"/>
        <v>3857.5911081764043</v>
      </c>
      <c r="M186" s="65"/>
    </row>
    <row r="187" spans="1:13" s="17" customFormat="1">
      <c r="A187" s="56"/>
      <c r="E187" s="6" t="s">
        <v>26</v>
      </c>
      <c r="F187" s="82"/>
      <c r="G187" s="82"/>
      <c r="H187" s="10">
        <f t="shared" si="50"/>
        <v>2759.7638782197305</v>
      </c>
      <c r="I187" s="10">
        <f t="shared" si="50"/>
        <v>9535.2698303690377</v>
      </c>
      <c r="J187" s="10">
        <f t="shared" si="50"/>
        <v>19531.472073726705</v>
      </c>
      <c r="K187" s="10">
        <f t="shared" si="50"/>
        <v>25266.643292780562</v>
      </c>
      <c r="M187" s="65"/>
    </row>
    <row r="188" spans="1:13" s="17" customFormat="1">
      <c r="A188" s="56"/>
      <c r="E188" s="7" t="s">
        <v>17</v>
      </c>
      <c r="F188" s="82"/>
      <c r="G188" s="82"/>
      <c r="H188" s="10">
        <f>SUM(H181:H187)</f>
        <v>41856.418819665909</v>
      </c>
      <c r="I188" s="10">
        <f t="shared" ref="I188:K188" si="51">SUM(I181:I187)</f>
        <v>43217.281263933037</v>
      </c>
      <c r="J188" s="10">
        <f t="shared" si="51"/>
        <v>43721.297133895292</v>
      </c>
      <c r="K188" s="10">
        <f t="shared" si="51"/>
        <v>42757.463317321599</v>
      </c>
      <c r="M188" s="65"/>
    </row>
    <row r="189" spans="1:13" s="17" customFormat="1">
      <c r="A189" s="56"/>
      <c r="M189" s="65"/>
    </row>
    <row r="190" spans="1:13" s="17" customFormat="1">
      <c r="A190" s="56"/>
      <c r="M190" s="65"/>
    </row>
    <row r="191" spans="1:13" s="17" customFormat="1">
      <c r="A191" s="56"/>
      <c r="M191" s="65"/>
    </row>
    <row r="192" spans="1:13" s="17" customFormat="1">
      <c r="A192" s="56"/>
      <c r="M192" s="65"/>
    </row>
    <row r="193" spans="1:13" s="17" customFormat="1">
      <c r="A193" s="56"/>
      <c r="M193" s="65"/>
    </row>
    <row r="194" spans="1:13" s="17" customFormat="1">
      <c r="A194" s="56"/>
      <c r="M194" s="65"/>
    </row>
    <row r="195" spans="1:13" s="17" customFormat="1">
      <c r="A195" s="56"/>
      <c r="M195" s="65"/>
    </row>
    <row r="196" spans="1:13" s="17" customFormat="1">
      <c r="A196" s="56"/>
      <c r="M196" s="65"/>
    </row>
    <row r="197" spans="1:13" s="17" customFormat="1">
      <c r="A197" s="56"/>
      <c r="M197" s="65"/>
    </row>
    <row r="198" spans="1:13" s="17" customFormat="1">
      <c r="A198" s="56"/>
      <c r="M198" s="65"/>
    </row>
    <row r="199" spans="1:13" s="17" customFormat="1">
      <c r="A199" s="56"/>
      <c r="M199" s="65"/>
    </row>
    <row r="200" spans="1:13" s="17" customFormat="1">
      <c r="A200" s="56"/>
      <c r="M200" s="65"/>
    </row>
    <row r="201" spans="1:13" s="17" customFormat="1">
      <c r="A201" s="56"/>
      <c r="M201" s="65"/>
    </row>
    <row r="202" spans="1:13" s="17" customFormat="1">
      <c r="A202" s="56"/>
      <c r="M202" s="65"/>
    </row>
    <row r="203" spans="1:13" s="17" customFormat="1">
      <c r="A203" s="56"/>
      <c r="M203" s="65"/>
    </row>
    <row r="204" spans="1:13" s="17" customFormat="1">
      <c r="A204" s="56"/>
      <c r="M204" s="65"/>
    </row>
    <row r="205" spans="1:13" s="17" customFormat="1">
      <c r="A205" s="56"/>
      <c r="M205" s="65"/>
    </row>
    <row r="206" spans="1:13" s="17" customFormat="1">
      <c r="A206" s="56"/>
      <c r="M206" s="65"/>
    </row>
    <row r="207" spans="1:13" s="17" customFormat="1">
      <c r="A207" s="56"/>
      <c r="M207" s="65"/>
    </row>
    <row r="208" spans="1:13" s="17" customFormat="1">
      <c r="A208" s="56"/>
      <c r="M208" s="65"/>
    </row>
    <row r="209" spans="1:13" s="17" customFormat="1">
      <c r="A209" s="56"/>
      <c r="M209" s="65"/>
    </row>
    <row r="210" spans="1:13" s="17" customFormat="1">
      <c r="A210" s="56"/>
      <c r="M210" s="65"/>
    </row>
    <row r="211" spans="1:13" s="17" customFormat="1">
      <c r="A211" s="56"/>
      <c r="M211" s="65"/>
    </row>
    <row r="212" spans="1:13" s="17" customFormat="1">
      <c r="A212" s="56"/>
      <c r="M212" s="65"/>
    </row>
    <row r="213" spans="1:13" s="17" customFormat="1">
      <c r="A213" s="56"/>
      <c r="M213" s="65"/>
    </row>
    <row r="214" spans="1:13" s="17" customFormat="1">
      <c r="A214" s="56"/>
      <c r="M214" s="65"/>
    </row>
    <row r="215" spans="1:13" s="17" customFormat="1">
      <c r="A215" s="56"/>
      <c r="M215" s="65"/>
    </row>
    <row r="216" spans="1:13" s="17" customFormat="1">
      <c r="A216" s="56"/>
      <c r="M216" s="65"/>
    </row>
    <row r="217" spans="1:13" s="17" customFormat="1">
      <c r="A217" s="56"/>
      <c r="M217" s="65"/>
    </row>
    <row r="218" spans="1:13" s="17" customFormat="1">
      <c r="A218" s="56"/>
      <c r="M218" s="65"/>
    </row>
    <row r="219" spans="1:13" s="17" customFormat="1">
      <c r="A219" s="56"/>
      <c r="M219" s="65"/>
    </row>
    <row r="220" spans="1:13" s="17" customFormat="1">
      <c r="A220" s="56"/>
      <c r="M220" s="65"/>
    </row>
    <row r="221" spans="1:13" s="17" customFormat="1">
      <c r="A221" s="56"/>
      <c r="M221" s="65"/>
    </row>
    <row r="222" spans="1:13" s="17" customFormat="1">
      <c r="A222" s="56"/>
      <c r="M222" s="65"/>
    </row>
    <row r="223" spans="1:13" s="17" customFormat="1">
      <c r="A223" s="56"/>
      <c r="M223" s="65"/>
    </row>
    <row r="224" spans="1:13" s="17" customFormat="1">
      <c r="A224" s="56"/>
      <c r="M224" s="65"/>
    </row>
    <row r="225" spans="1:13" s="17" customFormat="1">
      <c r="A225" s="56"/>
      <c r="M225" s="65"/>
    </row>
    <row r="226" spans="1:13" s="17" customFormat="1">
      <c r="A226" s="56"/>
      <c r="M226" s="65"/>
    </row>
    <row r="227" spans="1:13" s="17" customFormat="1">
      <c r="A227" s="56"/>
      <c r="M227" s="65"/>
    </row>
    <row r="228" spans="1:13" s="17" customFormat="1">
      <c r="A228" s="56"/>
      <c r="M228" s="65"/>
    </row>
    <row r="229" spans="1:13" s="17" customFormat="1">
      <c r="A229" s="56"/>
      <c r="M229" s="65"/>
    </row>
    <row r="230" spans="1:13" s="17" customFormat="1">
      <c r="A230" s="56"/>
      <c r="M230" s="65"/>
    </row>
    <row r="231" spans="1:13" s="17" customFormat="1">
      <c r="A231" s="56"/>
      <c r="M231" s="65"/>
    </row>
    <row r="232" spans="1:13" s="17" customFormat="1">
      <c r="A232" s="56"/>
      <c r="M232" s="65"/>
    </row>
    <row r="233" spans="1:13" s="17" customFormat="1">
      <c r="A233" s="56"/>
      <c r="M233" s="65"/>
    </row>
    <row r="234" spans="1:13" s="17" customFormat="1">
      <c r="A234" s="56"/>
      <c r="M234" s="65"/>
    </row>
    <row r="235" spans="1:13" s="17" customFormat="1">
      <c r="A235" s="56"/>
      <c r="M235" s="65"/>
    </row>
    <row r="236" spans="1:13" s="17" customFormat="1">
      <c r="A236" s="56"/>
      <c r="M236" s="65"/>
    </row>
    <row r="237" spans="1:13" s="17" customFormat="1">
      <c r="A237" s="56"/>
      <c r="M237" s="65"/>
    </row>
    <row r="238" spans="1:13" s="17" customFormat="1">
      <c r="A238" s="56"/>
      <c r="M238" s="65"/>
    </row>
    <row r="239" spans="1:13" s="17" customFormat="1">
      <c r="A239" s="56"/>
      <c r="M239" s="65"/>
    </row>
    <row r="240" spans="1:13" s="17" customFormat="1">
      <c r="A240" s="56"/>
      <c r="M240" s="65"/>
    </row>
    <row r="241" spans="1:13" s="17" customFormat="1">
      <c r="A241" s="56"/>
      <c r="M241" s="65"/>
    </row>
    <row r="242" spans="1:13" s="17" customFormat="1">
      <c r="A242" s="56"/>
      <c r="M242" s="65"/>
    </row>
    <row r="243" spans="1:13" s="17" customFormat="1">
      <c r="A243" s="56"/>
      <c r="M243" s="65"/>
    </row>
    <row r="244" spans="1:13" s="17" customFormat="1">
      <c r="A244" s="56"/>
      <c r="M244" s="65"/>
    </row>
    <row r="245" spans="1:13" s="17" customFormat="1">
      <c r="A245" s="56"/>
      <c r="M245" s="65"/>
    </row>
    <row r="246" spans="1:13" s="17" customFormat="1">
      <c r="A246" s="56"/>
      <c r="M246" s="65"/>
    </row>
    <row r="247" spans="1:13" s="17" customFormat="1">
      <c r="A247" s="56"/>
      <c r="M247" s="65"/>
    </row>
    <row r="248" spans="1:13" s="17" customFormat="1">
      <c r="A248" s="56"/>
      <c r="M248" s="65"/>
    </row>
    <row r="249" spans="1:13" s="17" customFormat="1">
      <c r="A249" s="56"/>
      <c r="M249" s="65"/>
    </row>
    <row r="250" spans="1:13" s="17" customFormat="1">
      <c r="A250" s="56"/>
      <c r="M250" s="65"/>
    </row>
    <row r="251" spans="1:13" s="17" customFormat="1">
      <c r="A251" s="56"/>
      <c r="M251" s="65"/>
    </row>
    <row r="252" spans="1:13" s="17" customFormat="1">
      <c r="A252" s="56"/>
      <c r="M252" s="65"/>
    </row>
    <row r="253" spans="1:13" s="17" customFormat="1">
      <c r="A253" s="56"/>
      <c r="M253" s="65"/>
    </row>
    <row r="254" spans="1:13" s="17" customFormat="1">
      <c r="A254" s="56"/>
      <c r="M254" s="65"/>
    </row>
    <row r="255" spans="1:13" s="17" customFormat="1">
      <c r="A255" s="56"/>
      <c r="M255" s="65"/>
    </row>
    <row r="256" spans="1:13" s="17" customFormat="1">
      <c r="A256" s="56"/>
      <c r="M256" s="65"/>
    </row>
    <row r="257" spans="1:13" s="17" customFormat="1">
      <c r="A257" s="56"/>
      <c r="M257" s="65"/>
    </row>
    <row r="258" spans="1:13" s="17" customFormat="1">
      <c r="A258" s="56"/>
      <c r="M258" s="65"/>
    </row>
    <row r="259" spans="1:13" s="17" customFormat="1">
      <c r="A259" s="56"/>
      <c r="M259" s="65"/>
    </row>
    <row r="260" spans="1:13" s="17" customFormat="1">
      <c r="A260" s="56"/>
      <c r="M260" s="65"/>
    </row>
    <row r="261" spans="1:13" s="17" customFormat="1">
      <c r="A261" s="56"/>
      <c r="M261" s="65"/>
    </row>
    <row r="262" spans="1:13" s="17" customFormat="1">
      <c r="A262" s="56"/>
      <c r="M262" s="65"/>
    </row>
    <row r="263" spans="1:13" s="17" customFormat="1">
      <c r="A263" s="56"/>
      <c r="M263" s="65"/>
    </row>
    <row r="264" spans="1:13" s="17" customFormat="1">
      <c r="A264" s="56"/>
      <c r="M264" s="65"/>
    </row>
    <row r="265" spans="1:13" s="17" customFormat="1">
      <c r="A265" s="56"/>
      <c r="M265" s="65"/>
    </row>
    <row r="266" spans="1:13" s="17" customFormat="1">
      <c r="A266" s="56"/>
      <c r="M266" s="65"/>
    </row>
    <row r="267" spans="1:13" s="17" customFormat="1">
      <c r="A267" s="56"/>
      <c r="M267" s="65"/>
    </row>
    <row r="268" spans="1:13" s="17" customFormat="1">
      <c r="A268" s="56"/>
      <c r="M268" s="65"/>
    </row>
    <row r="269" spans="1:13" s="17" customFormat="1">
      <c r="A269" s="56"/>
      <c r="M269" s="65"/>
    </row>
    <row r="270" spans="1:13" s="17" customFormat="1">
      <c r="A270" s="56"/>
      <c r="M270" s="65"/>
    </row>
    <row r="271" spans="1:13" s="17" customFormat="1">
      <c r="A271" s="56"/>
      <c r="M271" s="65"/>
    </row>
    <row r="272" spans="1:13" s="17" customFormat="1">
      <c r="A272" s="56"/>
      <c r="M272" s="65"/>
    </row>
    <row r="273" spans="1:13" s="17" customFormat="1">
      <c r="A273" s="56"/>
      <c r="M273" s="65"/>
    </row>
    <row r="274" spans="1:13" s="17" customFormat="1">
      <c r="A274" s="56"/>
      <c r="M274" s="65"/>
    </row>
    <row r="275" spans="1:13" s="17" customFormat="1">
      <c r="A275" s="56"/>
      <c r="M275" s="65"/>
    </row>
    <row r="276" spans="1:13" s="17" customFormat="1">
      <c r="A276" s="56"/>
      <c r="M276" s="65"/>
    </row>
    <row r="277" spans="1:13" s="17" customFormat="1">
      <c r="A277" s="56"/>
      <c r="M277" s="65"/>
    </row>
    <row r="278" spans="1:13" s="17" customFormat="1">
      <c r="A278" s="56"/>
      <c r="M278" s="65"/>
    </row>
    <row r="279" spans="1:13" s="17" customFormat="1">
      <c r="A279" s="56"/>
      <c r="M279" s="65"/>
    </row>
    <row r="280" spans="1:13" s="17" customFormat="1">
      <c r="A280" s="56"/>
      <c r="M280" s="65"/>
    </row>
    <row r="281" spans="1:13" s="17" customFormat="1">
      <c r="A281" s="56"/>
      <c r="M281" s="65"/>
    </row>
    <row r="282" spans="1:13" s="17" customFormat="1">
      <c r="A282" s="56"/>
      <c r="M282" s="65"/>
    </row>
    <row r="283" spans="1:13" s="17" customFormat="1">
      <c r="A283" s="56"/>
      <c r="M283" s="65"/>
    </row>
    <row r="284" spans="1:13" s="17" customFormat="1">
      <c r="A284" s="56"/>
      <c r="M284" s="65"/>
    </row>
    <row r="285" spans="1:13" s="17" customFormat="1">
      <c r="A285" s="56"/>
      <c r="M285" s="65"/>
    </row>
    <row r="286" spans="1:13" s="17" customFormat="1">
      <c r="A286" s="56"/>
      <c r="M286" s="65"/>
    </row>
    <row r="287" spans="1:13" s="17" customFormat="1">
      <c r="A287" s="56"/>
      <c r="M287" s="65"/>
    </row>
    <row r="288" spans="1:13" s="17" customFormat="1">
      <c r="A288" s="56"/>
      <c r="M288" s="65"/>
    </row>
    <row r="289" spans="1:13" s="17" customFormat="1">
      <c r="A289" s="56"/>
      <c r="M289" s="65"/>
    </row>
    <row r="290" spans="1:13" s="17" customFormat="1">
      <c r="A290" s="56"/>
      <c r="M290" s="65"/>
    </row>
    <row r="291" spans="1:13" s="17" customFormat="1">
      <c r="A291" s="56"/>
      <c r="M291" s="65"/>
    </row>
    <row r="292" spans="1:13" s="17" customFormat="1">
      <c r="A292" s="56"/>
      <c r="M292" s="65"/>
    </row>
    <row r="293" spans="1:13" s="17" customFormat="1">
      <c r="A293" s="56"/>
      <c r="M293" s="65"/>
    </row>
    <row r="294" spans="1:13" s="17" customFormat="1">
      <c r="A294" s="56"/>
      <c r="M294" s="65"/>
    </row>
    <row r="295" spans="1:13" s="17" customFormat="1">
      <c r="A295" s="56"/>
      <c r="M295" s="65"/>
    </row>
    <row r="296" spans="1:13" s="17" customFormat="1">
      <c r="A296" s="56"/>
      <c r="M296" s="65"/>
    </row>
    <row r="297" spans="1:13" s="17" customFormat="1">
      <c r="A297" s="56"/>
      <c r="M297" s="65"/>
    </row>
    <row r="298" spans="1:13" s="17" customFormat="1">
      <c r="A298" s="56"/>
      <c r="M298" s="65"/>
    </row>
    <row r="299" spans="1:13" s="17" customFormat="1">
      <c r="A299" s="56"/>
      <c r="M299" s="65"/>
    </row>
    <row r="300" spans="1:13" s="17" customFormat="1">
      <c r="A300" s="56"/>
      <c r="M300" s="65"/>
    </row>
    <row r="301" spans="1:13" s="17" customFormat="1">
      <c r="A301" s="56"/>
      <c r="M301" s="65"/>
    </row>
    <row r="302" spans="1:13" s="17" customFormat="1">
      <c r="A302" s="56"/>
      <c r="M302" s="65"/>
    </row>
    <row r="303" spans="1:13" s="17" customFormat="1">
      <c r="A303" s="56"/>
      <c r="M303" s="65"/>
    </row>
    <row r="304" spans="1:13" s="17" customFormat="1">
      <c r="A304" s="56"/>
      <c r="M304" s="65"/>
    </row>
    <row r="305" spans="1:13" s="17" customFormat="1">
      <c r="A305" s="56"/>
      <c r="M305" s="65"/>
    </row>
    <row r="306" spans="1:13" s="17" customFormat="1">
      <c r="A306" s="56"/>
      <c r="M306" s="65"/>
    </row>
    <row r="307" spans="1:13" s="17" customFormat="1">
      <c r="A307" s="56"/>
      <c r="M307" s="65"/>
    </row>
    <row r="308" spans="1:13" s="17" customFormat="1">
      <c r="A308" s="56"/>
      <c r="M308" s="65"/>
    </row>
    <row r="309" spans="1:13" s="17" customFormat="1">
      <c r="A309" s="56"/>
      <c r="M309" s="65"/>
    </row>
    <row r="310" spans="1:13" s="17" customFormat="1">
      <c r="A310" s="56"/>
      <c r="M310" s="65"/>
    </row>
    <row r="311" spans="1:13" s="17" customFormat="1">
      <c r="A311" s="56"/>
      <c r="M311" s="65"/>
    </row>
    <row r="312" spans="1:13" s="17" customFormat="1">
      <c r="A312" s="56"/>
      <c r="M312" s="65"/>
    </row>
    <row r="313" spans="1:13" s="17" customFormat="1">
      <c r="A313" s="56"/>
      <c r="M313" s="65"/>
    </row>
    <row r="314" spans="1:13" s="17" customFormat="1">
      <c r="A314" s="56"/>
      <c r="M314" s="65"/>
    </row>
    <row r="315" spans="1:13" s="17" customFormat="1">
      <c r="A315" s="56"/>
      <c r="M315" s="65"/>
    </row>
    <row r="316" spans="1:13" s="17" customFormat="1">
      <c r="A316" s="56"/>
      <c r="M316" s="65"/>
    </row>
    <row r="317" spans="1:13" s="17" customFormat="1">
      <c r="A317" s="56"/>
      <c r="M317" s="65"/>
    </row>
    <row r="318" spans="1:13" s="17" customFormat="1">
      <c r="A318" s="56"/>
      <c r="M318" s="65"/>
    </row>
    <row r="319" spans="1:13" s="17" customFormat="1">
      <c r="A319" s="56"/>
      <c r="M319" s="65"/>
    </row>
    <row r="320" spans="1:13" s="17" customFormat="1">
      <c r="A320" s="56"/>
      <c r="M320" s="65"/>
    </row>
    <row r="321" spans="1:13" s="17" customFormat="1">
      <c r="A321" s="56"/>
      <c r="M321" s="65"/>
    </row>
    <row r="322" spans="1:13" s="17" customFormat="1">
      <c r="A322" s="56"/>
      <c r="M322" s="65"/>
    </row>
    <row r="323" spans="1:13" s="17" customFormat="1">
      <c r="A323" s="56"/>
      <c r="M323" s="65"/>
    </row>
    <row r="324" spans="1:13" s="17" customFormat="1">
      <c r="A324" s="56"/>
      <c r="M324" s="65"/>
    </row>
    <row r="325" spans="1:13" s="17" customFormat="1">
      <c r="A325" s="56"/>
      <c r="M325" s="65"/>
    </row>
    <row r="326" spans="1:13" s="17" customFormat="1">
      <c r="A326" s="56"/>
      <c r="M326" s="65"/>
    </row>
    <row r="327" spans="1:13" s="17" customFormat="1">
      <c r="A327" s="56"/>
      <c r="M327" s="65"/>
    </row>
    <row r="328" spans="1:13" s="17" customFormat="1">
      <c r="A328" s="56"/>
      <c r="M328" s="65"/>
    </row>
    <row r="329" spans="1:13" s="17" customFormat="1">
      <c r="A329" s="56"/>
      <c r="M329" s="65"/>
    </row>
    <row r="330" spans="1:13" s="17" customFormat="1">
      <c r="A330" s="56"/>
      <c r="M330" s="65"/>
    </row>
    <row r="331" spans="1:13" s="17" customFormat="1">
      <c r="A331" s="56"/>
      <c r="M331" s="65"/>
    </row>
    <row r="332" spans="1:13" s="17" customFormat="1">
      <c r="A332" s="56"/>
      <c r="M332" s="65"/>
    </row>
    <row r="333" spans="1:13" s="17" customFormat="1">
      <c r="A333" s="56"/>
      <c r="M333" s="65"/>
    </row>
    <row r="334" spans="1:13" s="17" customFormat="1">
      <c r="A334" s="56"/>
      <c r="M334" s="65"/>
    </row>
    <row r="335" spans="1:13" s="17" customFormat="1">
      <c r="A335" s="56"/>
      <c r="M335" s="65"/>
    </row>
    <row r="336" spans="1:13" s="17" customFormat="1">
      <c r="A336" s="56"/>
      <c r="M336" s="65"/>
    </row>
    <row r="337" spans="1:13" s="17" customFormat="1">
      <c r="A337" s="56"/>
      <c r="M337" s="65"/>
    </row>
    <row r="338" spans="1:13" s="17" customFormat="1">
      <c r="A338" s="56"/>
      <c r="M338" s="65"/>
    </row>
    <row r="339" spans="1:13" s="17" customFormat="1">
      <c r="A339" s="56"/>
      <c r="M339" s="65"/>
    </row>
    <row r="340" spans="1:13" s="17" customFormat="1">
      <c r="A340" s="56"/>
      <c r="M340" s="65"/>
    </row>
    <row r="341" spans="1:13" s="17" customFormat="1">
      <c r="A341" s="56"/>
      <c r="M341" s="65"/>
    </row>
    <row r="342" spans="1:13" s="17" customFormat="1">
      <c r="A342" s="56"/>
      <c r="M342" s="65"/>
    </row>
    <row r="343" spans="1:13" s="17" customFormat="1">
      <c r="A343" s="56"/>
      <c r="M343" s="65"/>
    </row>
    <row r="344" spans="1:13" s="17" customFormat="1">
      <c r="A344" s="56"/>
      <c r="M344" s="65"/>
    </row>
    <row r="345" spans="1:13" s="17" customFormat="1">
      <c r="A345" s="56"/>
      <c r="M345" s="65"/>
    </row>
    <row r="346" spans="1:13" s="17" customFormat="1">
      <c r="A346" s="56"/>
      <c r="M346" s="65"/>
    </row>
    <row r="347" spans="1:13" s="17" customFormat="1">
      <c r="A347" s="56"/>
      <c r="M347" s="65"/>
    </row>
    <row r="348" spans="1:13" s="17" customFormat="1">
      <c r="A348" s="56"/>
      <c r="M348" s="65"/>
    </row>
    <row r="349" spans="1:13" s="17" customFormat="1">
      <c r="A349" s="56"/>
      <c r="M349" s="65"/>
    </row>
    <row r="350" spans="1:13" s="17" customFormat="1">
      <c r="A350" s="56"/>
      <c r="M350" s="65"/>
    </row>
    <row r="351" spans="1:13" s="17" customFormat="1">
      <c r="A351" s="56"/>
      <c r="M351" s="65"/>
    </row>
    <row r="352" spans="1:13" s="17" customFormat="1">
      <c r="A352" s="56"/>
      <c r="M352" s="65"/>
    </row>
    <row r="353" spans="1:13" s="17" customFormat="1">
      <c r="A353" s="56"/>
      <c r="M353" s="65"/>
    </row>
    <row r="354" spans="1:13" s="17" customFormat="1">
      <c r="A354" s="56"/>
      <c r="M354" s="65"/>
    </row>
    <row r="355" spans="1:13" s="17" customFormat="1">
      <c r="A355" s="56"/>
      <c r="M355" s="65"/>
    </row>
    <row r="356" spans="1:13" s="17" customFormat="1">
      <c r="A356" s="56"/>
      <c r="M356" s="65"/>
    </row>
    <row r="357" spans="1:13" s="17" customFormat="1">
      <c r="A357" s="56"/>
      <c r="M357" s="65"/>
    </row>
    <row r="358" spans="1:13" s="17" customFormat="1">
      <c r="A358" s="56"/>
      <c r="M358" s="65"/>
    </row>
    <row r="359" spans="1:13" s="17" customFormat="1">
      <c r="A359" s="56"/>
      <c r="M359" s="65"/>
    </row>
    <row r="360" spans="1:13" s="17" customFormat="1">
      <c r="A360" s="56"/>
      <c r="M360" s="65"/>
    </row>
    <row r="361" spans="1:13" s="17" customFormat="1">
      <c r="A361" s="56"/>
      <c r="M361" s="65"/>
    </row>
    <row r="362" spans="1:13" s="17" customFormat="1">
      <c r="A362" s="56"/>
      <c r="M362" s="65"/>
    </row>
    <row r="363" spans="1:13" s="17" customFormat="1">
      <c r="A363" s="56"/>
      <c r="M363" s="65"/>
    </row>
    <row r="364" spans="1:13" s="17" customFormat="1">
      <c r="A364" s="56"/>
      <c r="M364" s="65"/>
    </row>
    <row r="365" spans="1:13" s="17" customFormat="1">
      <c r="A365" s="56"/>
      <c r="M365" s="65"/>
    </row>
    <row r="366" spans="1:13" s="17" customFormat="1">
      <c r="A366" s="56"/>
      <c r="M366" s="65"/>
    </row>
    <row r="367" spans="1:13" s="17" customFormat="1">
      <c r="A367" s="56"/>
      <c r="M367" s="65"/>
    </row>
    <row r="368" spans="1:13" s="17" customFormat="1">
      <c r="A368" s="56"/>
      <c r="M368" s="65"/>
    </row>
    <row r="369" spans="1:13" s="17" customFormat="1">
      <c r="A369" s="56"/>
      <c r="M369" s="65"/>
    </row>
    <row r="370" spans="1:13" s="17" customFormat="1">
      <c r="A370" s="56"/>
      <c r="M370" s="65"/>
    </row>
    <row r="371" spans="1:13" s="17" customFormat="1">
      <c r="A371" s="56"/>
      <c r="M371" s="65"/>
    </row>
    <row r="372" spans="1:13" s="17" customFormat="1">
      <c r="A372" s="56"/>
      <c r="M372" s="65"/>
    </row>
    <row r="373" spans="1:13" s="17" customFormat="1">
      <c r="A373" s="56"/>
      <c r="M373" s="65"/>
    </row>
    <row r="374" spans="1:13" s="17" customFormat="1">
      <c r="A374" s="56"/>
      <c r="M374" s="65"/>
    </row>
    <row r="375" spans="1:13" s="17" customFormat="1">
      <c r="A375" s="56"/>
      <c r="M375" s="65"/>
    </row>
    <row r="376" spans="1:13" s="17" customFormat="1">
      <c r="A376" s="56"/>
      <c r="M376" s="65"/>
    </row>
    <row r="377" spans="1:13" s="17" customFormat="1">
      <c r="A377" s="56"/>
      <c r="M377" s="65"/>
    </row>
    <row r="378" spans="1:13" s="17" customFormat="1">
      <c r="A378" s="56"/>
      <c r="M378" s="65"/>
    </row>
    <row r="379" spans="1:13" s="17" customFormat="1">
      <c r="A379" s="56"/>
      <c r="M379" s="65"/>
    </row>
    <row r="380" spans="1:13" s="17" customFormat="1">
      <c r="A380" s="56"/>
      <c r="M380" s="65"/>
    </row>
    <row r="381" spans="1:13" s="17" customFormat="1">
      <c r="A381" s="56"/>
      <c r="M381" s="65"/>
    </row>
    <row r="382" spans="1:13" s="17" customFormat="1">
      <c r="A382" s="56"/>
      <c r="M382" s="65"/>
    </row>
    <row r="383" spans="1:13" s="17" customFormat="1">
      <c r="A383" s="56"/>
      <c r="M383" s="65"/>
    </row>
    <row r="384" spans="1:13" s="17" customFormat="1">
      <c r="A384" s="56"/>
      <c r="M384" s="65"/>
    </row>
    <row r="385" spans="1:13" s="17" customFormat="1">
      <c r="A385" s="56"/>
      <c r="M385" s="65"/>
    </row>
    <row r="386" spans="1:13" s="17" customFormat="1">
      <c r="A386" s="56"/>
      <c r="M386" s="65"/>
    </row>
    <row r="387" spans="1:13" s="17" customFormat="1">
      <c r="A387" s="56"/>
      <c r="M387" s="65"/>
    </row>
    <row r="388" spans="1:13" s="17" customFormat="1">
      <c r="A388" s="56"/>
      <c r="M388" s="65"/>
    </row>
    <row r="389" spans="1:13" s="17" customFormat="1">
      <c r="A389" s="56"/>
      <c r="M389" s="65"/>
    </row>
    <row r="390" spans="1:13" s="17" customFormat="1">
      <c r="A390" s="56"/>
      <c r="M390" s="65"/>
    </row>
    <row r="391" spans="1:13" s="17" customFormat="1">
      <c r="A391" s="56"/>
      <c r="M391" s="65"/>
    </row>
    <row r="392" spans="1:13" s="17" customFormat="1">
      <c r="A392" s="56"/>
      <c r="M392" s="65"/>
    </row>
    <row r="393" spans="1:13" s="17" customFormat="1">
      <c r="A393" s="56"/>
      <c r="M393" s="65"/>
    </row>
    <row r="394" spans="1:13" s="17" customFormat="1">
      <c r="A394" s="56"/>
      <c r="M394" s="65"/>
    </row>
    <row r="395" spans="1:13" s="17" customFormat="1">
      <c r="A395" s="56"/>
      <c r="M395" s="65"/>
    </row>
    <row r="396" spans="1:13" s="17" customFormat="1">
      <c r="A396" s="56"/>
      <c r="M396" s="65"/>
    </row>
    <row r="397" spans="1:13" s="17" customFormat="1">
      <c r="A397" s="56"/>
      <c r="M397" s="65"/>
    </row>
    <row r="398" spans="1:13" s="17" customFormat="1">
      <c r="A398" s="56"/>
      <c r="M398" s="65"/>
    </row>
    <row r="399" spans="1:13" s="17" customFormat="1">
      <c r="A399" s="56"/>
      <c r="M399" s="65"/>
    </row>
    <row r="400" spans="1:13" s="17" customFormat="1">
      <c r="A400" s="56"/>
      <c r="M400" s="65"/>
    </row>
    <row r="401" spans="1:13" s="17" customFormat="1">
      <c r="A401" s="56"/>
      <c r="M401" s="65"/>
    </row>
    <row r="402" spans="1:13" s="17" customFormat="1">
      <c r="A402" s="56"/>
      <c r="M402" s="65"/>
    </row>
    <row r="403" spans="1:13" s="17" customFormat="1">
      <c r="A403" s="56"/>
      <c r="M403" s="65"/>
    </row>
    <row r="404" spans="1:13" s="17" customFormat="1">
      <c r="A404" s="56"/>
      <c r="M404" s="65"/>
    </row>
    <row r="405" spans="1:13" s="17" customFormat="1">
      <c r="A405" s="56"/>
      <c r="M405" s="65"/>
    </row>
    <row r="406" spans="1:13" s="17" customFormat="1">
      <c r="A406" s="56"/>
      <c r="M406" s="65"/>
    </row>
    <row r="407" spans="1:13" s="17" customFormat="1">
      <c r="A407" s="56"/>
      <c r="M407" s="65"/>
    </row>
    <row r="408" spans="1:13" s="17" customFormat="1">
      <c r="A408" s="56"/>
      <c r="M408" s="65"/>
    </row>
    <row r="409" spans="1:13" s="17" customFormat="1">
      <c r="A409" s="56"/>
      <c r="M409" s="65"/>
    </row>
    <row r="410" spans="1:13" s="17" customFormat="1">
      <c r="A410" s="56"/>
      <c r="M410" s="65"/>
    </row>
    <row r="411" spans="1:13" s="17" customFormat="1">
      <c r="A411" s="56"/>
      <c r="M411" s="65"/>
    </row>
    <row r="412" spans="1:13" s="17" customFormat="1">
      <c r="A412" s="56"/>
      <c r="M412" s="65"/>
    </row>
    <row r="413" spans="1:13" s="17" customFormat="1">
      <c r="A413" s="56"/>
      <c r="M413" s="65"/>
    </row>
    <row r="414" spans="1:13" s="17" customFormat="1">
      <c r="A414" s="56"/>
      <c r="M414" s="65"/>
    </row>
    <row r="415" spans="1:13" s="17" customFormat="1">
      <c r="A415" s="56"/>
      <c r="M415" s="65"/>
    </row>
    <row r="416" spans="1:13" s="17" customFormat="1">
      <c r="A416" s="56"/>
      <c r="M416" s="65"/>
    </row>
    <row r="417" spans="1:13" s="17" customFormat="1">
      <c r="A417" s="56"/>
      <c r="M417" s="65"/>
    </row>
    <row r="418" spans="1:13" s="17" customFormat="1">
      <c r="A418" s="56"/>
      <c r="M418" s="65"/>
    </row>
    <row r="419" spans="1:13" s="17" customFormat="1">
      <c r="A419" s="56"/>
      <c r="M419" s="65"/>
    </row>
    <row r="420" spans="1:13" s="17" customFormat="1">
      <c r="A420" s="56"/>
      <c r="M420" s="65"/>
    </row>
    <row r="421" spans="1:13" s="17" customFormat="1">
      <c r="A421" s="56"/>
      <c r="M421" s="65"/>
    </row>
    <row r="422" spans="1:13" s="17" customFormat="1">
      <c r="A422" s="56"/>
      <c r="M422" s="65"/>
    </row>
    <row r="423" spans="1:13" s="17" customFormat="1">
      <c r="A423" s="56"/>
      <c r="M423" s="65"/>
    </row>
    <row r="424" spans="1:13" s="17" customFormat="1">
      <c r="A424" s="56"/>
      <c r="M424" s="65"/>
    </row>
    <row r="425" spans="1:13" s="17" customFormat="1">
      <c r="A425" s="56"/>
      <c r="M425" s="65"/>
    </row>
    <row r="426" spans="1:13" s="17" customFormat="1">
      <c r="A426" s="56"/>
      <c r="M426" s="65"/>
    </row>
    <row r="427" spans="1:13" s="17" customFormat="1">
      <c r="A427" s="56"/>
      <c r="M427" s="65"/>
    </row>
    <row r="428" spans="1:13" s="17" customFormat="1">
      <c r="A428" s="56"/>
      <c r="M428" s="65"/>
    </row>
    <row r="429" spans="1:13" s="17" customFormat="1">
      <c r="A429" s="56"/>
      <c r="M429" s="65"/>
    </row>
    <row r="430" spans="1:13" s="17" customFormat="1">
      <c r="A430" s="56"/>
      <c r="M430" s="65"/>
    </row>
    <row r="431" spans="1:13" s="17" customFormat="1">
      <c r="A431" s="56"/>
      <c r="M431" s="65"/>
    </row>
    <row r="432" spans="1:13" s="17" customFormat="1">
      <c r="A432" s="56"/>
      <c r="M432" s="65"/>
    </row>
    <row r="433" spans="1:13" s="17" customFormat="1">
      <c r="A433" s="56"/>
      <c r="M433" s="65"/>
    </row>
    <row r="434" spans="1:13" s="17" customFormat="1">
      <c r="A434" s="56"/>
      <c r="M434" s="65"/>
    </row>
    <row r="435" spans="1:13" s="17" customFormat="1">
      <c r="A435" s="56"/>
      <c r="M435" s="65"/>
    </row>
    <row r="436" spans="1:13" s="17" customFormat="1">
      <c r="A436" s="56"/>
      <c r="M436" s="65"/>
    </row>
    <row r="437" spans="1:13" s="17" customFormat="1">
      <c r="A437" s="56"/>
      <c r="M437" s="65"/>
    </row>
    <row r="438" spans="1:13" s="17" customFormat="1">
      <c r="A438" s="56"/>
      <c r="M438" s="65"/>
    </row>
    <row r="439" spans="1:13" s="17" customFormat="1">
      <c r="A439" s="56"/>
      <c r="M439" s="65"/>
    </row>
    <row r="440" spans="1:13" s="17" customFormat="1">
      <c r="A440" s="56"/>
      <c r="M440" s="65"/>
    </row>
    <row r="441" spans="1:13" s="17" customFormat="1">
      <c r="A441" s="56"/>
      <c r="M441" s="65"/>
    </row>
    <row r="442" spans="1:13" s="17" customFormat="1">
      <c r="A442" s="56"/>
      <c r="M442" s="65"/>
    </row>
    <row r="443" spans="1:13" s="17" customFormat="1">
      <c r="A443" s="56"/>
      <c r="M443" s="65"/>
    </row>
    <row r="444" spans="1:13" s="17" customFormat="1">
      <c r="A444" s="56"/>
      <c r="M444" s="65"/>
    </row>
    <row r="445" spans="1:13" s="17" customFormat="1">
      <c r="A445" s="56"/>
      <c r="M445" s="65"/>
    </row>
    <row r="446" spans="1:13" s="17" customFormat="1">
      <c r="A446" s="56"/>
      <c r="M446" s="65"/>
    </row>
    <row r="447" spans="1:13" s="17" customFormat="1">
      <c r="A447" s="56"/>
      <c r="M447" s="65"/>
    </row>
    <row r="448" spans="1:13" s="17" customFormat="1">
      <c r="A448" s="56"/>
      <c r="M448" s="65"/>
    </row>
    <row r="449" spans="1:13" s="17" customFormat="1">
      <c r="A449" s="56"/>
      <c r="M449" s="65"/>
    </row>
    <row r="450" spans="1:13" s="17" customFormat="1">
      <c r="A450" s="56"/>
      <c r="M450" s="65"/>
    </row>
    <row r="451" spans="1:13" s="17" customFormat="1">
      <c r="A451" s="56"/>
      <c r="M451" s="65"/>
    </row>
    <row r="452" spans="1:13" s="17" customFormat="1">
      <c r="A452" s="56"/>
      <c r="M452" s="65"/>
    </row>
    <row r="453" spans="1:13" s="17" customFormat="1">
      <c r="A453" s="56"/>
      <c r="M453" s="65"/>
    </row>
    <row r="454" spans="1:13" s="17" customFormat="1">
      <c r="A454" s="56"/>
      <c r="M454" s="65"/>
    </row>
    <row r="455" spans="1:13" s="17" customFormat="1">
      <c r="A455" s="56"/>
      <c r="M455" s="65"/>
    </row>
    <row r="456" spans="1:13" s="17" customFormat="1">
      <c r="A456" s="56"/>
      <c r="M456" s="65"/>
    </row>
    <row r="457" spans="1:13" s="17" customFormat="1">
      <c r="A457" s="56"/>
      <c r="M457" s="65"/>
    </row>
    <row r="458" spans="1:13" s="17" customFormat="1">
      <c r="A458" s="56"/>
      <c r="M458" s="65"/>
    </row>
    <row r="459" spans="1:13" s="17" customFormat="1">
      <c r="A459" s="56"/>
      <c r="M459" s="65"/>
    </row>
    <row r="460" spans="1:13" s="17" customFormat="1">
      <c r="A460" s="56"/>
      <c r="M460" s="65"/>
    </row>
    <row r="461" spans="1:13" s="17" customFormat="1">
      <c r="A461" s="56"/>
      <c r="M461" s="65"/>
    </row>
    <row r="462" spans="1:13" s="17" customFormat="1">
      <c r="A462" s="56"/>
      <c r="M462" s="65"/>
    </row>
    <row r="463" spans="1:13" s="17" customFormat="1">
      <c r="A463" s="56"/>
      <c r="M463" s="65"/>
    </row>
    <row r="464" spans="1:13" s="17" customFormat="1">
      <c r="A464" s="56"/>
      <c r="M464" s="65"/>
    </row>
    <row r="465" spans="1:13" s="17" customFormat="1">
      <c r="A465" s="56"/>
      <c r="M465" s="65"/>
    </row>
    <row r="466" spans="1:13" s="17" customFormat="1">
      <c r="A466" s="56"/>
      <c r="M466" s="65"/>
    </row>
    <row r="467" spans="1:13" s="17" customFormat="1">
      <c r="A467" s="56"/>
      <c r="M467" s="65"/>
    </row>
    <row r="468" spans="1:13" s="17" customFormat="1">
      <c r="A468" s="56"/>
      <c r="M468" s="65"/>
    </row>
    <row r="469" spans="1:13" s="17" customFormat="1">
      <c r="A469" s="56"/>
      <c r="M469" s="65"/>
    </row>
    <row r="470" spans="1:13" s="17" customFormat="1">
      <c r="A470" s="56"/>
      <c r="M470" s="65"/>
    </row>
    <row r="471" spans="1:13" s="17" customFormat="1">
      <c r="A471" s="56"/>
      <c r="M471" s="65"/>
    </row>
    <row r="472" spans="1:13" s="17" customFormat="1">
      <c r="A472" s="56"/>
      <c r="M472" s="65"/>
    </row>
    <row r="473" spans="1:13" s="17" customFormat="1">
      <c r="A473" s="56"/>
      <c r="M473" s="65"/>
    </row>
    <row r="474" spans="1:13" s="17" customFormat="1">
      <c r="A474" s="56"/>
      <c r="M474" s="65"/>
    </row>
    <row r="475" spans="1:13" s="17" customFormat="1">
      <c r="A475" s="56"/>
      <c r="M475" s="65"/>
    </row>
    <row r="476" spans="1:13" s="17" customFormat="1">
      <c r="A476" s="56"/>
      <c r="M476" s="65"/>
    </row>
    <row r="477" spans="1:13" s="17" customFormat="1">
      <c r="A477" s="56"/>
      <c r="M477" s="65"/>
    </row>
    <row r="478" spans="1:13" s="17" customFormat="1">
      <c r="A478" s="56"/>
      <c r="M478" s="65"/>
    </row>
    <row r="479" spans="1:13" s="17" customFormat="1">
      <c r="A479" s="56"/>
      <c r="M479" s="65"/>
    </row>
    <row r="480" spans="1:13" s="17" customFormat="1">
      <c r="A480" s="56"/>
      <c r="M480" s="65"/>
    </row>
    <row r="481" spans="1:13" s="17" customFormat="1">
      <c r="A481" s="56"/>
      <c r="M481" s="65"/>
    </row>
    <row r="482" spans="1:13" s="17" customFormat="1">
      <c r="A482" s="56"/>
      <c r="M482" s="65"/>
    </row>
    <row r="483" spans="1:13" s="17" customFormat="1">
      <c r="A483" s="56"/>
      <c r="M483" s="65"/>
    </row>
    <row r="484" spans="1:13" s="17" customFormat="1">
      <c r="A484" s="56"/>
      <c r="M484" s="65"/>
    </row>
    <row r="485" spans="1:13" s="17" customFormat="1">
      <c r="A485" s="56"/>
      <c r="M485" s="65"/>
    </row>
    <row r="486" spans="1:13" s="17" customFormat="1">
      <c r="A486" s="56"/>
      <c r="M486" s="65"/>
    </row>
    <row r="487" spans="1:13" s="17" customFormat="1">
      <c r="A487" s="56"/>
      <c r="M487" s="65"/>
    </row>
    <row r="488" spans="1:13" s="17" customFormat="1">
      <c r="A488" s="56"/>
      <c r="M488" s="65"/>
    </row>
    <row r="489" spans="1:13" s="17" customFormat="1">
      <c r="A489" s="56"/>
      <c r="M489" s="65"/>
    </row>
    <row r="490" spans="1:13" s="17" customFormat="1">
      <c r="A490" s="56"/>
      <c r="M490" s="65"/>
    </row>
    <row r="491" spans="1:13" s="17" customFormat="1">
      <c r="A491" s="56"/>
      <c r="M491" s="65"/>
    </row>
    <row r="492" spans="1:13" s="17" customFormat="1">
      <c r="A492" s="56"/>
      <c r="M492" s="65"/>
    </row>
    <row r="493" spans="1:13" s="17" customFormat="1">
      <c r="A493" s="56"/>
      <c r="M493" s="65"/>
    </row>
    <row r="494" spans="1:13" s="17" customFormat="1">
      <c r="A494" s="56"/>
      <c r="M494" s="65"/>
    </row>
    <row r="495" spans="1:13" s="17" customFormat="1">
      <c r="A495" s="56"/>
      <c r="M495" s="65"/>
    </row>
    <row r="496" spans="1:13" s="17" customFormat="1">
      <c r="A496" s="56"/>
      <c r="M496" s="65"/>
    </row>
    <row r="497" spans="1:13" s="17" customFormat="1">
      <c r="A497" s="56"/>
      <c r="M497" s="65"/>
    </row>
    <row r="498" spans="1:13" s="17" customFormat="1">
      <c r="A498" s="56"/>
      <c r="M498" s="65"/>
    </row>
    <row r="499" spans="1:13" s="17" customFormat="1">
      <c r="A499" s="56"/>
      <c r="M499" s="65"/>
    </row>
    <row r="500" spans="1:13" s="17" customFormat="1">
      <c r="A500" s="56"/>
      <c r="M500" s="65"/>
    </row>
    <row r="501" spans="1:13" s="17" customFormat="1">
      <c r="A501" s="56"/>
      <c r="M501" s="65"/>
    </row>
    <row r="502" spans="1:13" s="17" customFormat="1">
      <c r="A502" s="56"/>
      <c r="M502" s="65"/>
    </row>
    <row r="503" spans="1:13" s="17" customFormat="1">
      <c r="A503" s="56"/>
      <c r="M503" s="65"/>
    </row>
    <row r="504" spans="1:13" s="17" customFormat="1">
      <c r="A504" s="56"/>
      <c r="M504" s="65"/>
    </row>
    <row r="505" spans="1:13" s="17" customFormat="1">
      <c r="A505" s="56"/>
      <c r="M505" s="65"/>
    </row>
    <row r="506" spans="1:13" s="17" customFormat="1">
      <c r="A506" s="56"/>
      <c r="M506" s="65"/>
    </row>
    <row r="507" spans="1:13" s="17" customFormat="1">
      <c r="A507" s="56"/>
      <c r="M507" s="65"/>
    </row>
    <row r="508" spans="1:13" s="17" customFormat="1">
      <c r="A508" s="56"/>
      <c r="M508" s="65"/>
    </row>
    <row r="509" spans="1:13" s="17" customFormat="1">
      <c r="A509" s="56"/>
      <c r="M509" s="65"/>
    </row>
    <row r="510" spans="1:13" s="17" customFormat="1">
      <c r="A510" s="56"/>
      <c r="M510" s="65"/>
    </row>
    <row r="511" spans="1:13" s="17" customFormat="1">
      <c r="A511" s="56"/>
      <c r="M511" s="65"/>
    </row>
    <row r="512" spans="1:13" s="17" customFormat="1">
      <c r="A512" s="56"/>
      <c r="M512" s="65"/>
    </row>
    <row r="513" spans="1:13" s="17" customFormat="1">
      <c r="A513" s="56"/>
      <c r="M513" s="65"/>
    </row>
    <row r="514" spans="1:13" s="17" customFormat="1">
      <c r="A514" s="56"/>
      <c r="M514" s="65"/>
    </row>
    <row r="515" spans="1:13" s="17" customFormat="1">
      <c r="A515" s="56"/>
      <c r="M515" s="65"/>
    </row>
    <row r="516" spans="1:13" s="17" customFormat="1">
      <c r="A516" s="56"/>
      <c r="M516" s="65"/>
    </row>
    <row r="517" spans="1:13" s="17" customFormat="1">
      <c r="A517" s="56"/>
      <c r="M517" s="65"/>
    </row>
    <row r="518" spans="1:13" s="17" customFormat="1">
      <c r="A518" s="56"/>
      <c r="M518" s="65"/>
    </row>
    <row r="519" spans="1:13" s="17" customFormat="1">
      <c r="A519" s="56"/>
      <c r="M519" s="65"/>
    </row>
    <row r="520" spans="1:13" s="17" customFormat="1">
      <c r="A520" s="56"/>
      <c r="M520" s="65"/>
    </row>
    <row r="521" spans="1:13" s="17" customFormat="1">
      <c r="A521" s="56"/>
      <c r="M521" s="65"/>
    </row>
    <row r="522" spans="1:13" s="17" customFormat="1">
      <c r="A522" s="56"/>
      <c r="M522" s="65"/>
    </row>
    <row r="523" spans="1:13" s="17" customFormat="1">
      <c r="A523" s="56"/>
      <c r="M523" s="65"/>
    </row>
    <row r="524" spans="1:13" s="17" customFormat="1">
      <c r="A524" s="56"/>
      <c r="M524" s="65"/>
    </row>
    <row r="525" spans="1:13" s="17" customFormat="1">
      <c r="A525" s="56"/>
      <c r="M525" s="65"/>
    </row>
    <row r="526" spans="1:13" s="17" customFormat="1">
      <c r="A526" s="56"/>
      <c r="M526" s="65"/>
    </row>
    <row r="527" spans="1:13" s="17" customFormat="1">
      <c r="A527" s="56"/>
      <c r="M527" s="65"/>
    </row>
    <row r="528" spans="1:13" s="17" customFormat="1">
      <c r="A528" s="56"/>
      <c r="M528" s="65"/>
    </row>
    <row r="529" spans="1:13" s="17" customFormat="1">
      <c r="A529" s="56"/>
      <c r="M529" s="65"/>
    </row>
    <row r="530" spans="1:13" s="17" customFormat="1">
      <c r="A530" s="56"/>
      <c r="M530" s="65"/>
    </row>
    <row r="531" spans="1:13" s="17" customFormat="1">
      <c r="A531" s="56"/>
      <c r="M531" s="65"/>
    </row>
    <row r="532" spans="1:13" s="17" customFormat="1">
      <c r="A532" s="56"/>
      <c r="M532" s="65"/>
    </row>
    <row r="533" spans="1:13" s="17" customFormat="1">
      <c r="A533" s="56"/>
      <c r="M533" s="65"/>
    </row>
    <row r="534" spans="1:13" s="17" customFormat="1">
      <c r="A534" s="56"/>
      <c r="M534" s="65"/>
    </row>
    <row r="535" spans="1:13" s="17" customFormat="1">
      <c r="A535" s="56"/>
      <c r="M535" s="65"/>
    </row>
    <row r="536" spans="1:13" s="17" customFormat="1">
      <c r="A536" s="56"/>
      <c r="M536" s="65"/>
    </row>
    <row r="537" spans="1:13" s="17" customFormat="1">
      <c r="A537" s="56"/>
      <c r="M537" s="65"/>
    </row>
    <row r="538" spans="1:13" s="17" customFormat="1">
      <c r="A538" s="56"/>
      <c r="M538" s="65"/>
    </row>
    <row r="539" spans="1:13" s="17" customFormat="1">
      <c r="A539" s="56"/>
      <c r="M539" s="65"/>
    </row>
    <row r="540" spans="1:13" s="17" customFormat="1">
      <c r="A540" s="56"/>
      <c r="M540" s="65"/>
    </row>
    <row r="541" spans="1:13" s="17" customFormat="1">
      <c r="A541" s="56"/>
      <c r="M541" s="65"/>
    </row>
    <row r="542" spans="1:13" s="17" customFormat="1">
      <c r="A542" s="56"/>
      <c r="M542" s="65"/>
    </row>
    <row r="543" spans="1:13" s="17" customFormat="1">
      <c r="A543" s="56"/>
      <c r="M543" s="65"/>
    </row>
    <row r="544" spans="1:13" s="17" customFormat="1">
      <c r="A544" s="56"/>
      <c r="M544" s="65"/>
    </row>
    <row r="545" spans="1:13" s="17" customFormat="1">
      <c r="A545" s="56"/>
      <c r="M545" s="65"/>
    </row>
    <row r="546" spans="1:13" s="17" customFormat="1">
      <c r="A546" s="56"/>
      <c r="M546" s="65"/>
    </row>
    <row r="547" spans="1:13" s="17" customFormat="1">
      <c r="A547" s="56"/>
      <c r="M547" s="65"/>
    </row>
    <row r="548" spans="1:13" s="17" customFormat="1">
      <c r="A548" s="56"/>
      <c r="M548" s="65"/>
    </row>
    <row r="549" spans="1:13" s="17" customFormat="1">
      <c r="A549" s="56"/>
      <c r="M549" s="65"/>
    </row>
    <row r="550" spans="1:13" s="17" customFormat="1">
      <c r="A550" s="56"/>
      <c r="M550" s="65"/>
    </row>
    <row r="551" spans="1:13" s="17" customFormat="1">
      <c r="A551" s="56"/>
      <c r="M551" s="65"/>
    </row>
    <row r="552" spans="1:13" s="17" customFormat="1">
      <c r="A552" s="56"/>
      <c r="M552" s="65"/>
    </row>
    <row r="553" spans="1:13" s="17" customFormat="1">
      <c r="A553" s="56"/>
      <c r="M553" s="65"/>
    </row>
    <row r="554" spans="1:13" s="17" customFormat="1">
      <c r="A554" s="56"/>
      <c r="M554" s="65"/>
    </row>
    <row r="555" spans="1:13" s="17" customFormat="1">
      <c r="A555" s="56"/>
      <c r="M555" s="65"/>
    </row>
    <row r="556" spans="1:13" s="17" customFormat="1">
      <c r="A556" s="56"/>
      <c r="M556" s="65"/>
    </row>
    <row r="557" spans="1:13" s="17" customFormat="1">
      <c r="A557" s="56"/>
      <c r="M557" s="65"/>
    </row>
    <row r="558" spans="1:13" s="17" customFormat="1">
      <c r="A558" s="56"/>
      <c r="M558" s="65"/>
    </row>
    <row r="559" spans="1:13" s="17" customFormat="1">
      <c r="A559" s="56"/>
      <c r="M559" s="65"/>
    </row>
    <row r="560" spans="1:13" s="17" customFormat="1">
      <c r="A560" s="56"/>
      <c r="M560" s="65"/>
    </row>
    <row r="561" spans="1:13" s="17" customFormat="1">
      <c r="A561" s="56"/>
      <c r="M561" s="65"/>
    </row>
    <row r="562" spans="1:13" s="17" customFormat="1">
      <c r="A562" s="56"/>
      <c r="M562" s="65"/>
    </row>
    <row r="563" spans="1:13" s="17" customFormat="1">
      <c r="A563" s="56"/>
      <c r="M563" s="65"/>
    </row>
    <row r="564" spans="1:13" s="17" customFormat="1">
      <c r="A564" s="56"/>
      <c r="M564" s="65"/>
    </row>
    <row r="565" spans="1:13" s="17" customFormat="1">
      <c r="A565" s="56"/>
      <c r="M565" s="65"/>
    </row>
    <row r="566" spans="1:13" s="17" customFormat="1">
      <c r="A566" s="56"/>
      <c r="M566" s="65"/>
    </row>
    <row r="567" spans="1:13" s="17" customFormat="1">
      <c r="A567" s="56"/>
      <c r="M567" s="65"/>
    </row>
    <row r="568" spans="1:13" s="17" customFormat="1">
      <c r="A568" s="56"/>
      <c r="M568" s="65"/>
    </row>
    <row r="569" spans="1:13" s="17" customFormat="1">
      <c r="A569" s="56"/>
      <c r="M569" s="65"/>
    </row>
    <row r="570" spans="1:13" s="17" customFormat="1">
      <c r="A570" s="56"/>
      <c r="M570" s="65"/>
    </row>
    <row r="571" spans="1:13" s="17" customFormat="1">
      <c r="A571" s="56"/>
      <c r="M571" s="65"/>
    </row>
    <row r="572" spans="1:13" s="17" customFormat="1">
      <c r="A572" s="56"/>
      <c r="M572" s="65"/>
    </row>
    <row r="573" spans="1:13" s="17" customFormat="1">
      <c r="A573" s="56"/>
      <c r="M573" s="65"/>
    </row>
    <row r="574" spans="1:13" s="17" customFormat="1">
      <c r="A574" s="56"/>
      <c r="M574" s="65"/>
    </row>
    <row r="575" spans="1:13" s="17" customFormat="1">
      <c r="A575" s="56"/>
      <c r="M575" s="65"/>
    </row>
    <row r="576" spans="1:13" s="17" customFormat="1">
      <c r="A576" s="56"/>
      <c r="M576" s="65"/>
    </row>
    <row r="577" spans="1:13" s="17" customFormat="1">
      <c r="A577" s="56"/>
      <c r="M577" s="65"/>
    </row>
    <row r="578" spans="1:13" s="17" customFormat="1">
      <c r="A578" s="56"/>
      <c r="M578" s="65"/>
    </row>
    <row r="579" spans="1:13" s="17" customFormat="1">
      <c r="A579" s="56"/>
      <c r="M579" s="65"/>
    </row>
    <row r="580" spans="1:13" s="17" customFormat="1">
      <c r="A580" s="56"/>
      <c r="M580" s="65"/>
    </row>
    <row r="581" spans="1:13" s="17" customFormat="1">
      <c r="A581" s="56"/>
      <c r="M581" s="65"/>
    </row>
    <row r="582" spans="1:13" s="17" customFormat="1">
      <c r="A582" s="56"/>
      <c r="M582" s="65"/>
    </row>
    <row r="583" spans="1:13" s="17" customFormat="1">
      <c r="A583" s="56"/>
      <c r="M583" s="65"/>
    </row>
    <row r="584" spans="1:13" s="17" customFormat="1">
      <c r="A584" s="56"/>
      <c r="M584" s="65"/>
    </row>
    <row r="585" spans="1:13" s="17" customFormat="1">
      <c r="A585" s="56"/>
      <c r="M585" s="65"/>
    </row>
    <row r="586" spans="1:13" s="17" customFormat="1">
      <c r="A586" s="56"/>
      <c r="M586" s="65"/>
    </row>
    <row r="587" spans="1:13" s="17" customFormat="1">
      <c r="A587" s="56"/>
      <c r="M587" s="65"/>
    </row>
    <row r="588" spans="1:13" s="17" customFormat="1">
      <c r="A588" s="56"/>
      <c r="M588" s="65"/>
    </row>
    <row r="589" spans="1:13" s="17" customFormat="1">
      <c r="A589" s="56"/>
      <c r="M589" s="65"/>
    </row>
    <row r="590" spans="1:13" s="17" customFormat="1">
      <c r="A590" s="56"/>
      <c r="M590" s="65"/>
    </row>
    <row r="591" spans="1:13" s="17" customFormat="1">
      <c r="A591" s="56"/>
      <c r="M591" s="65"/>
    </row>
    <row r="592" spans="1:13" s="17" customFormat="1">
      <c r="A592" s="56"/>
      <c r="M592" s="65"/>
    </row>
    <row r="593" spans="1:13" s="17" customFormat="1">
      <c r="A593" s="56"/>
      <c r="M593" s="65"/>
    </row>
    <row r="594" spans="1:13" s="17" customFormat="1">
      <c r="A594" s="56"/>
      <c r="M594" s="65"/>
    </row>
    <row r="595" spans="1:13" s="17" customFormat="1">
      <c r="A595" s="56"/>
      <c r="M595" s="65"/>
    </row>
    <row r="596" spans="1:13" s="17" customFormat="1">
      <c r="A596" s="56"/>
      <c r="M596" s="65"/>
    </row>
    <row r="597" spans="1:13" s="17" customFormat="1">
      <c r="A597" s="56"/>
      <c r="M597" s="65"/>
    </row>
    <row r="598" spans="1:13" s="17" customFormat="1">
      <c r="A598" s="56"/>
      <c r="M598" s="65"/>
    </row>
    <row r="599" spans="1:13" s="17" customFormat="1">
      <c r="A599" s="56"/>
      <c r="M599" s="65"/>
    </row>
    <row r="600" spans="1:13" s="17" customFormat="1">
      <c r="A600" s="56"/>
      <c r="M600" s="65"/>
    </row>
    <row r="601" spans="1:13" s="17" customFormat="1">
      <c r="A601" s="56"/>
      <c r="M601" s="65"/>
    </row>
    <row r="602" spans="1:13" s="17" customFormat="1">
      <c r="A602" s="56"/>
      <c r="M602" s="65"/>
    </row>
    <row r="603" spans="1:13" s="17" customFormat="1">
      <c r="A603" s="56"/>
      <c r="M603" s="65"/>
    </row>
    <row r="604" spans="1:13" s="17" customFormat="1">
      <c r="A604" s="56"/>
      <c r="M604" s="65"/>
    </row>
    <row r="605" spans="1:13" s="17" customFormat="1">
      <c r="A605" s="56"/>
      <c r="M605" s="65"/>
    </row>
    <row r="606" spans="1:13" s="17" customFormat="1">
      <c r="A606" s="56"/>
      <c r="M606" s="65"/>
    </row>
    <row r="607" spans="1:13" s="17" customFormat="1">
      <c r="A607" s="56"/>
      <c r="M607" s="65"/>
    </row>
    <row r="608" spans="1:13" s="17" customFormat="1">
      <c r="A608" s="56"/>
      <c r="M608" s="65"/>
    </row>
    <row r="609" spans="1:13" s="17" customFormat="1">
      <c r="A609" s="56"/>
      <c r="M609" s="65"/>
    </row>
    <row r="610" spans="1:13" s="17" customFormat="1">
      <c r="A610" s="56"/>
      <c r="M610" s="65"/>
    </row>
    <row r="611" spans="1:13" s="17" customFormat="1">
      <c r="A611" s="56"/>
      <c r="M611" s="65"/>
    </row>
    <row r="612" spans="1:13" s="17" customFormat="1">
      <c r="A612" s="56"/>
      <c r="M612" s="65"/>
    </row>
    <row r="613" spans="1:13" s="17" customFormat="1">
      <c r="A613" s="56"/>
      <c r="M613" s="65"/>
    </row>
    <row r="614" spans="1:13" s="17" customFormat="1">
      <c r="A614" s="56"/>
      <c r="M614" s="65"/>
    </row>
    <row r="615" spans="1:13" s="17" customFormat="1">
      <c r="A615" s="56"/>
      <c r="M615" s="65"/>
    </row>
    <row r="616" spans="1:13" s="17" customFormat="1">
      <c r="A616" s="56"/>
      <c r="M616" s="65"/>
    </row>
    <row r="617" spans="1:13" s="17" customFormat="1">
      <c r="A617" s="56"/>
      <c r="M617" s="65"/>
    </row>
    <row r="618" spans="1:13" s="17" customFormat="1">
      <c r="A618" s="56"/>
      <c r="M618" s="65"/>
    </row>
    <row r="619" spans="1:13" s="17" customFormat="1">
      <c r="A619" s="56"/>
      <c r="M619" s="65"/>
    </row>
    <row r="620" spans="1:13" s="17" customFormat="1">
      <c r="A620" s="56"/>
      <c r="M620" s="65"/>
    </row>
    <row r="621" spans="1:13" s="17" customFormat="1">
      <c r="A621" s="56"/>
      <c r="M621" s="65"/>
    </row>
    <row r="622" spans="1:13" s="17" customFormat="1">
      <c r="A622" s="56"/>
      <c r="M622" s="65"/>
    </row>
    <row r="623" spans="1:13" s="17" customFormat="1">
      <c r="A623" s="56"/>
      <c r="M623" s="65"/>
    </row>
    <row r="624" spans="1:13" s="17" customFormat="1">
      <c r="A624" s="56"/>
      <c r="M624" s="65"/>
    </row>
    <row r="625" spans="1:13" s="17" customFormat="1">
      <c r="A625" s="56"/>
      <c r="M625" s="65"/>
    </row>
    <row r="626" spans="1:13" s="17" customFormat="1">
      <c r="A626" s="56"/>
      <c r="M626" s="65"/>
    </row>
    <row r="627" spans="1:13" s="17" customFormat="1">
      <c r="A627" s="56"/>
      <c r="M627" s="65"/>
    </row>
    <row r="628" spans="1:13" s="17" customFormat="1">
      <c r="A628" s="56"/>
      <c r="M628" s="65"/>
    </row>
    <row r="629" spans="1:13" s="17" customFormat="1">
      <c r="A629" s="56"/>
      <c r="M629" s="65"/>
    </row>
    <row r="630" spans="1:13" s="17" customFormat="1">
      <c r="A630" s="56"/>
      <c r="M630" s="65"/>
    </row>
    <row r="631" spans="1:13" s="17" customFormat="1">
      <c r="A631" s="56"/>
      <c r="M631" s="65"/>
    </row>
    <row r="632" spans="1:13" s="17" customFormat="1">
      <c r="A632" s="56"/>
      <c r="M632" s="65"/>
    </row>
    <row r="633" spans="1:13" s="17" customFormat="1">
      <c r="A633" s="56"/>
      <c r="M633" s="65"/>
    </row>
    <row r="634" spans="1:13" s="17" customFormat="1">
      <c r="A634" s="56"/>
      <c r="M634" s="65"/>
    </row>
    <row r="635" spans="1:13" s="17" customFormat="1">
      <c r="A635" s="56"/>
      <c r="M635" s="65"/>
    </row>
    <row r="636" spans="1:13" s="17" customFormat="1">
      <c r="A636" s="56"/>
      <c r="M636" s="65"/>
    </row>
    <row r="637" spans="1:13" s="17" customFormat="1">
      <c r="A637" s="56"/>
      <c r="M637" s="65"/>
    </row>
    <row r="638" spans="1:13" s="17" customFormat="1">
      <c r="A638" s="56"/>
      <c r="M638" s="65"/>
    </row>
    <row r="639" spans="1:13" s="17" customFormat="1">
      <c r="A639" s="56"/>
      <c r="M639" s="65"/>
    </row>
    <row r="640" spans="1:13" s="17" customFormat="1">
      <c r="A640" s="56"/>
      <c r="M640" s="65"/>
    </row>
    <row r="641" spans="1:13" s="17" customFormat="1">
      <c r="A641" s="56"/>
      <c r="M641" s="65"/>
    </row>
    <row r="642" spans="1:13" s="17" customFormat="1">
      <c r="A642" s="56"/>
      <c r="M642" s="65"/>
    </row>
    <row r="643" spans="1:13" s="17" customFormat="1">
      <c r="A643" s="56"/>
      <c r="M643" s="65"/>
    </row>
    <row r="644" spans="1:13" s="17" customFormat="1">
      <c r="A644" s="56"/>
      <c r="M644" s="65"/>
    </row>
    <row r="645" spans="1:13" s="17" customFormat="1">
      <c r="A645" s="56"/>
      <c r="M645" s="65"/>
    </row>
    <row r="646" spans="1:13" s="17" customFormat="1">
      <c r="A646" s="56"/>
      <c r="M646" s="65"/>
    </row>
    <row r="647" spans="1:13" s="17" customFormat="1">
      <c r="A647" s="56"/>
      <c r="M647" s="65"/>
    </row>
    <row r="648" spans="1:13" s="17" customFormat="1">
      <c r="A648" s="56"/>
      <c r="M648" s="65"/>
    </row>
    <row r="649" spans="1:13" s="17" customFormat="1">
      <c r="A649" s="56"/>
      <c r="M649" s="65"/>
    </row>
    <row r="650" spans="1:13" s="17" customFormat="1">
      <c r="A650" s="56"/>
      <c r="M650" s="65"/>
    </row>
    <row r="651" spans="1:13" s="17" customFormat="1">
      <c r="A651" s="56"/>
      <c r="M651" s="65"/>
    </row>
    <row r="652" spans="1:13" s="17" customFormat="1">
      <c r="A652" s="56"/>
      <c r="M652" s="65"/>
    </row>
    <row r="653" spans="1:13" s="17" customFormat="1">
      <c r="A653" s="56"/>
      <c r="M653" s="65"/>
    </row>
    <row r="654" spans="1:13" s="17" customFormat="1">
      <c r="A654" s="56"/>
      <c r="M654" s="65"/>
    </row>
    <row r="655" spans="1:13" s="17" customFormat="1">
      <c r="A655" s="56"/>
      <c r="M655" s="65"/>
    </row>
    <row r="656" spans="1:13" s="17" customFormat="1">
      <c r="A656" s="56"/>
      <c r="M656" s="65"/>
    </row>
    <row r="657" spans="1:13" s="17" customFormat="1">
      <c r="A657" s="56"/>
      <c r="M657" s="65"/>
    </row>
    <row r="658" spans="1:13" s="17" customFormat="1">
      <c r="A658" s="56"/>
      <c r="M658" s="65"/>
    </row>
    <row r="659" spans="1:13" s="17" customFormat="1">
      <c r="A659" s="56"/>
      <c r="M659" s="65"/>
    </row>
    <row r="660" spans="1:13" s="17" customFormat="1">
      <c r="A660" s="56"/>
      <c r="M660" s="65"/>
    </row>
    <row r="661" spans="1:13" s="17" customFormat="1">
      <c r="A661" s="56"/>
      <c r="M661" s="65"/>
    </row>
    <row r="662" spans="1:13" s="17" customFormat="1">
      <c r="A662" s="56"/>
      <c r="M662" s="65"/>
    </row>
    <row r="663" spans="1:13" s="17" customFormat="1">
      <c r="A663" s="56"/>
      <c r="M663" s="65"/>
    </row>
    <row r="664" spans="1:13" s="17" customFormat="1">
      <c r="A664" s="56"/>
      <c r="M664" s="65"/>
    </row>
    <row r="665" spans="1:13" s="17" customFormat="1">
      <c r="A665" s="56"/>
      <c r="M665" s="65"/>
    </row>
    <row r="666" spans="1:13" s="17" customFormat="1">
      <c r="A666" s="56"/>
      <c r="M666" s="65"/>
    </row>
    <row r="667" spans="1:13" s="17" customFormat="1">
      <c r="A667" s="56"/>
      <c r="M667" s="65"/>
    </row>
    <row r="668" spans="1:13" s="17" customFormat="1">
      <c r="A668" s="56"/>
      <c r="M668" s="65"/>
    </row>
    <row r="669" spans="1:13" s="17" customFormat="1">
      <c r="A669" s="56"/>
      <c r="M669" s="65"/>
    </row>
    <row r="670" spans="1:13" s="17" customFormat="1">
      <c r="A670" s="56"/>
      <c r="M670" s="65"/>
    </row>
    <row r="671" spans="1:13" s="17" customFormat="1">
      <c r="A671" s="56"/>
      <c r="M671" s="65"/>
    </row>
    <row r="672" spans="1:13" s="17" customFormat="1">
      <c r="A672" s="56"/>
      <c r="M672" s="65"/>
    </row>
    <row r="673" spans="1:13" s="17" customFormat="1">
      <c r="A673" s="56"/>
      <c r="M673" s="65"/>
    </row>
    <row r="674" spans="1:13" s="17" customFormat="1">
      <c r="A674" s="56"/>
      <c r="M674" s="65"/>
    </row>
    <row r="675" spans="1:13" s="17" customFormat="1">
      <c r="A675" s="56"/>
      <c r="M675" s="65"/>
    </row>
    <row r="676" spans="1:13" s="17" customFormat="1">
      <c r="A676" s="56"/>
      <c r="M676" s="65"/>
    </row>
    <row r="677" spans="1:13" s="17" customFormat="1">
      <c r="A677" s="56"/>
      <c r="M677" s="65"/>
    </row>
    <row r="678" spans="1:13" s="17" customFormat="1">
      <c r="A678" s="56"/>
      <c r="M678" s="65"/>
    </row>
    <row r="679" spans="1:13" s="17" customFormat="1">
      <c r="A679" s="56"/>
      <c r="M679" s="65"/>
    </row>
    <row r="680" spans="1:13" s="17" customFormat="1">
      <c r="A680" s="56"/>
      <c r="M680" s="65"/>
    </row>
    <row r="681" spans="1:13" s="17" customFormat="1">
      <c r="A681" s="56"/>
      <c r="M681" s="65"/>
    </row>
    <row r="682" spans="1:13" s="17" customFormat="1">
      <c r="A682" s="56"/>
      <c r="M682" s="65"/>
    </row>
    <row r="683" spans="1:13" s="17" customFormat="1">
      <c r="A683" s="56"/>
      <c r="M683" s="65"/>
    </row>
    <row r="684" spans="1:13" s="17" customFormat="1">
      <c r="A684" s="56"/>
      <c r="M684" s="65"/>
    </row>
    <row r="685" spans="1:13" s="17" customFormat="1">
      <c r="A685" s="56"/>
      <c r="M685" s="65"/>
    </row>
    <row r="686" spans="1:13" s="17" customFormat="1">
      <c r="A686" s="56"/>
      <c r="M686" s="65"/>
    </row>
    <row r="687" spans="1:13" s="17" customFormat="1">
      <c r="A687" s="56"/>
      <c r="M687" s="65"/>
    </row>
    <row r="688" spans="1:13" s="17" customFormat="1">
      <c r="A688" s="56"/>
      <c r="M688" s="65"/>
    </row>
    <row r="689" spans="1:13" s="17" customFormat="1">
      <c r="A689" s="56"/>
      <c r="M689" s="65"/>
    </row>
    <row r="690" spans="1:13" s="17" customFormat="1">
      <c r="A690" s="56"/>
      <c r="M690" s="65"/>
    </row>
    <row r="691" spans="1:13" s="17" customFormat="1">
      <c r="A691" s="56"/>
      <c r="M691" s="65"/>
    </row>
    <row r="692" spans="1:13" s="17" customFormat="1">
      <c r="A692" s="56"/>
      <c r="M692" s="65"/>
    </row>
    <row r="693" spans="1:13" s="17" customFormat="1">
      <c r="A693" s="56"/>
      <c r="M693" s="65"/>
    </row>
    <row r="694" spans="1:13" s="17" customFormat="1">
      <c r="A694" s="56"/>
      <c r="M694" s="65"/>
    </row>
    <row r="695" spans="1:13" s="17" customFormat="1">
      <c r="A695" s="56"/>
      <c r="M695" s="65"/>
    </row>
    <row r="696" spans="1:13" s="17" customFormat="1">
      <c r="A696" s="56"/>
      <c r="M696" s="65"/>
    </row>
    <row r="697" spans="1:13" s="17" customFormat="1">
      <c r="A697" s="56"/>
      <c r="M697" s="65"/>
    </row>
    <row r="698" spans="1:13" s="17" customFormat="1">
      <c r="A698" s="56"/>
      <c r="M698" s="65"/>
    </row>
    <row r="699" spans="1:13" s="17" customFormat="1">
      <c r="A699" s="56"/>
      <c r="M699" s="65"/>
    </row>
    <row r="700" spans="1:13" s="17" customFormat="1">
      <c r="A700" s="56"/>
      <c r="M700" s="65"/>
    </row>
    <row r="701" spans="1:13" s="17" customFormat="1">
      <c r="A701" s="56"/>
      <c r="M701" s="65"/>
    </row>
    <row r="702" spans="1:13" s="17" customFormat="1">
      <c r="A702" s="56"/>
      <c r="M702" s="65"/>
    </row>
    <row r="703" spans="1:13" s="17" customFormat="1">
      <c r="A703" s="56"/>
      <c r="M703" s="65"/>
    </row>
    <row r="704" spans="1:13" s="17" customFormat="1">
      <c r="A704" s="56"/>
      <c r="M704" s="65"/>
    </row>
    <row r="705" spans="1:13" s="17" customFormat="1">
      <c r="A705" s="56"/>
      <c r="M705" s="65"/>
    </row>
    <row r="706" spans="1:13" s="17" customFormat="1">
      <c r="A706" s="56"/>
      <c r="M706" s="65"/>
    </row>
    <row r="707" spans="1:13" s="17" customFormat="1">
      <c r="A707" s="56"/>
      <c r="M707" s="65"/>
    </row>
    <row r="708" spans="1:13" s="17" customFormat="1">
      <c r="A708" s="56"/>
      <c r="M708" s="65"/>
    </row>
    <row r="709" spans="1:13" s="17" customFormat="1">
      <c r="A709" s="56"/>
      <c r="M709" s="65"/>
    </row>
    <row r="710" spans="1:13" s="17" customFormat="1">
      <c r="A710" s="56"/>
      <c r="M710" s="65"/>
    </row>
    <row r="711" spans="1:13" s="17" customFormat="1">
      <c r="A711" s="56"/>
      <c r="M711" s="65"/>
    </row>
    <row r="712" spans="1:13" s="17" customFormat="1">
      <c r="A712" s="56"/>
      <c r="M712" s="65"/>
    </row>
    <row r="713" spans="1:13" s="17" customFormat="1">
      <c r="A713" s="56"/>
      <c r="M713" s="65"/>
    </row>
    <row r="714" spans="1:13" s="17" customFormat="1">
      <c r="A714" s="56"/>
      <c r="M714" s="65"/>
    </row>
    <row r="715" spans="1:13" s="17" customFormat="1">
      <c r="A715" s="56"/>
      <c r="M715" s="65"/>
    </row>
    <row r="716" spans="1:13" s="17" customFormat="1">
      <c r="A716" s="56"/>
      <c r="M716" s="65"/>
    </row>
    <row r="717" spans="1:13" s="17" customFormat="1">
      <c r="A717" s="56"/>
      <c r="M717" s="65"/>
    </row>
    <row r="718" spans="1:13" s="17" customFormat="1">
      <c r="A718" s="56"/>
      <c r="M718" s="65"/>
    </row>
    <row r="719" spans="1:13" s="17" customFormat="1">
      <c r="A719" s="56"/>
      <c r="M719" s="65"/>
    </row>
    <row r="720" spans="1:13" s="17" customFormat="1">
      <c r="A720" s="56"/>
      <c r="M720" s="65"/>
    </row>
    <row r="721" spans="1:13" s="17" customFormat="1">
      <c r="A721" s="56"/>
      <c r="M721" s="65"/>
    </row>
    <row r="722" spans="1:13" s="17" customFormat="1">
      <c r="A722" s="56"/>
      <c r="M722" s="65"/>
    </row>
    <row r="723" spans="1:13" s="17" customFormat="1">
      <c r="A723" s="56"/>
      <c r="M723" s="65"/>
    </row>
    <row r="724" spans="1:13" s="17" customFormat="1">
      <c r="A724" s="56"/>
      <c r="M724" s="65"/>
    </row>
    <row r="725" spans="1:13" s="17" customFormat="1">
      <c r="A725" s="56"/>
      <c r="M725" s="65"/>
    </row>
    <row r="726" spans="1:13" s="17" customFormat="1">
      <c r="A726" s="56"/>
      <c r="M726" s="65"/>
    </row>
    <row r="727" spans="1:13" s="17" customFormat="1">
      <c r="A727" s="56"/>
      <c r="M727" s="65"/>
    </row>
    <row r="728" spans="1:13" s="17" customFormat="1">
      <c r="A728" s="56"/>
      <c r="M728" s="65"/>
    </row>
    <row r="729" spans="1:13" s="17" customFormat="1">
      <c r="A729" s="56"/>
      <c r="M729" s="65"/>
    </row>
    <row r="730" spans="1:13" s="17" customFormat="1">
      <c r="A730" s="56"/>
      <c r="M730" s="65"/>
    </row>
    <row r="731" spans="1:13" s="17" customFormat="1">
      <c r="A731" s="56"/>
      <c r="M731" s="65"/>
    </row>
    <row r="732" spans="1:13" s="17" customFormat="1">
      <c r="A732" s="56"/>
      <c r="M732" s="65"/>
    </row>
    <row r="733" spans="1:13" s="17" customFormat="1">
      <c r="A733" s="56"/>
      <c r="M733" s="65"/>
    </row>
    <row r="734" spans="1:13" s="17" customFormat="1">
      <c r="A734" s="56"/>
      <c r="M734" s="65"/>
    </row>
    <row r="735" spans="1:13" s="17" customFormat="1">
      <c r="A735" s="56"/>
      <c r="M735" s="65"/>
    </row>
    <row r="736" spans="1:13" s="17" customFormat="1">
      <c r="A736" s="56"/>
      <c r="M736" s="65"/>
    </row>
    <row r="737" spans="1:13" s="17" customFormat="1">
      <c r="A737" s="56"/>
      <c r="M737" s="65"/>
    </row>
    <row r="738" spans="1:13" s="17" customFormat="1">
      <c r="A738" s="56"/>
      <c r="M738" s="65"/>
    </row>
    <row r="739" spans="1:13" s="17" customFormat="1">
      <c r="A739" s="56"/>
      <c r="M739" s="65"/>
    </row>
    <row r="740" spans="1:13" s="17" customFormat="1">
      <c r="A740" s="56"/>
      <c r="M740" s="65"/>
    </row>
    <row r="741" spans="1:13" s="17" customFormat="1">
      <c r="A741" s="56"/>
      <c r="M741" s="65"/>
    </row>
    <row r="742" spans="1:13" s="17" customFormat="1">
      <c r="A742" s="56"/>
      <c r="M742" s="65"/>
    </row>
    <row r="743" spans="1:13" s="17" customFormat="1">
      <c r="A743" s="56"/>
      <c r="M743" s="65"/>
    </row>
    <row r="744" spans="1:13" s="17" customFormat="1">
      <c r="A744" s="56"/>
      <c r="M744" s="65"/>
    </row>
    <row r="745" spans="1:13" s="17" customFormat="1">
      <c r="A745" s="56"/>
      <c r="M745" s="65"/>
    </row>
    <row r="746" spans="1:13" s="17" customFormat="1">
      <c r="A746" s="56"/>
      <c r="M746" s="65"/>
    </row>
    <row r="747" spans="1:13" s="17" customFormat="1">
      <c r="A747" s="56"/>
      <c r="M747" s="65"/>
    </row>
    <row r="748" spans="1:13" s="17" customFormat="1">
      <c r="A748" s="56"/>
      <c r="M748" s="65"/>
    </row>
    <row r="749" spans="1:13" s="17" customFormat="1">
      <c r="A749" s="56"/>
      <c r="M749" s="65"/>
    </row>
    <row r="750" spans="1:13" s="17" customFormat="1">
      <c r="A750" s="56"/>
      <c r="M750" s="65"/>
    </row>
    <row r="751" spans="1:13" s="17" customFormat="1">
      <c r="A751" s="56"/>
      <c r="M751" s="65"/>
    </row>
    <row r="752" spans="1:13" s="17" customFormat="1">
      <c r="A752" s="56"/>
      <c r="M752" s="65"/>
    </row>
    <row r="753" spans="1:13" s="17" customFormat="1">
      <c r="A753" s="56"/>
      <c r="M753" s="65"/>
    </row>
    <row r="754" spans="1:13" s="17" customFormat="1">
      <c r="A754" s="56"/>
      <c r="M754" s="65"/>
    </row>
    <row r="755" spans="1:13" s="17" customFormat="1">
      <c r="A755" s="56"/>
      <c r="M755" s="65"/>
    </row>
    <row r="756" spans="1:13" s="17" customFormat="1">
      <c r="A756" s="56"/>
      <c r="M756" s="65"/>
    </row>
    <row r="757" spans="1:13" s="17" customFormat="1">
      <c r="A757" s="56"/>
      <c r="M757" s="65"/>
    </row>
    <row r="758" spans="1:13" s="17" customFormat="1">
      <c r="A758" s="56"/>
      <c r="M758" s="65"/>
    </row>
    <row r="759" spans="1:13" s="17" customFormat="1">
      <c r="A759" s="56"/>
      <c r="M759" s="65"/>
    </row>
    <row r="760" spans="1:13" s="17" customFormat="1">
      <c r="A760" s="56"/>
      <c r="M760" s="65"/>
    </row>
    <row r="761" spans="1:13" s="17" customFormat="1">
      <c r="A761" s="56"/>
      <c r="M761" s="65"/>
    </row>
    <row r="762" spans="1:13" s="17" customFormat="1">
      <c r="A762" s="56"/>
      <c r="M762" s="65"/>
    </row>
    <row r="763" spans="1:13" s="17" customFormat="1">
      <c r="A763" s="56"/>
      <c r="M763" s="65"/>
    </row>
    <row r="764" spans="1:13" s="17" customFormat="1">
      <c r="A764" s="56"/>
      <c r="M764" s="65"/>
    </row>
    <row r="765" spans="1:13" s="17" customFormat="1">
      <c r="A765" s="56"/>
      <c r="M765" s="65"/>
    </row>
    <row r="766" spans="1:13" s="17" customFormat="1">
      <c r="A766" s="56"/>
      <c r="M766" s="65"/>
    </row>
    <row r="767" spans="1:13" s="17" customFormat="1">
      <c r="A767" s="56"/>
      <c r="M767" s="65"/>
    </row>
    <row r="768" spans="1:13" s="17" customFormat="1">
      <c r="A768" s="56"/>
      <c r="M768" s="65"/>
    </row>
    <row r="769" spans="1:13" s="17" customFormat="1">
      <c r="A769" s="56"/>
      <c r="M769" s="65"/>
    </row>
    <row r="770" spans="1:13" s="17" customFormat="1">
      <c r="A770" s="56"/>
      <c r="M770" s="65"/>
    </row>
    <row r="771" spans="1:13" s="17" customFormat="1">
      <c r="A771" s="56"/>
      <c r="M771" s="65"/>
    </row>
    <row r="772" spans="1:13" s="17" customFormat="1">
      <c r="A772" s="56"/>
      <c r="M772" s="65"/>
    </row>
    <row r="773" spans="1:13" s="17" customFormat="1">
      <c r="A773" s="56"/>
      <c r="M773" s="65"/>
    </row>
    <row r="774" spans="1:13" s="17" customFormat="1">
      <c r="A774" s="56"/>
      <c r="M774" s="65"/>
    </row>
    <row r="775" spans="1:13" s="17" customFormat="1">
      <c r="A775" s="56"/>
      <c r="M775" s="65"/>
    </row>
    <row r="776" spans="1:13" s="17" customFormat="1">
      <c r="A776" s="56"/>
      <c r="M776" s="65"/>
    </row>
    <row r="777" spans="1:13" s="17" customFormat="1">
      <c r="A777" s="56"/>
      <c r="M777" s="65"/>
    </row>
    <row r="778" spans="1:13" s="17" customFormat="1">
      <c r="A778" s="56"/>
      <c r="M778" s="65"/>
    </row>
    <row r="779" spans="1:13" s="17" customFormat="1">
      <c r="A779" s="56"/>
      <c r="M779" s="65"/>
    </row>
    <row r="780" spans="1:13" s="17" customFormat="1">
      <c r="A780" s="56"/>
      <c r="M780" s="65"/>
    </row>
    <row r="781" spans="1:13" s="17" customFormat="1">
      <c r="A781" s="56"/>
      <c r="M781" s="65"/>
    </row>
    <row r="782" spans="1:13" s="17" customFormat="1">
      <c r="A782" s="56"/>
      <c r="M782" s="65"/>
    </row>
    <row r="783" spans="1:13" s="17" customFormat="1">
      <c r="A783" s="56"/>
      <c r="M783" s="65"/>
    </row>
    <row r="784" spans="1:13" s="17" customFormat="1">
      <c r="A784" s="56"/>
      <c r="M784" s="65"/>
    </row>
    <row r="785" spans="1:13" s="17" customFormat="1">
      <c r="A785" s="56"/>
      <c r="M785" s="65"/>
    </row>
    <row r="786" spans="1:13" s="17" customFormat="1">
      <c r="A786" s="56"/>
      <c r="M786" s="65"/>
    </row>
    <row r="787" spans="1:13" s="17" customFormat="1">
      <c r="A787" s="56"/>
      <c r="M787" s="65"/>
    </row>
    <row r="788" spans="1:13" s="17" customFormat="1">
      <c r="A788" s="56"/>
      <c r="M788" s="65"/>
    </row>
    <row r="789" spans="1:13" s="17" customFormat="1">
      <c r="A789" s="56"/>
      <c r="M789" s="65"/>
    </row>
    <row r="790" spans="1:13" s="17" customFormat="1">
      <c r="A790" s="56"/>
      <c r="M790" s="65"/>
    </row>
    <row r="791" spans="1:13" s="17" customFormat="1">
      <c r="A791" s="56"/>
      <c r="M791" s="65"/>
    </row>
    <row r="792" spans="1:13" s="17" customFormat="1">
      <c r="A792" s="56"/>
      <c r="M792" s="65"/>
    </row>
    <row r="793" spans="1:13" s="17" customFormat="1">
      <c r="A793" s="56"/>
      <c r="M793" s="65"/>
    </row>
    <row r="794" spans="1:13" s="17" customFormat="1">
      <c r="A794" s="56"/>
      <c r="M794" s="65"/>
    </row>
    <row r="795" spans="1:13" s="17" customFormat="1">
      <c r="A795" s="56"/>
      <c r="M795" s="65"/>
    </row>
    <row r="796" spans="1:13" s="17" customFormat="1">
      <c r="A796" s="56"/>
      <c r="M796" s="65"/>
    </row>
    <row r="797" spans="1:13" s="17" customFormat="1">
      <c r="A797" s="56"/>
      <c r="M797" s="65"/>
    </row>
    <row r="798" spans="1:13" s="17" customFormat="1">
      <c r="A798" s="56"/>
      <c r="M798" s="65"/>
    </row>
    <row r="799" spans="1:13" s="17" customFormat="1">
      <c r="A799" s="56"/>
      <c r="M799" s="65"/>
    </row>
    <row r="800" spans="1:13" s="17" customFormat="1">
      <c r="A800" s="56"/>
      <c r="M800" s="65"/>
    </row>
    <row r="801" spans="1:13" s="17" customFormat="1">
      <c r="A801" s="56"/>
      <c r="M801" s="65"/>
    </row>
    <row r="802" spans="1:13" s="17" customFormat="1">
      <c r="A802" s="56"/>
      <c r="M802" s="65"/>
    </row>
    <row r="803" spans="1:13" s="17" customFormat="1">
      <c r="A803" s="56"/>
      <c r="M803" s="65"/>
    </row>
    <row r="804" spans="1:13" s="17" customFormat="1">
      <c r="A804" s="56"/>
      <c r="M804" s="65"/>
    </row>
    <row r="805" spans="1:13" s="17" customFormat="1">
      <c r="A805" s="56"/>
      <c r="M805" s="65"/>
    </row>
    <row r="806" spans="1:13" s="17" customFormat="1">
      <c r="A806" s="56"/>
      <c r="M806" s="65"/>
    </row>
    <row r="807" spans="1:13" s="17" customFormat="1">
      <c r="A807" s="56"/>
      <c r="M807" s="65"/>
    </row>
    <row r="808" spans="1:13" s="17" customFormat="1">
      <c r="A808" s="56"/>
      <c r="M808" s="65"/>
    </row>
    <row r="809" spans="1:13" s="17" customFormat="1">
      <c r="A809" s="56"/>
      <c r="M809" s="65"/>
    </row>
    <row r="810" spans="1:13" s="17" customFormat="1">
      <c r="A810" s="56"/>
      <c r="M810" s="65"/>
    </row>
    <row r="811" spans="1:13" s="17" customFormat="1">
      <c r="A811" s="56"/>
      <c r="M811" s="65"/>
    </row>
    <row r="812" spans="1:13" s="17" customFormat="1">
      <c r="A812" s="56"/>
      <c r="M812" s="65"/>
    </row>
    <row r="813" spans="1:13" s="17" customFormat="1">
      <c r="A813" s="56"/>
      <c r="M813" s="65"/>
    </row>
    <row r="814" spans="1:13" s="17" customFormat="1">
      <c r="A814" s="56"/>
      <c r="M814" s="65"/>
    </row>
    <row r="815" spans="1:13" s="17" customFormat="1">
      <c r="A815" s="56"/>
      <c r="M815" s="65"/>
    </row>
    <row r="816" spans="1:13" s="17" customFormat="1">
      <c r="A816" s="56"/>
      <c r="M816" s="65"/>
    </row>
    <row r="817" spans="1:13" s="17" customFormat="1">
      <c r="A817" s="56"/>
      <c r="M817" s="65"/>
    </row>
    <row r="818" spans="1:13" s="17" customFormat="1">
      <c r="A818" s="56"/>
      <c r="M818" s="65"/>
    </row>
    <row r="819" spans="1:13" s="17" customFormat="1">
      <c r="A819" s="56"/>
      <c r="M819" s="65"/>
    </row>
    <row r="820" spans="1:13" s="17" customFormat="1">
      <c r="A820" s="56"/>
      <c r="M820" s="65"/>
    </row>
    <row r="821" spans="1:13" s="17" customFormat="1">
      <c r="A821" s="56"/>
      <c r="M821" s="65"/>
    </row>
    <row r="822" spans="1:13" s="17" customFormat="1">
      <c r="A822" s="56"/>
      <c r="M822" s="65"/>
    </row>
    <row r="823" spans="1:13" s="17" customFormat="1">
      <c r="A823" s="56"/>
      <c r="M823" s="65"/>
    </row>
    <row r="824" spans="1:13" s="17" customFormat="1">
      <c r="A824" s="56"/>
      <c r="M824" s="65"/>
    </row>
    <row r="825" spans="1:13" s="17" customFormat="1">
      <c r="A825" s="56"/>
      <c r="M825" s="65"/>
    </row>
    <row r="826" spans="1:13" s="17" customFormat="1">
      <c r="A826" s="56"/>
      <c r="M826" s="65"/>
    </row>
    <row r="827" spans="1:13" s="17" customFormat="1">
      <c r="A827" s="56"/>
      <c r="M827" s="65"/>
    </row>
    <row r="828" spans="1:13" s="17" customFormat="1">
      <c r="A828" s="56"/>
      <c r="M828" s="65"/>
    </row>
    <row r="829" spans="1:13" s="17" customFormat="1">
      <c r="A829" s="56"/>
      <c r="M829" s="65"/>
    </row>
    <row r="830" spans="1:13" s="17" customFormat="1">
      <c r="A830" s="56"/>
      <c r="M830" s="65"/>
    </row>
    <row r="831" spans="1:13" s="17" customFormat="1">
      <c r="A831" s="56"/>
      <c r="M831" s="65"/>
    </row>
    <row r="832" spans="1:13" s="17" customFormat="1">
      <c r="A832" s="56"/>
      <c r="M832" s="65"/>
    </row>
    <row r="833" spans="1:13" s="17" customFormat="1">
      <c r="A833" s="56"/>
      <c r="M833" s="65"/>
    </row>
    <row r="834" spans="1:13" s="17" customFormat="1">
      <c r="A834" s="56"/>
      <c r="M834" s="65"/>
    </row>
    <row r="835" spans="1:13" s="17" customFormat="1">
      <c r="A835" s="56"/>
      <c r="M835" s="65"/>
    </row>
    <row r="836" spans="1:13" s="17" customFormat="1">
      <c r="A836" s="56"/>
      <c r="M836" s="65"/>
    </row>
    <row r="837" spans="1:13" s="17" customFormat="1">
      <c r="A837" s="56"/>
      <c r="M837" s="65"/>
    </row>
    <row r="838" spans="1:13" s="17" customFormat="1">
      <c r="A838" s="56"/>
      <c r="M838" s="65"/>
    </row>
    <row r="839" spans="1:13" s="17" customFormat="1">
      <c r="A839" s="56"/>
      <c r="M839" s="65"/>
    </row>
    <row r="840" spans="1:13" s="17" customFormat="1">
      <c r="A840" s="56"/>
      <c r="M840" s="65"/>
    </row>
    <row r="841" spans="1:13" s="17" customFormat="1">
      <c r="A841" s="56"/>
      <c r="M841" s="65"/>
    </row>
    <row r="842" spans="1:13" s="17" customFormat="1">
      <c r="A842" s="56"/>
      <c r="M842" s="65"/>
    </row>
    <row r="843" spans="1:13" s="17" customFormat="1">
      <c r="A843" s="56"/>
      <c r="M843" s="65"/>
    </row>
    <row r="844" spans="1:13" s="17" customFormat="1">
      <c r="A844" s="56"/>
      <c r="M844" s="65"/>
    </row>
    <row r="845" spans="1:13" s="17" customFormat="1">
      <c r="A845" s="56"/>
      <c r="M845" s="65"/>
    </row>
    <row r="846" spans="1:13" s="17" customFormat="1">
      <c r="A846" s="56"/>
      <c r="M846" s="65"/>
    </row>
    <row r="847" spans="1:13" s="17" customFormat="1">
      <c r="A847" s="56"/>
      <c r="M847" s="65"/>
    </row>
    <row r="848" spans="1:13" s="17" customFormat="1">
      <c r="A848" s="56"/>
      <c r="M848" s="65"/>
    </row>
    <row r="849" spans="1:13" s="17" customFormat="1">
      <c r="A849" s="56"/>
      <c r="M849" s="65"/>
    </row>
    <row r="850" spans="1:13" s="17" customFormat="1">
      <c r="A850" s="56"/>
      <c r="M850" s="65"/>
    </row>
    <row r="851" spans="1:13" s="17" customFormat="1">
      <c r="A851" s="56"/>
      <c r="M851" s="65"/>
    </row>
    <row r="852" spans="1:13" s="17" customFormat="1">
      <c r="A852" s="56"/>
      <c r="M852" s="65"/>
    </row>
    <row r="853" spans="1:13" s="17" customFormat="1">
      <c r="A853" s="56"/>
      <c r="M853" s="65"/>
    </row>
    <row r="854" spans="1:13" s="17" customFormat="1">
      <c r="A854" s="56"/>
      <c r="M854" s="65"/>
    </row>
    <row r="855" spans="1:13" s="17" customFormat="1">
      <c r="A855" s="56"/>
      <c r="M855" s="65"/>
    </row>
    <row r="856" spans="1:13" s="17" customFormat="1">
      <c r="A856" s="56"/>
      <c r="M856" s="65"/>
    </row>
    <row r="857" spans="1:13" s="17" customFormat="1">
      <c r="A857" s="56"/>
      <c r="M857" s="65"/>
    </row>
    <row r="858" spans="1:13" s="17" customFormat="1">
      <c r="A858" s="56"/>
      <c r="M858" s="65"/>
    </row>
    <row r="859" spans="1:13" s="17" customFormat="1">
      <c r="A859" s="56"/>
      <c r="M859" s="65"/>
    </row>
    <row r="860" spans="1:13" s="17" customFormat="1">
      <c r="A860" s="56"/>
      <c r="M860" s="65"/>
    </row>
    <row r="861" spans="1:13" s="17" customFormat="1">
      <c r="A861" s="56"/>
      <c r="M861" s="65"/>
    </row>
    <row r="862" spans="1:13" s="17" customFormat="1">
      <c r="A862" s="56"/>
      <c r="M862" s="65"/>
    </row>
    <row r="863" spans="1:13" s="17" customFormat="1">
      <c r="A863" s="56"/>
      <c r="M863" s="65"/>
    </row>
    <row r="864" spans="1:13" s="17" customFormat="1">
      <c r="A864" s="56"/>
      <c r="M864" s="65"/>
    </row>
    <row r="865" spans="1:13" s="17" customFormat="1">
      <c r="A865" s="56"/>
      <c r="M865" s="65"/>
    </row>
    <row r="866" spans="1:13" s="17" customFormat="1">
      <c r="A866" s="56"/>
      <c r="M866" s="65"/>
    </row>
    <row r="867" spans="1:13" s="17" customFormat="1">
      <c r="A867" s="56"/>
      <c r="M867" s="65"/>
    </row>
    <row r="868" spans="1:13" s="17" customFormat="1">
      <c r="A868" s="56"/>
      <c r="M868" s="65"/>
    </row>
    <row r="869" spans="1:13" s="17" customFormat="1">
      <c r="A869" s="56"/>
      <c r="M869" s="65"/>
    </row>
    <row r="870" spans="1:13" s="17" customFormat="1">
      <c r="A870" s="56"/>
      <c r="M870" s="65"/>
    </row>
    <row r="871" spans="1:13" s="17" customFormat="1">
      <c r="A871" s="56"/>
      <c r="M871" s="65"/>
    </row>
    <row r="872" spans="1:13" s="17" customFormat="1">
      <c r="A872" s="56"/>
      <c r="M872" s="65"/>
    </row>
    <row r="873" spans="1:13" s="17" customFormat="1">
      <c r="A873" s="56"/>
      <c r="M873" s="65"/>
    </row>
    <row r="874" spans="1:13" s="17" customFormat="1">
      <c r="A874" s="56"/>
      <c r="M874" s="65"/>
    </row>
    <row r="875" spans="1:13" s="17" customFormat="1">
      <c r="A875" s="56"/>
      <c r="M875" s="65"/>
    </row>
    <row r="876" spans="1:13" s="17" customFormat="1">
      <c r="A876" s="56"/>
      <c r="M876" s="65"/>
    </row>
    <row r="877" spans="1:13" s="17" customFormat="1">
      <c r="A877" s="56"/>
      <c r="M877" s="65"/>
    </row>
    <row r="878" spans="1:13" s="17" customFormat="1">
      <c r="A878" s="56"/>
      <c r="M878" s="65"/>
    </row>
    <row r="879" spans="1:13" s="17" customFormat="1">
      <c r="A879" s="56"/>
      <c r="M879" s="65"/>
    </row>
    <row r="880" spans="1:13" s="17" customFormat="1">
      <c r="A880" s="56"/>
      <c r="M880" s="65"/>
    </row>
    <row r="881" spans="1:13" s="17" customFormat="1">
      <c r="A881" s="56"/>
      <c r="M881" s="65"/>
    </row>
    <row r="882" spans="1:13" s="17" customFormat="1">
      <c r="A882" s="56"/>
      <c r="M882" s="65"/>
    </row>
    <row r="883" spans="1:13" s="17" customFormat="1">
      <c r="A883" s="56"/>
      <c r="M883" s="65"/>
    </row>
    <row r="884" spans="1:13" s="17" customFormat="1">
      <c r="A884" s="56"/>
      <c r="M884" s="65"/>
    </row>
    <row r="885" spans="1:13" s="17" customFormat="1">
      <c r="A885" s="56"/>
      <c r="M885" s="65"/>
    </row>
    <row r="886" spans="1:13" s="17" customFormat="1">
      <c r="A886" s="56"/>
      <c r="M886" s="65"/>
    </row>
    <row r="887" spans="1:13" s="17" customFormat="1">
      <c r="A887" s="56"/>
      <c r="M887" s="65"/>
    </row>
    <row r="888" spans="1:13" s="17" customFormat="1">
      <c r="A888" s="56"/>
      <c r="M888" s="65"/>
    </row>
    <row r="889" spans="1:13" s="17" customFormat="1">
      <c r="A889" s="56"/>
      <c r="M889" s="65"/>
    </row>
    <row r="890" spans="1:13" s="17" customFormat="1">
      <c r="A890" s="56"/>
      <c r="M890" s="65"/>
    </row>
    <row r="891" spans="1:13" s="17" customFormat="1">
      <c r="A891" s="56"/>
      <c r="M891" s="65"/>
    </row>
    <row r="892" spans="1:13" s="17" customFormat="1">
      <c r="A892" s="56"/>
      <c r="M892" s="65"/>
    </row>
    <row r="893" spans="1:13" s="17" customFormat="1">
      <c r="A893" s="56"/>
      <c r="M893" s="65"/>
    </row>
    <row r="894" spans="1:13" s="17" customFormat="1">
      <c r="A894" s="56"/>
      <c r="M894" s="65"/>
    </row>
    <row r="895" spans="1:13" s="17" customFormat="1">
      <c r="A895" s="56"/>
      <c r="M895" s="65"/>
    </row>
    <row r="896" spans="1:13" s="17" customFormat="1">
      <c r="A896" s="56"/>
      <c r="M896" s="65"/>
    </row>
    <row r="897" spans="1:13" s="17" customFormat="1">
      <c r="A897" s="56"/>
      <c r="M897" s="65"/>
    </row>
    <row r="898" spans="1:13" s="17" customFormat="1">
      <c r="A898" s="56"/>
      <c r="M898" s="65"/>
    </row>
    <row r="899" spans="1:13" s="17" customFormat="1">
      <c r="A899" s="56"/>
      <c r="M899" s="65"/>
    </row>
    <row r="900" spans="1:13" s="17" customFormat="1">
      <c r="A900" s="56"/>
      <c r="M900" s="65"/>
    </row>
    <row r="901" spans="1:13" s="17" customFormat="1">
      <c r="A901" s="56"/>
      <c r="M901" s="65"/>
    </row>
    <row r="902" spans="1:13" s="17" customFormat="1">
      <c r="A902" s="56"/>
      <c r="M902" s="65"/>
    </row>
    <row r="903" spans="1:13" s="17" customFormat="1">
      <c r="A903" s="56"/>
      <c r="M903" s="65"/>
    </row>
    <row r="904" spans="1:13" s="17" customFormat="1">
      <c r="A904" s="56"/>
      <c r="M904" s="65"/>
    </row>
    <row r="905" spans="1:13" s="17" customFormat="1">
      <c r="A905" s="56"/>
      <c r="M905" s="65"/>
    </row>
    <row r="906" spans="1:13" s="17" customFormat="1">
      <c r="A906" s="56"/>
      <c r="M906" s="65"/>
    </row>
    <row r="907" spans="1:13" s="17" customFormat="1">
      <c r="A907" s="56"/>
      <c r="M907" s="65"/>
    </row>
    <row r="908" spans="1:13" s="17" customFormat="1">
      <c r="A908" s="56"/>
      <c r="M908" s="65"/>
    </row>
    <row r="909" spans="1:13" s="17" customFormat="1">
      <c r="A909" s="56"/>
      <c r="M909" s="65"/>
    </row>
    <row r="910" spans="1:13" s="17" customFormat="1">
      <c r="A910" s="56"/>
      <c r="M910" s="65"/>
    </row>
    <row r="911" spans="1:13" s="17" customFormat="1">
      <c r="A911" s="56"/>
      <c r="M911" s="65"/>
    </row>
    <row r="912" spans="1:13" s="17" customFormat="1">
      <c r="A912" s="56"/>
      <c r="M912" s="65"/>
    </row>
    <row r="913" spans="1:13" s="17" customFormat="1">
      <c r="A913" s="56"/>
      <c r="M913" s="65"/>
    </row>
    <row r="914" spans="1:13" s="17" customFormat="1">
      <c r="A914" s="56"/>
      <c r="M914" s="65"/>
    </row>
    <row r="915" spans="1:13" s="17" customFormat="1">
      <c r="A915" s="56"/>
      <c r="M915" s="65"/>
    </row>
    <row r="916" spans="1:13" s="17" customFormat="1">
      <c r="A916" s="56"/>
      <c r="M916" s="65"/>
    </row>
    <row r="917" spans="1:13" s="17" customFormat="1">
      <c r="A917" s="56"/>
      <c r="M917" s="65"/>
    </row>
    <row r="918" spans="1:13" s="17" customFormat="1">
      <c r="A918" s="56"/>
      <c r="M918" s="65"/>
    </row>
    <row r="919" spans="1:13" s="17" customFormat="1">
      <c r="A919" s="56"/>
      <c r="M919" s="65"/>
    </row>
    <row r="920" spans="1:13" s="17" customFormat="1">
      <c r="A920" s="56"/>
      <c r="M920" s="65"/>
    </row>
    <row r="921" spans="1:13" s="17" customFormat="1">
      <c r="A921" s="56"/>
      <c r="M921" s="65"/>
    </row>
    <row r="922" spans="1:13" s="17" customFormat="1">
      <c r="A922" s="56"/>
      <c r="M922" s="65"/>
    </row>
    <row r="923" spans="1:13" s="17" customFormat="1">
      <c r="A923" s="56"/>
      <c r="M923" s="65"/>
    </row>
    <row r="924" spans="1:13" s="17" customFormat="1">
      <c r="A924" s="56"/>
      <c r="M924" s="65"/>
    </row>
    <row r="925" spans="1:13" s="17" customFormat="1">
      <c r="A925" s="56"/>
      <c r="M925" s="65"/>
    </row>
    <row r="926" spans="1:13" s="17" customFormat="1">
      <c r="A926" s="56"/>
      <c r="M926" s="65"/>
    </row>
    <row r="927" spans="1:13" s="17" customFormat="1">
      <c r="A927" s="56"/>
      <c r="M927" s="65"/>
    </row>
    <row r="928" spans="1:13" s="17" customFormat="1">
      <c r="A928" s="56"/>
      <c r="M928" s="65"/>
    </row>
    <row r="929" spans="1:13" s="17" customFormat="1">
      <c r="A929" s="56"/>
      <c r="M929" s="65"/>
    </row>
    <row r="930" spans="1:13" s="17" customFormat="1">
      <c r="A930" s="56"/>
      <c r="M930" s="65"/>
    </row>
    <row r="931" spans="1:13" s="17" customFormat="1">
      <c r="A931" s="56"/>
      <c r="M931" s="65"/>
    </row>
    <row r="932" spans="1:13" s="17" customFormat="1">
      <c r="A932" s="56"/>
      <c r="M932" s="65"/>
    </row>
    <row r="933" spans="1:13" s="17" customFormat="1">
      <c r="A933" s="56"/>
      <c r="M933" s="65"/>
    </row>
    <row r="934" spans="1:13" s="17" customFormat="1">
      <c r="A934" s="56"/>
      <c r="M934" s="65"/>
    </row>
    <row r="935" spans="1:13" s="17" customFormat="1">
      <c r="A935" s="56"/>
      <c r="M935" s="65"/>
    </row>
    <row r="936" spans="1:13" s="17" customFormat="1">
      <c r="A936" s="56"/>
      <c r="M936" s="65"/>
    </row>
    <row r="937" spans="1:13" s="17" customFormat="1">
      <c r="A937" s="56"/>
      <c r="M937" s="65"/>
    </row>
    <row r="938" spans="1:13" s="17" customFormat="1">
      <c r="A938" s="56"/>
      <c r="M938" s="65"/>
    </row>
    <row r="939" spans="1:13" s="17" customFormat="1">
      <c r="A939" s="56"/>
      <c r="M939" s="65"/>
    </row>
    <row r="940" spans="1:13" s="17" customFormat="1">
      <c r="A940" s="56"/>
      <c r="M940" s="65"/>
    </row>
    <row r="941" spans="1:13" s="17" customFormat="1">
      <c r="A941" s="56"/>
      <c r="M941" s="65"/>
    </row>
    <row r="942" spans="1:13" s="17" customFormat="1">
      <c r="A942" s="56"/>
      <c r="M942" s="65"/>
    </row>
    <row r="943" spans="1:13" s="17" customFormat="1">
      <c r="A943" s="56"/>
      <c r="M943" s="65"/>
    </row>
    <row r="944" spans="1:13" s="17" customFormat="1">
      <c r="A944" s="56"/>
      <c r="M944" s="65"/>
    </row>
    <row r="945" spans="1:13" s="17" customFormat="1">
      <c r="A945" s="56"/>
      <c r="M945" s="65"/>
    </row>
    <row r="946" spans="1:13" s="17" customFormat="1">
      <c r="A946" s="56"/>
      <c r="M946" s="65"/>
    </row>
    <row r="947" spans="1:13" s="17" customFormat="1">
      <c r="A947" s="56"/>
      <c r="M947" s="65"/>
    </row>
    <row r="948" spans="1:13" s="17" customFormat="1">
      <c r="A948" s="56"/>
      <c r="M948" s="65"/>
    </row>
    <row r="949" spans="1:13" s="17" customFormat="1">
      <c r="A949" s="56"/>
      <c r="M949" s="65"/>
    </row>
    <row r="950" spans="1:13" s="17" customFormat="1">
      <c r="A950" s="56"/>
      <c r="M950" s="65"/>
    </row>
    <row r="951" spans="1:13" s="17" customFormat="1">
      <c r="A951" s="56"/>
      <c r="M951" s="65"/>
    </row>
    <row r="952" spans="1:13" s="17" customFormat="1">
      <c r="A952" s="56"/>
      <c r="M952" s="65"/>
    </row>
    <row r="953" spans="1:13" s="17" customFormat="1">
      <c r="A953" s="56"/>
      <c r="M953" s="65"/>
    </row>
    <row r="954" spans="1:13" s="17" customFormat="1">
      <c r="A954" s="56"/>
      <c r="M954" s="65"/>
    </row>
    <row r="955" spans="1:13" s="17" customFormat="1">
      <c r="A955" s="56"/>
      <c r="M955" s="65"/>
    </row>
    <row r="956" spans="1:13" s="17" customFormat="1">
      <c r="A956" s="56"/>
      <c r="M956" s="65"/>
    </row>
    <row r="957" spans="1:13" s="17" customFormat="1">
      <c r="A957" s="56"/>
      <c r="M957" s="65"/>
    </row>
    <row r="958" spans="1:13" s="17" customFormat="1">
      <c r="A958" s="56"/>
      <c r="M958" s="65"/>
    </row>
    <row r="959" spans="1:13" s="17" customFormat="1">
      <c r="A959" s="56"/>
      <c r="M959" s="65"/>
    </row>
    <row r="960" spans="1:13" s="17" customFormat="1">
      <c r="A960" s="56"/>
      <c r="M960" s="65"/>
    </row>
    <row r="961" spans="1:13" s="17" customFormat="1">
      <c r="A961" s="56"/>
      <c r="M961" s="65"/>
    </row>
    <row r="962" spans="1:13" s="17" customFormat="1">
      <c r="A962" s="56"/>
      <c r="M962" s="65"/>
    </row>
    <row r="963" spans="1:13" s="17" customFormat="1">
      <c r="A963" s="56"/>
      <c r="M963" s="65"/>
    </row>
    <row r="964" spans="1:13" s="17" customFormat="1">
      <c r="A964" s="56"/>
      <c r="M964" s="65"/>
    </row>
    <row r="965" spans="1:13" s="17" customFormat="1">
      <c r="A965" s="56"/>
      <c r="M965" s="65"/>
    </row>
    <row r="966" spans="1:13" s="17" customFormat="1">
      <c r="A966" s="56"/>
      <c r="M966" s="65"/>
    </row>
    <row r="967" spans="1:13" s="17" customFormat="1">
      <c r="A967" s="56"/>
      <c r="M967" s="65"/>
    </row>
    <row r="968" spans="1:13" s="17" customFormat="1">
      <c r="A968" s="56"/>
      <c r="M968" s="65"/>
    </row>
    <row r="969" spans="1:13" s="17" customFormat="1">
      <c r="A969" s="56"/>
      <c r="M969" s="65"/>
    </row>
    <row r="970" spans="1:13" s="17" customFormat="1">
      <c r="A970" s="56"/>
      <c r="M970" s="65"/>
    </row>
    <row r="971" spans="1:13" s="17" customFormat="1">
      <c r="A971" s="56"/>
      <c r="M971" s="65"/>
    </row>
    <row r="972" spans="1:13" s="17" customFormat="1">
      <c r="A972" s="56"/>
      <c r="M972" s="65"/>
    </row>
    <row r="973" spans="1:13" s="17" customFormat="1">
      <c r="A973" s="56"/>
      <c r="M973" s="65"/>
    </row>
    <row r="974" spans="1:13" s="17" customFormat="1">
      <c r="A974" s="56"/>
      <c r="M974" s="65"/>
    </row>
    <row r="975" spans="1:13" s="17" customFormat="1">
      <c r="A975" s="56"/>
      <c r="M975" s="65"/>
    </row>
    <row r="976" spans="1:13" s="17" customFormat="1">
      <c r="A976" s="56"/>
      <c r="M976" s="65"/>
    </row>
    <row r="977" spans="1:13" s="17" customFormat="1">
      <c r="A977" s="56"/>
      <c r="M977" s="65"/>
    </row>
    <row r="978" spans="1:13" s="17" customFormat="1">
      <c r="A978" s="56"/>
      <c r="M978" s="65"/>
    </row>
    <row r="979" spans="1:13" s="17" customFormat="1">
      <c r="A979" s="56"/>
      <c r="M979" s="65"/>
    </row>
    <row r="980" spans="1:13" s="17" customFormat="1">
      <c r="A980" s="56"/>
      <c r="M980" s="65"/>
    </row>
    <row r="981" spans="1:13" s="17" customFormat="1">
      <c r="A981" s="56"/>
      <c r="M981" s="65"/>
    </row>
    <row r="982" spans="1:13" s="17" customFormat="1">
      <c r="A982" s="56"/>
      <c r="M982" s="65"/>
    </row>
    <row r="983" spans="1:13" s="17" customFormat="1">
      <c r="A983" s="56"/>
      <c r="M983" s="65"/>
    </row>
    <row r="984" spans="1:13" s="17" customFormat="1">
      <c r="A984" s="56"/>
      <c r="M984" s="65"/>
    </row>
    <row r="985" spans="1:13" s="17" customFormat="1">
      <c r="A985" s="56"/>
      <c r="M985" s="65"/>
    </row>
    <row r="986" spans="1:13" s="17" customFormat="1">
      <c r="A986" s="56"/>
      <c r="M986" s="65"/>
    </row>
    <row r="987" spans="1:13" s="17" customFormat="1">
      <c r="A987" s="56"/>
      <c r="M987" s="65"/>
    </row>
    <row r="988" spans="1:13" s="17" customFormat="1">
      <c r="A988" s="56"/>
      <c r="M988" s="65"/>
    </row>
    <row r="989" spans="1:13" s="17" customFormat="1">
      <c r="A989" s="56"/>
      <c r="M989" s="65"/>
    </row>
    <row r="990" spans="1:13" s="17" customFormat="1">
      <c r="A990" s="56"/>
      <c r="M990" s="65"/>
    </row>
    <row r="991" spans="1:13" s="17" customFormat="1">
      <c r="A991" s="56"/>
      <c r="M991" s="65"/>
    </row>
    <row r="992" spans="1:13" s="17" customFormat="1">
      <c r="A992" s="56"/>
      <c r="M992" s="65"/>
    </row>
    <row r="993" spans="1:13" s="17" customFormat="1">
      <c r="A993" s="56"/>
      <c r="M993" s="65"/>
    </row>
    <row r="994" spans="1:13" s="17" customFormat="1">
      <c r="A994" s="56"/>
      <c r="M994" s="65"/>
    </row>
    <row r="995" spans="1:13" s="17" customFormat="1">
      <c r="A995" s="56"/>
      <c r="M995" s="65"/>
    </row>
    <row r="996" spans="1:13" s="17" customFormat="1">
      <c r="A996" s="56"/>
      <c r="M996" s="65"/>
    </row>
    <row r="997" spans="1:13" s="17" customFormat="1">
      <c r="A997" s="56"/>
      <c r="M997" s="65"/>
    </row>
    <row r="998" spans="1:13" s="17" customFormat="1">
      <c r="A998" s="56"/>
      <c r="M998" s="65"/>
    </row>
    <row r="999" spans="1:13" s="17" customFormat="1">
      <c r="A999" s="56"/>
      <c r="M999" s="65"/>
    </row>
    <row r="1000" spans="1:13" s="17" customFormat="1">
      <c r="A1000" s="56"/>
      <c r="M1000" s="65"/>
    </row>
    <row r="1001" spans="1:13" s="17" customFormat="1">
      <c r="A1001" s="56"/>
      <c r="M1001" s="65"/>
    </row>
    <row r="1002" spans="1:13" s="17" customFormat="1">
      <c r="A1002" s="56"/>
      <c r="M1002" s="65"/>
    </row>
    <row r="1003" spans="1:13" s="17" customFormat="1">
      <c r="A1003" s="56"/>
      <c r="M1003" s="65"/>
    </row>
    <row r="1004" spans="1:13" s="17" customFormat="1">
      <c r="A1004" s="56"/>
      <c r="M1004" s="65"/>
    </row>
    <row r="1005" spans="1:13" s="17" customFormat="1">
      <c r="A1005" s="56"/>
      <c r="M1005" s="65"/>
    </row>
    <row r="1006" spans="1:13" s="17" customFormat="1">
      <c r="A1006" s="56"/>
      <c r="M1006" s="65"/>
    </row>
    <row r="1007" spans="1:13" s="17" customFormat="1">
      <c r="A1007" s="56"/>
      <c r="M1007" s="65"/>
    </row>
    <row r="1008" spans="1:13" s="17" customFormat="1">
      <c r="A1008" s="56"/>
      <c r="M1008" s="65"/>
    </row>
    <row r="1009" spans="1:13" s="17" customFormat="1">
      <c r="A1009" s="56"/>
      <c r="M1009" s="65"/>
    </row>
    <row r="1010" spans="1:13" s="17" customFormat="1">
      <c r="A1010" s="56"/>
      <c r="M1010" s="65"/>
    </row>
    <row r="1011" spans="1:13" s="17" customFormat="1">
      <c r="A1011" s="56"/>
      <c r="M1011" s="65"/>
    </row>
    <row r="1012" spans="1:13" s="17" customFormat="1">
      <c r="A1012" s="56"/>
      <c r="M1012" s="65"/>
    </row>
    <row r="1013" spans="1:13" s="17" customFormat="1">
      <c r="A1013" s="56"/>
      <c r="M1013" s="65"/>
    </row>
    <row r="1014" spans="1:13" s="17" customFormat="1">
      <c r="A1014" s="56"/>
      <c r="M1014" s="65"/>
    </row>
    <row r="1015" spans="1:13" s="17" customFormat="1">
      <c r="A1015" s="56"/>
      <c r="M1015" s="65"/>
    </row>
    <row r="1016" spans="1:13" s="17" customFormat="1">
      <c r="A1016" s="56"/>
      <c r="M1016" s="65"/>
    </row>
    <row r="1017" spans="1:13" s="17" customFormat="1">
      <c r="A1017" s="56"/>
      <c r="M1017" s="65"/>
    </row>
    <row r="1018" spans="1:13" s="17" customFormat="1">
      <c r="A1018" s="56"/>
      <c r="M1018" s="65"/>
    </row>
    <row r="1019" spans="1:13" s="17" customFormat="1">
      <c r="A1019" s="56"/>
      <c r="M1019" s="65"/>
    </row>
    <row r="1020" spans="1:13" s="17" customFormat="1">
      <c r="A1020" s="56"/>
      <c r="M1020" s="65"/>
    </row>
    <row r="1021" spans="1:13" s="17" customFormat="1">
      <c r="A1021" s="56"/>
      <c r="M1021" s="65"/>
    </row>
    <row r="1022" spans="1:13" s="17" customFormat="1">
      <c r="A1022" s="56"/>
      <c r="M1022" s="65"/>
    </row>
    <row r="1023" spans="1:13" s="17" customFormat="1">
      <c r="A1023" s="56"/>
      <c r="M1023" s="65"/>
    </row>
    <row r="1024" spans="1:13" s="17" customFormat="1">
      <c r="A1024" s="56"/>
      <c r="M1024" s="65"/>
    </row>
    <row r="1025" spans="1:13" s="17" customFormat="1">
      <c r="A1025" s="56"/>
      <c r="M1025" s="65"/>
    </row>
    <row r="1026" spans="1:13" s="17" customFormat="1">
      <c r="A1026" s="56"/>
      <c r="M1026" s="65"/>
    </row>
    <row r="1027" spans="1:13" s="17" customFormat="1">
      <c r="A1027" s="56"/>
      <c r="M1027" s="65"/>
    </row>
    <row r="1028" spans="1:13" s="17" customFormat="1">
      <c r="A1028" s="56"/>
      <c r="M1028" s="65"/>
    </row>
    <row r="1029" spans="1:13" s="17" customFormat="1">
      <c r="A1029" s="56"/>
      <c r="M1029" s="65"/>
    </row>
    <row r="1030" spans="1:13" s="17" customFormat="1">
      <c r="A1030" s="56"/>
      <c r="M1030" s="65"/>
    </row>
    <row r="1031" spans="1:13" s="17" customFormat="1">
      <c r="A1031" s="56"/>
      <c r="M1031" s="65"/>
    </row>
    <row r="1032" spans="1:13" s="17" customFormat="1">
      <c r="A1032" s="56"/>
      <c r="M1032" s="65"/>
    </row>
    <row r="1033" spans="1:13" s="17" customFormat="1">
      <c r="A1033" s="56"/>
      <c r="M1033" s="65"/>
    </row>
    <row r="1034" spans="1:13" s="17" customFormat="1">
      <c r="A1034" s="56"/>
      <c r="M1034" s="65"/>
    </row>
    <row r="1035" spans="1:13" s="17" customFormat="1">
      <c r="A1035" s="56"/>
      <c r="M1035" s="65"/>
    </row>
    <row r="1036" spans="1:13" s="17" customFormat="1">
      <c r="A1036" s="56"/>
      <c r="M1036" s="65"/>
    </row>
    <row r="1037" spans="1:13" s="17" customFormat="1">
      <c r="A1037" s="56"/>
      <c r="M1037" s="65"/>
    </row>
    <row r="1038" spans="1:13" s="17" customFormat="1">
      <c r="A1038" s="56"/>
      <c r="M1038" s="65"/>
    </row>
    <row r="1039" spans="1:13" s="17" customFormat="1">
      <c r="A1039" s="56"/>
      <c r="M1039" s="65"/>
    </row>
    <row r="1040" spans="1:13" s="17" customFormat="1">
      <c r="A1040" s="56"/>
      <c r="M1040" s="65"/>
    </row>
    <row r="1041" spans="1:13" s="17" customFormat="1">
      <c r="A1041" s="56"/>
      <c r="M1041" s="65"/>
    </row>
    <row r="1042" spans="1:13" s="17" customFormat="1">
      <c r="A1042" s="56"/>
      <c r="M1042" s="65"/>
    </row>
    <row r="1043" spans="1:13" s="17" customFormat="1">
      <c r="A1043" s="56"/>
      <c r="M1043" s="65"/>
    </row>
    <row r="1044" spans="1:13" s="17" customFormat="1">
      <c r="A1044" s="56"/>
      <c r="M1044" s="65"/>
    </row>
    <row r="1045" spans="1:13" s="17" customFormat="1">
      <c r="A1045" s="56"/>
      <c r="M1045" s="65"/>
    </row>
    <row r="1046" spans="1:13" s="17" customFormat="1">
      <c r="A1046" s="56"/>
      <c r="M1046" s="65"/>
    </row>
    <row r="1047" spans="1:13" s="17" customFormat="1">
      <c r="A1047" s="56"/>
      <c r="M1047" s="65"/>
    </row>
    <row r="1048" spans="1:13" s="17" customFormat="1">
      <c r="A1048" s="56"/>
      <c r="M1048" s="65"/>
    </row>
    <row r="1049" spans="1:13" s="17" customFormat="1">
      <c r="A1049" s="56"/>
      <c r="M1049" s="65"/>
    </row>
    <row r="1050" spans="1:13" s="17" customFormat="1">
      <c r="A1050" s="56"/>
      <c r="M1050" s="65"/>
    </row>
    <row r="1051" spans="1:13" s="17" customFormat="1">
      <c r="A1051" s="56"/>
      <c r="M1051" s="65"/>
    </row>
    <row r="1052" spans="1:13" s="17" customFormat="1">
      <c r="A1052" s="56"/>
      <c r="M1052" s="65"/>
    </row>
    <row r="1053" spans="1:13" s="17" customFormat="1">
      <c r="A1053" s="56"/>
      <c r="M1053" s="65"/>
    </row>
    <row r="1054" spans="1:13" s="17" customFormat="1">
      <c r="A1054" s="56"/>
      <c r="M1054" s="65"/>
    </row>
    <row r="1055" spans="1:13" s="17" customFormat="1">
      <c r="A1055" s="56"/>
      <c r="M1055" s="65"/>
    </row>
    <row r="1056" spans="1:13" s="17" customFormat="1">
      <c r="A1056" s="56"/>
      <c r="M1056" s="65"/>
    </row>
    <row r="1057" spans="1:13" s="17" customFormat="1">
      <c r="A1057" s="56"/>
      <c r="M1057" s="65"/>
    </row>
    <row r="1058" spans="1:13" s="17" customFormat="1">
      <c r="A1058" s="56"/>
      <c r="M1058" s="65"/>
    </row>
    <row r="1059" spans="1:13" s="17" customFormat="1">
      <c r="A1059" s="56"/>
      <c r="M1059" s="65"/>
    </row>
    <row r="1060" spans="1:13" s="17" customFormat="1">
      <c r="A1060" s="56"/>
      <c r="M1060" s="65"/>
    </row>
    <row r="1061" spans="1:13" s="17" customFormat="1">
      <c r="A1061" s="56"/>
      <c r="M1061" s="65"/>
    </row>
    <row r="1062" spans="1:13" s="17" customFormat="1">
      <c r="A1062" s="56"/>
      <c r="M1062" s="65"/>
    </row>
    <row r="1063" spans="1:13" s="17" customFormat="1">
      <c r="A1063" s="56"/>
      <c r="M1063" s="65"/>
    </row>
    <row r="1064" spans="1:13" s="17" customFormat="1">
      <c r="A1064" s="56"/>
      <c r="M1064" s="65"/>
    </row>
    <row r="1065" spans="1:13" s="17" customFormat="1">
      <c r="A1065" s="56"/>
      <c r="M1065" s="65"/>
    </row>
    <row r="1066" spans="1:13" s="17" customFormat="1">
      <c r="A1066" s="56"/>
      <c r="M1066" s="65"/>
    </row>
    <row r="1067" spans="1:13" s="17" customFormat="1">
      <c r="A1067" s="56"/>
      <c r="M1067" s="65"/>
    </row>
    <row r="1068" spans="1:13" s="17" customFormat="1">
      <c r="A1068" s="56"/>
      <c r="M1068" s="65"/>
    </row>
    <row r="1069" spans="1:13" s="17" customFormat="1">
      <c r="A1069" s="56"/>
      <c r="M1069" s="65"/>
    </row>
    <row r="1070" spans="1:13" s="17" customFormat="1">
      <c r="A1070" s="56"/>
      <c r="M1070" s="65"/>
    </row>
    <row r="1071" spans="1:13" s="17" customFormat="1">
      <c r="A1071" s="56"/>
      <c r="M1071" s="65"/>
    </row>
    <row r="1072" spans="1:13" s="17" customFormat="1">
      <c r="A1072" s="56"/>
      <c r="M1072" s="65"/>
    </row>
    <row r="1073" spans="1:13" s="17" customFormat="1">
      <c r="A1073" s="56"/>
      <c r="M1073" s="65"/>
    </row>
    <row r="1074" spans="1:13" s="17" customFormat="1">
      <c r="A1074" s="56"/>
      <c r="M1074" s="65"/>
    </row>
    <row r="1075" spans="1:13" s="17" customFormat="1">
      <c r="A1075" s="56"/>
      <c r="M1075" s="65"/>
    </row>
    <row r="1076" spans="1:13" s="17" customFormat="1">
      <c r="A1076" s="56"/>
      <c r="M1076" s="65"/>
    </row>
    <row r="1077" spans="1:13" s="17" customFormat="1">
      <c r="A1077" s="56"/>
      <c r="M1077" s="65"/>
    </row>
    <row r="1078" spans="1:13" s="17" customFormat="1">
      <c r="A1078" s="56"/>
      <c r="M1078" s="65"/>
    </row>
    <row r="1079" spans="1:13" s="17" customFormat="1">
      <c r="A1079" s="56"/>
      <c r="M1079" s="65"/>
    </row>
    <row r="1080" spans="1:13" s="17" customFormat="1">
      <c r="A1080" s="56"/>
      <c r="M1080" s="65"/>
    </row>
    <row r="1081" spans="1:13" s="17" customFormat="1">
      <c r="A1081" s="56"/>
      <c r="M1081" s="65"/>
    </row>
    <row r="1082" spans="1:13" s="17" customFormat="1">
      <c r="A1082" s="56"/>
      <c r="M1082" s="65"/>
    </row>
    <row r="1083" spans="1:13" s="17" customFormat="1">
      <c r="A1083" s="56"/>
      <c r="M1083" s="65"/>
    </row>
    <row r="1084" spans="1:13" s="17" customFormat="1">
      <c r="A1084" s="56"/>
      <c r="M1084" s="65"/>
    </row>
    <row r="1085" spans="1:13" s="17" customFormat="1">
      <c r="A1085" s="56"/>
      <c r="M1085" s="65"/>
    </row>
    <row r="1086" spans="1:13" s="17" customFormat="1">
      <c r="A1086" s="56"/>
      <c r="M1086" s="65"/>
    </row>
    <row r="1087" spans="1:13" s="17" customFormat="1">
      <c r="A1087" s="56"/>
      <c r="M1087" s="65"/>
    </row>
    <row r="1088" spans="1:13" s="17" customFormat="1">
      <c r="A1088" s="56"/>
      <c r="M1088" s="65"/>
    </row>
    <row r="1089" spans="1:13" s="17" customFormat="1">
      <c r="A1089" s="56"/>
      <c r="M1089" s="65"/>
    </row>
    <row r="1090" spans="1:13" s="17" customFormat="1">
      <c r="A1090" s="56"/>
      <c r="M1090" s="65"/>
    </row>
    <row r="1091" spans="1:13" s="17" customFormat="1">
      <c r="A1091" s="56"/>
      <c r="M1091" s="65"/>
    </row>
    <row r="1092" spans="1:13" s="17" customFormat="1">
      <c r="A1092" s="56"/>
      <c r="M1092" s="65"/>
    </row>
    <row r="1093" spans="1:13" s="17" customFormat="1">
      <c r="A1093" s="56"/>
      <c r="M1093" s="65"/>
    </row>
    <row r="1094" spans="1:13" s="17" customFormat="1">
      <c r="A1094" s="56"/>
      <c r="M1094" s="65"/>
    </row>
    <row r="1095" spans="1:13" s="17" customFormat="1">
      <c r="A1095" s="56"/>
      <c r="M1095" s="65"/>
    </row>
    <row r="1096" spans="1:13" s="17" customFormat="1">
      <c r="A1096" s="56"/>
      <c r="M1096" s="65"/>
    </row>
    <row r="1097" spans="1:13" s="17" customFormat="1">
      <c r="A1097" s="56"/>
      <c r="M1097" s="65"/>
    </row>
    <row r="1098" spans="1:13" s="17" customFormat="1">
      <c r="A1098" s="56"/>
      <c r="M1098" s="65"/>
    </row>
    <row r="1099" spans="1:13" s="17" customFormat="1">
      <c r="A1099" s="56"/>
      <c r="M1099" s="65"/>
    </row>
    <row r="1100" spans="1:13" s="17" customFormat="1">
      <c r="A1100" s="56"/>
      <c r="M1100" s="65"/>
    </row>
    <row r="1101" spans="1:13" s="17" customFormat="1">
      <c r="A1101" s="56"/>
      <c r="M1101" s="65"/>
    </row>
    <row r="1102" spans="1:13" s="17" customFormat="1">
      <c r="A1102" s="56"/>
      <c r="M1102" s="65"/>
    </row>
    <row r="1103" spans="1:13" s="17" customFormat="1">
      <c r="A1103" s="56"/>
      <c r="M1103" s="65"/>
    </row>
    <row r="1104" spans="1:13" s="17" customFormat="1">
      <c r="A1104" s="56"/>
      <c r="M1104" s="65"/>
    </row>
    <row r="1105" spans="1:13" s="17" customFormat="1">
      <c r="A1105" s="56"/>
      <c r="M1105" s="65"/>
    </row>
    <row r="1106" spans="1:13" s="17" customFormat="1">
      <c r="A1106" s="56"/>
      <c r="M1106" s="65"/>
    </row>
    <row r="1107" spans="1:13" s="17" customFormat="1">
      <c r="A1107" s="56"/>
      <c r="M1107" s="65"/>
    </row>
    <row r="1108" spans="1:13" s="17" customFormat="1">
      <c r="A1108" s="56"/>
      <c r="M1108" s="65"/>
    </row>
    <row r="1109" spans="1:13" s="17" customFormat="1">
      <c r="A1109" s="56"/>
      <c r="M1109" s="65"/>
    </row>
    <row r="1110" spans="1:13" s="17" customFormat="1">
      <c r="A1110" s="56"/>
      <c r="M1110" s="65"/>
    </row>
    <row r="1111" spans="1:13" s="17" customFormat="1">
      <c r="A1111" s="56"/>
      <c r="M1111" s="65"/>
    </row>
    <row r="1112" spans="1:13" s="17" customFormat="1">
      <c r="A1112" s="56"/>
      <c r="M1112" s="65"/>
    </row>
    <row r="1113" spans="1:13" s="17" customFormat="1">
      <c r="A1113" s="56"/>
      <c r="M1113" s="65"/>
    </row>
    <row r="1114" spans="1:13" s="17" customFormat="1">
      <c r="A1114" s="56"/>
      <c r="M1114" s="65"/>
    </row>
    <row r="1115" spans="1:13" s="17" customFormat="1">
      <c r="A1115" s="56"/>
      <c r="M1115" s="65"/>
    </row>
    <row r="1116" spans="1:13" s="17" customFormat="1">
      <c r="A1116" s="56"/>
      <c r="M1116" s="65"/>
    </row>
    <row r="1117" spans="1:13" s="17" customFormat="1">
      <c r="A1117" s="56"/>
      <c r="M1117" s="65"/>
    </row>
    <row r="1118" spans="1:13" s="17" customFormat="1">
      <c r="A1118" s="56"/>
      <c r="M1118" s="65"/>
    </row>
    <row r="1119" spans="1:13" s="17" customFormat="1">
      <c r="A1119" s="56"/>
      <c r="M1119" s="65"/>
    </row>
    <row r="1120" spans="1:13" s="17" customFormat="1">
      <c r="A1120" s="56"/>
      <c r="M1120" s="65"/>
    </row>
    <row r="1121" spans="1:13" s="17" customFormat="1">
      <c r="A1121" s="56"/>
      <c r="M1121" s="65"/>
    </row>
    <row r="1122" spans="1:13" s="17" customFormat="1">
      <c r="A1122" s="56"/>
      <c r="M1122" s="65"/>
    </row>
    <row r="1123" spans="1:13" s="17" customFormat="1">
      <c r="A1123" s="56"/>
      <c r="M1123" s="65"/>
    </row>
    <row r="1124" spans="1:13" s="17" customFormat="1">
      <c r="A1124" s="56"/>
      <c r="M1124" s="65"/>
    </row>
    <row r="1125" spans="1:13" s="17" customFormat="1">
      <c r="A1125" s="56"/>
      <c r="M1125" s="65"/>
    </row>
    <row r="1126" spans="1:13" s="17" customFormat="1">
      <c r="A1126" s="56"/>
      <c r="M1126" s="65"/>
    </row>
    <row r="1127" spans="1:13" s="17" customFormat="1">
      <c r="A1127" s="56"/>
      <c r="M1127" s="65"/>
    </row>
    <row r="1128" spans="1:13" s="17" customFormat="1">
      <c r="A1128" s="56"/>
      <c r="M1128" s="65"/>
    </row>
    <row r="1129" spans="1:13" s="17" customFormat="1">
      <c r="A1129" s="56"/>
      <c r="M1129" s="65"/>
    </row>
    <row r="1130" spans="1:13" s="17" customFormat="1">
      <c r="A1130" s="56"/>
      <c r="M1130" s="65"/>
    </row>
    <row r="1131" spans="1:13" s="17" customFormat="1">
      <c r="A1131" s="56"/>
      <c r="M1131" s="65"/>
    </row>
    <row r="1132" spans="1:13" s="17" customFormat="1">
      <c r="A1132" s="56"/>
      <c r="M1132" s="65"/>
    </row>
    <row r="1133" spans="1:13" s="17" customFormat="1">
      <c r="A1133" s="56"/>
      <c r="M1133" s="65"/>
    </row>
    <row r="1134" spans="1:13" s="17" customFormat="1">
      <c r="A1134" s="56"/>
      <c r="M1134" s="65"/>
    </row>
    <row r="1135" spans="1:13" s="17" customFormat="1">
      <c r="A1135" s="56"/>
      <c r="M1135" s="65"/>
    </row>
    <row r="1136" spans="1:13" s="17" customFormat="1">
      <c r="A1136" s="56"/>
      <c r="M1136" s="65"/>
    </row>
    <row r="1137" spans="1:13" s="17" customFormat="1">
      <c r="A1137" s="56"/>
      <c r="M1137" s="65"/>
    </row>
    <row r="1138" spans="1:13" s="17" customFormat="1">
      <c r="A1138" s="56"/>
      <c r="M1138" s="65"/>
    </row>
    <row r="1139" spans="1:13" s="17" customFormat="1">
      <c r="A1139" s="56"/>
      <c r="M1139" s="65"/>
    </row>
    <row r="1140" spans="1:13" s="17" customFormat="1">
      <c r="A1140" s="56"/>
      <c r="M1140" s="65"/>
    </row>
    <row r="1141" spans="1:13" s="17" customFormat="1">
      <c r="A1141" s="56"/>
      <c r="M1141" s="65"/>
    </row>
    <row r="1142" spans="1:13" s="17" customFormat="1">
      <c r="A1142" s="56"/>
      <c r="M1142" s="65"/>
    </row>
    <row r="1143" spans="1:13" s="17" customFormat="1">
      <c r="A1143" s="56"/>
      <c r="M1143" s="65"/>
    </row>
    <row r="1144" spans="1:13" s="17" customFormat="1">
      <c r="A1144" s="56"/>
      <c r="M1144" s="65"/>
    </row>
    <row r="1145" spans="1:13" s="17" customFormat="1">
      <c r="A1145" s="56"/>
      <c r="M1145" s="65"/>
    </row>
    <row r="1146" spans="1:13" s="17" customFormat="1">
      <c r="A1146" s="56"/>
      <c r="M1146" s="65"/>
    </row>
    <row r="1147" spans="1:13" s="17" customFormat="1">
      <c r="A1147" s="56"/>
      <c r="M1147" s="65"/>
    </row>
    <row r="1148" spans="1:13" s="17" customFormat="1">
      <c r="A1148" s="56"/>
      <c r="M1148" s="65"/>
    </row>
    <row r="1149" spans="1:13" s="17" customFormat="1">
      <c r="A1149" s="56"/>
      <c r="M1149" s="65"/>
    </row>
    <row r="1150" spans="1:13" s="17" customFormat="1">
      <c r="A1150" s="56"/>
      <c r="M1150" s="65"/>
    </row>
    <row r="1151" spans="1:13" s="17" customFormat="1">
      <c r="A1151" s="56"/>
      <c r="M1151" s="65"/>
    </row>
    <row r="1152" spans="1:13" s="17" customFormat="1">
      <c r="A1152" s="56"/>
      <c r="M1152" s="65"/>
    </row>
    <row r="1153" spans="1:13" s="17" customFormat="1">
      <c r="A1153" s="56"/>
      <c r="M1153" s="65"/>
    </row>
    <row r="1154" spans="1:13" s="17" customFormat="1">
      <c r="A1154" s="56"/>
      <c r="M1154" s="65"/>
    </row>
    <row r="1155" spans="1:13" s="17" customFormat="1">
      <c r="A1155" s="56"/>
      <c r="M1155" s="65"/>
    </row>
    <row r="1156" spans="1:13" s="17" customFormat="1">
      <c r="A1156" s="56"/>
      <c r="M1156" s="65"/>
    </row>
    <row r="1157" spans="1:13" s="17" customFormat="1">
      <c r="A1157" s="56"/>
      <c r="M1157" s="65"/>
    </row>
    <row r="1158" spans="1:13" s="17" customFormat="1">
      <c r="A1158" s="56"/>
      <c r="M1158" s="65"/>
    </row>
    <row r="1159" spans="1:13" s="17" customFormat="1">
      <c r="A1159" s="56"/>
      <c r="M1159" s="65"/>
    </row>
    <row r="1160" spans="1:13" s="17" customFormat="1">
      <c r="A1160" s="56"/>
      <c r="M1160" s="65"/>
    </row>
    <row r="1161" spans="1:13" s="17" customFormat="1">
      <c r="A1161" s="56"/>
      <c r="M1161" s="65"/>
    </row>
    <row r="1162" spans="1:13" s="17" customFormat="1">
      <c r="A1162" s="56"/>
      <c r="M1162" s="65"/>
    </row>
    <row r="1163" spans="1:13" s="17" customFormat="1">
      <c r="A1163" s="56"/>
      <c r="M1163" s="65"/>
    </row>
    <row r="1164" spans="1:13" s="17" customFormat="1">
      <c r="A1164" s="56"/>
      <c r="M1164" s="65"/>
    </row>
    <row r="1165" spans="1:13" s="17" customFormat="1">
      <c r="A1165" s="56"/>
      <c r="M1165" s="65"/>
    </row>
    <row r="1166" spans="1:13" s="17" customFormat="1">
      <c r="A1166" s="56"/>
      <c r="M1166" s="65"/>
    </row>
    <row r="1167" spans="1:13" s="17" customFormat="1">
      <c r="A1167" s="56"/>
      <c r="M1167" s="65"/>
    </row>
    <row r="1168" spans="1:13" s="17" customFormat="1">
      <c r="A1168" s="56"/>
      <c r="M1168" s="65"/>
    </row>
    <row r="1169" spans="1:13" s="17" customFormat="1">
      <c r="A1169" s="56"/>
      <c r="M1169" s="65"/>
    </row>
    <row r="1170" spans="1:13" s="17" customFormat="1">
      <c r="A1170" s="56"/>
      <c r="M1170" s="65"/>
    </row>
    <row r="1171" spans="1:13" s="17" customFormat="1">
      <c r="A1171" s="56"/>
      <c r="M1171" s="65"/>
    </row>
    <row r="1172" spans="1:13" s="17" customFormat="1">
      <c r="A1172" s="56"/>
      <c r="M1172" s="65"/>
    </row>
    <row r="1173" spans="1:13" s="17" customFormat="1">
      <c r="A1173" s="56"/>
      <c r="M1173" s="65"/>
    </row>
    <row r="1174" spans="1:13" s="17" customFormat="1">
      <c r="A1174" s="56"/>
      <c r="M1174" s="65"/>
    </row>
    <row r="1175" spans="1:13" s="17" customFormat="1">
      <c r="A1175" s="56"/>
      <c r="M1175" s="65"/>
    </row>
    <row r="1176" spans="1:13" s="17" customFormat="1">
      <c r="A1176" s="56"/>
      <c r="M1176" s="65"/>
    </row>
    <row r="1177" spans="1:13" s="17" customFormat="1">
      <c r="A1177" s="56"/>
      <c r="M1177" s="65"/>
    </row>
    <row r="1178" spans="1:13" s="17" customFormat="1">
      <c r="A1178" s="56"/>
      <c r="M1178" s="65"/>
    </row>
    <row r="1179" spans="1:13" s="17" customFormat="1">
      <c r="A1179" s="56"/>
      <c r="M1179" s="65"/>
    </row>
    <row r="1180" spans="1:13" s="17" customFormat="1">
      <c r="A1180" s="56"/>
      <c r="M1180" s="65"/>
    </row>
    <row r="1181" spans="1:13" s="17" customFormat="1">
      <c r="A1181" s="56"/>
      <c r="M1181" s="65"/>
    </row>
    <row r="1182" spans="1:13" s="17" customFormat="1">
      <c r="A1182" s="56"/>
      <c r="M1182" s="65"/>
    </row>
    <row r="1183" spans="1:13" s="17" customFormat="1">
      <c r="A1183" s="56"/>
      <c r="M1183" s="65"/>
    </row>
    <row r="1184" spans="1:13" s="17" customFormat="1">
      <c r="A1184" s="56"/>
      <c r="M1184" s="65"/>
    </row>
    <row r="1185" spans="1:13" s="17" customFormat="1">
      <c r="A1185" s="56"/>
      <c r="M1185" s="65"/>
    </row>
    <row r="1186" spans="1:13" s="17" customFormat="1">
      <c r="A1186" s="56"/>
      <c r="M1186" s="65"/>
    </row>
    <row r="1187" spans="1:13" s="17" customFormat="1">
      <c r="A1187" s="56"/>
      <c r="M1187" s="65"/>
    </row>
    <row r="1188" spans="1:13" s="17" customFormat="1">
      <c r="A1188" s="56"/>
      <c r="M1188" s="65"/>
    </row>
    <row r="1189" spans="1:13" s="17" customFormat="1">
      <c r="A1189" s="56"/>
      <c r="M1189" s="65"/>
    </row>
    <row r="1190" spans="1:13" s="17" customFormat="1">
      <c r="A1190" s="56"/>
      <c r="M1190" s="65"/>
    </row>
    <row r="1191" spans="1:13" s="17" customFormat="1">
      <c r="A1191" s="56"/>
      <c r="M1191" s="65"/>
    </row>
    <row r="1192" spans="1:13" s="17" customFormat="1">
      <c r="A1192" s="56"/>
      <c r="M1192" s="65"/>
    </row>
    <row r="1193" spans="1:13" s="17" customFormat="1">
      <c r="A1193" s="56"/>
      <c r="M1193" s="65"/>
    </row>
    <row r="1194" spans="1:13" s="17" customFormat="1">
      <c r="A1194" s="56"/>
      <c r="M1194" s="65"/>
    </row>
    <row r="1195" spans="1:13" s="17" customFormat="1">
      <c r="A1195" s="56"/>
      <c r="M1195" s="65"/>
    </row>
    <row r="1196" spans="1:13" s="17" customFormat="1">
      <c r="A1196" s="56"/>
      <c r="M1196" s="65"/>
    </row>
    <row r="1197" spans="1:13" s="17" customFormat="1">
      <c r="A1197" s="56"/>
      <c r="M1197" s="65"/>
    </row>
    <row r="1198" spans="1:13" s="17" customFormat="1">
      <c r="A1198" s="56"/>
      <c r="M1198" s="65"/>
    </row>
    <row r="1199" spans="1:13" s="17" customFormat="1">
      <c r="A1199" s="56"/>
      <c r="M1199" s="65"/>
    </row>
    <row r="1200" spans="1:13" s="17" customFormat="1">
      <c r="A1200" s="56"/>
      <c r="M1200" s="65"/>
    </row>
    <row r="1201" spans="1:13" s="17" customFormat="1">
      <c r="A1201" s="56"/>
      <c r="M1201" s="65"/>
    </row>
    <row r="1202" spans="1:13" s="17" customFormat="1">
      <c r="A1202" s="56"/>
      <c r="M1202" s="65"/>
    </row>
    <row r="1203" spans="1:13" s="17" customFormat="1">
      <c r="A1203" s="56"/>
      <c r="M1203" s="65"/>
    </row>
    <row r="1204" spans="1:13" s="17" customFormat="1">
      <c r="A1204" s="56"/>
      <c r="M1204" s="65"/>
    </row>
    <row r="1205" spans="1:13" s="17" customFormat="1">
      <c r="A1205" s="56"/>
      <c r="M1205" s="65"/>
    </row>
    <row r="1206" spans="1:13" s="17" customFormat="1">
      <c r="A1206" s="56"/>
      <c r="M1206" s="65"/>
    </row>
    <row r="1207" spans="1:13" s="17" customFormat="1">
      <c r="A1207" s="56"/>
      <c r="M1207" s="65"/>
    </row>
    <row r="1208" spans="1:13" s="17" customFormat="1">
      <c r="A1208" s="56"/>
      <c r="M1208" s="65"/>
    </row>
    <row r="1209" spans="1:13" s="17" customFormat="1">
      <c r="A1209" s="56"/>
      <c r="M1209" s="65"/>
    </row>
    <row r="1210" spans="1:13" s="17" customFormat="1">
      <c r="A1210" s="56"/>
      <c r="M1210" s="65"/>
    </row>
    <row r="1211" spans="1:13" s="17" customFormat="1">
      <c r="A1211" s="56"/>
      <c r="M1211" s="65"/>
    </row>
    <row r="1212" spans="1:13" s="17" customFormat="1">
      <c r="A1212" s="56"/>
      <c r="M1212" s="65"/>
    </row>
    <row r="1213" spans="1:13" s="17" customFormat="1">
      <c r="A1213" s="56"/>
      <c r="M1213" s="65"/>
    </row>
    <row r="1214" spans="1:13" s="17" customFormat="1">
      <c r="A1214" s="56"/>
      <c r="M1214" s="65"/>
    </row>
    <row r="1215" spans="1:13" s="17" customFormat="1">
      <c r="A1215" s="56"/>
      <c r="M1215" s="65"/>
    </row>
    <row r="1216" spans="1:13" s="17" customFormat="1">
      <c r="A1216" s="56"/>
      <c r="M1216" s="65"/>
    </row>
    <row r="1217" spans="1:13" s="17" customFormat="1">
      <c r="A1217" s="56"/>
      <c r="M1217" s="65"/>
    </row>
    <row r="1218" spans="1:13" s="17" customFormat="1">
      <c r="A1218" s="56"/>
      <c r="M1218" s="65"/>
    </row>
    <row r="1219" spans="1:13" s="17" customFormat="1">
      <c r="A1219" s="56"/>
      <c r="M1219" s="65"/>
    </row>
    <row r="1220" spans="1:13" s="17" customFormat="1">
      <c r="A1220" s="56"/>
      <c r="M1220" s="65"/>
    </row>
    <row r="1221" spans="1:13" s="17" customFormat="1">
      <c r="A1221" s="56"/>
      <c r="M1221" s="65"/>
    </row>
    <row r="1222" spans="1:13" s="17" customFormat="1">
      <c r="A1222" s="56"/>
      <c r="M1222" s="65"/>
    </row>
    <row r="1223" spans="1:13" s="17" customFormat="1">
      <c r="A1223" s="56"/>
      <c r="M1223" s="65"/>
    </row>
    <row r="1224" spans="1:13" s="17" customFormat="1">
      <c r="A1224" s="56"/>
      <c r="M1224" s="65"/>
    </row>
    <row r="1225" spans="1:13" s="17" customFormat="1">
      <c r="A1225" s="56"/>
      <c r="M1225" s="65"/>
    </row>
    <row r="1226" spans="1:13" s="17" customFormat="1">
      <c r="A1226" s="56"/>
      <c r="M1226" s="65"/>
    </row>
    <row r="1227" spans="1:13" s="17" customFormat="1">
      <c r="A1227" s="56"/>
      <c r="M1227" s="65"/>
    </row>
    <row r="1228" spans="1:13" s="17" customFormat="1">
      <c r="A1228" s="56"/>
      <c r="M1228" s="65"/>
    </row>
    <row r="1229" spans="1:13" s="17" customFormat="1">
      <c r="A1229" s="56"/>
      <c r="M1229" s="65"/>
    </row>
    <row r="1230" spans="1:13" s="17" customFormat="1">
      <c r="A1230" s="56"/>
      <c r="M1230" s="65"/>
    </row>
    <row r="1231" spans="1:13" s="17" customFormat="1">
      <c r="A1231" s="56"/>
      <c r="M1231" s="65"/>
    </row>
    <row r="1232" spans="1:13" s="17" customFormat="1">
      <c r="A1232" s="56"/>
      <c r="M1232" s="65"/>
    </row>
    <row r="1233" spans="1:13" s="17" customFormat="1">
      <c r="A1233" s="56"/>
      <c r="M1233" s="65"/>
    </row>
    <row r="1234" spans="1:13" s="17" customFormat="1">
      <c r="A1234" s="56"/>
      <c r="M1234" s="65"/>
    </row>
    <row r="1235" spans="1:13" s="17" customFormat="1">
      <c r="A1235" s="56"/>
      <c r="M1235" s="65"/>
    </row>
    <row r="1236" spans="1:13" s="17" customFormat="1">
      <c r="A1236" s="56"/>
      <c r="M1236" s="65"/>
    </row>
    <row r="1237" spans="1:13" s="17" customFormat="1">
      <c r="A1237" s="56"/>
      <c r="M1237" s="65"/>
    </row>
    <row r="1238" spans="1:13" s="17" customFormat="1">
      <c r="A1238" s="56"/>
      <c r="M1238" s="65"/>
    </row>
    <row r="1239" spans="1:13" s="17" customFormat="1">
      <c r="A1239" s="56"/>
      <c r="M1239" s="65"/>
    </row>
    <row r="1240" spans="1:13" s="17" customFormat="1">
      <c r="A1240" s="56"/>
      <c r="M1240" s="65"/>
    </row>
    <row r="1241" spans="1:13" s="17" customFormat="1">
      <c r="A1241" s="56"/>
      <c r="M1241" s="65"/>
    </row>
    <row r="1242" spans="1:13" s="17" customFormat="1">
      <c r="A1242" s="56"/>
      <c r="M1242" s="65"/>
    </row>
    <row r="1243" spans="1:13" s="17" customFormat="1">
      <c r="A1243" s="56"/>
      <c r="M1243" s="65"/>
    </row>
    <row r="1244" spans="1:13" s="17" customFormat="1">
      <c r="A1244" s="56"/>
      <c r="M1244" s="65"/>
    </row>
    <row r="1245" spans="1:13" s="17" customFormat="1">
      <c r="A1245" s="56"/>
      <c r="M1245" s="65"/>
    </row>
    <row r="1246" spans="1:13" s="17" customFormat="1">
      <c r="A1246" s="56"/>
      <c r="M1246" s="65"/>
    </row>
    <row r="1247" spans="1:13" s="17" customFormat="1">
      <c r="A1247" s="56"/>
      <c r="M1247" s="65"/>
    </row>
    <row r="1248" spans="1:13" s="17" customFormat="1">
      <c r="A1248" s="56"/>
      <c r="M1248" s="65"/>
    </row>
    <row r="1249" spans="1:13" s="17" customFormat="1">
      <c r="A1249" s="56"/>
      <c r="M1249" s="65"/>
    </row>
    <row r="1250" spans="1:13" s="17" customFormat="1">
      <c r="A1250" s="56"/>
      <c r="M1250" s="65"/>
    </row>
    <row r="1251" spans="1:13" s="17" customFormat="1">
      <c r="A1251" s="56"/>
      <c r="M1251" s="65"/>
    </row>
    <row r="1252" spans="1:13" s="17" customFormat="1">
      <c r="A1252" s="56"/>
      <c r="M1252" s="65"/>
    </row>
    <row r="1253" spans="1:13" s="17" customFormat="1">
      <c r="A1253" s="56"/>
      <c r="M1253" s="65"/>
    </row>
    <row r="1254" spans="1:13" s="17" customFormat="1">
      <c r="A1254" s="56"/>
      <c r="M1254" s="65"/>
    </row>
    <row r="1255" spans="1:13" s="17" customFormat="1">
      <c r="A1255" s="56"/>
      <c r="M1255" s="65"/>
    </row>
    <row r="1256" spans="1:13" s="17" customFormat="1">
      <c r="A1256" s="56"/>
      <c r="M1256" s="65"/>
    </row>
    <row r="1257" spans="1:13" s="17" customFormat="1">
      <c r="A1257" s="56"/>
      <c r="M1257" s="65"/>
    </row>
    <row r="1258" spans="1:13" s="17" customFormat="1">
      <c r="A1258" s="56"/>
      <c r="M1258" s="65"/>
    </row>
    <row r="1259" spans="1:13" s="17" customFormat="1">
      <c r="A1259" s="56"/>
      <c r="M1259" s="65"/>
    </row>
    <row r="1260" spans="1:13" s="17" customFormat="1">
      <c r="A1260" s="56"/>
      <c r="M1260" s="65"/>
    </row>
    <row r="1261" spans="1:13" s="17" customFormat="1">
      <c r="A1261" s="56"/>
      <c r="M1261" s="65"/>
    </row>
    <row r="1262" spans="1:13" s="17" customFormat="1">
      <c r="A1262" s="56"/>
      <c r="M1262" s="65"/>
    </row>
    <row r="1263" spans="1:13" s="17" customFormat="1">
      <c r="A1263" s="56"/>
      <c r="M1263" s="65"/>
    </row>
    <row r="1264" spans="1:13" s="17" customFormat="1">
      <c r="A1264" s="56"/>
      <c r="M1264" s="65"/>
    </row>
    <row r="1265" spans="1:13" s="17" customFormat="1">
      <c r="A1265" s="56"/>
      <c r="M1265" s="65"/>
    </row>
    <row r="1266" spans="1:13" s="17" customFormat="1">
      <c r="A1266" s="56"/>
      <c r="M1266" s="65"/>
    </row>
    <row r="1267" spans="1:13" s="17" customFormat="1">
      <c r="A1267" s="56"/>
      <c r="M1267" s="65"/>
    </row>
    <row r="1268" spans="1:13" s="17" customFormat="1">
      <c r="A1268" s="56"/>
      <c r="M1268" s="65"/>
    </row>
    <row r="1269" spans="1:13" s="17" customFormat="1">
      <c r="A1269" s="56"/>
      <c r="M1269" s="65"/>
    </row>
    <row r="1270" spans="1:13" s="17" customFormat="1">
      <c r="A1270" s="56"/>
      <c r="M1270" s="65"/>
    </row>
    <row r="1271" spans="1:13" s="17" customFormat="1">
      <c r="A1271" s="56"/>
      <c r="M1271" s="65"/>
    </row>
    <row r="1272" spans="1:13" s="17" customFormat="1">
      <c r="A1272" s="56"/>
      <c r="M1272" s="65"/>
    </row>
    <row r="1273" spans="1:13" s="17" customFormat="1">
      <c r="A1273" s="56"/>
      <c r="M1273" s="65"/>
    </row>
    <row r="1274" spans="1:13" s="17" customFormat="1">
      <c r="A1274" s="56"/>
      <c r="M1274" s="65"/>
    </row>
    <row r="1275" spans="1:13" s="17" customFormat="1">
      <c r="A1275" s="56"/>
      <c r="M1275" s="65"/>
    </row>
    <row r="1276" spans="1:13" s="17" customFormat="1">
      <c r="A1276" s="56"/>
      <c r="M1276" s="65"/>
    </row>
    <row r="1277" spans="1:13" s="17" customFormat="1">
      <c r="A1277" s="56"/>
      <c r="M1277" s="65"/>
    </row>
    <row r="1278" spans="1:13" s="17" customFormat="1">
      <c r="A1278" s="56"/>
      <c r="M1278" s="65"/>
    </row>
    <row r="1279" spans="1:13" s="17" customFormat="1">
      <c r="A1279" s="56"/>
      <c r="M1279" s="65"/>
    </row>
    <row r="1280" spans="1:13" s="17" customFormat="1">
      <c r="A1280" s="56"/>
      <c r="M1280" s="65"/>
    </row>
    <row r="1281" spans="1:13" s="17" customFormat="1">
      <c r="A1281" s="56"/>
      <c r="M1281" s="65"/>
    </row>
    <row r="1282" spans="1:13" s="17" customFormat="1">
      <c r="A1282" s="56"/>
      <c r="M1282" s="65"/>
    </row>
    <row r="1283" spans="1:13" s="17" customFormat="1">
      <c r="A1283" s="56"/>
      <c r="M1283" s="65"/>
    </row>
    <row r="1284" spans="1:13" s="17" customFormat="1">
      <c r="A1284" s="56"/>
      <c r="M1284" s="65"/>
    </row>
    <row r="1285" spans="1:13" s="17" customFormat="1">
      <c r="A1285" s="56"/>
      <c r="M1285" s="65"/>
    </row>
    <row r="1286" spans="1:13" s="17" customFormat="1">
      <c r="A1286" s="56"/>
      <c r="M1286" s="65"/>
    </row>
    <row r="1287" spans="1:13" s="17" customFormat="1">
      <c r="A1287" s="56"/>
      <c r="M1287" s="65"/>
    </row>
    <row r="1288" spans="1:13" s="17" customFormat="1">
      <c r="A1288" s="56"/>
      <c r="M1288" s="65"/>
    </row>
    <row r="1289" spans="1:13" s="17" customFormat="1">
      <c r="A1289" s="56"/>
      <c r="M1289" s="65"/>
    </row>
    <row r="1290" spans="1:13" s="17" customFormat="1">
      <c r="A1290" s="56"/>
      <c r="M1290" s="65"/>
    </row>
    <row r="1291" spans="1:13" s="17" customFormat="1">
      <c r="A1291" s="56"/>
      <c r="M1291" s="65"/>
    </row>
    <row r="1292" spans="1:13" s="17" customFormat="1">
      <c r="A1292" s="56"/>
      <c r="M1292" s="65"/>
    </row>
    <row r="1293" spans="1:13" s="17" customFormat="1">
      <c r="A1293" s="56"/>
      <c r="M1293" s="65"/>
    </row>
    <row r="1294" spans="1:13" s="17" customFormat="1">
      <c r="A1294" s="56"/>
      <c r="M1294" s="65"/>
    </row>
    <row r="1295" spans="1:13" s="17" customFormat="1">
      <c r="A1295" s="56"/>
      <c r="M1295" s="65"/>
    </row>
    <row r="1296" spans="1:13" s="17" customFormat="1">
      <c r="A1296" s="56"/>
      <c r="M1296" s="65"/>
    </row>
    <row r="1297" spans="1:13" s="17" customFormat="1">
      <c r="A1297" s="56"/>
      <c r="M1297" s="65"/>
    </row>
    <row r="1298" spans="1:13" s="17" customFormat="1">
      <c r="A1298" s="56"/>
      <c r="M1298" s="65"/>
    </row>
    <row r="1299" spans="1:13" s="17" customFormat="1">
      <c r="A1299" s="56"/>
      <c r="M1299" s="65"/>
    </row>
    <row r="1300" spans="1:13" s="17" customFormat="1">
      <c r="A1300" s="56"/>
      <c r="M1300" s="65"/>
    </row>
    <row r="1301" spans="1:13" s="17" customFormat="1">
      <c r="A1301" s="56"/>
      <c r="M1301" s="65"/>
    </row>
    <row r="1302" spans="1:13" s="17" customFormat="1">
      <c r="A1302" s="56"/>
      <c r="M1302" s="65"/>
    </row>
    <row r="1303" spans="1:13" s="17" customFormat="1">
      <c r="A1303" s="56"/>
      <c r="M1303" s="65"/>
    </row>
    <row r="1304" spans="1:13" s="17" customFormat="1">
      <c r="A1304" s="56"/>
      <c r="M1304" s="65"/>
    </row>
    <row r="1305" spans="1:13" s="17" customFormat="1">
      <c r="A1305" s="56"/>
      <c r="M1305" s="65"/>
    </row>
    <row r="1306" spans="1:13" s="17" customFormat="1">
      <c r="A1306" s="56"/>
      <c r="M1306" s="65"/>
    </row>
    <row r="1307" spans="1:13" s="17" customFormat="1">
      <c r="A1307" s="56"/>
      <c r="M1307" s="65"/>
    </row>
    <row r="1308" spans="1:13" s="17" customFormat="1">
      <c r="A1308" s="56"/>
      <c r="M1308" s="65"/>
    </row>
    <row r="1309" spans="1:13" s="17" customFormat="1">
      <c r="A1309" s="56"/>
      <c r="M1309" s="65"/>
    </row>
    <row r="1310" spans="1:13" s="17" customFormat="1">
      <c r="A1310" s="56"/>
      <c r="M1310" s="65"/>
    </row>
    <row r="1311" spans="1:13" s="17" customFormat="1">
      <c r="A1311" s="56"/>
      <c r="M1311" s="65"/>
    </row>
    <row r="1312" spans="1:13" s="17" customFormat="1">
      <c r="A1312" s="56"/>
      <c r="M1312" s="65"/>
    </row>
    <row r="1313" spans="1:13" s="17" customFormat="1">
      <c r="A1313" s="56"/>
      <c r="M1313" s="65"/>
    </row>
    <row r="1314" spans="1:13" s="17" customFormat="1">
      <c r="A1314" s="56"/>
      <c r="M1314" s="65"/>
    </row>
    <row r="1315" spans="1:13" s="17" customFormat="1">
      <c r="A1315" s="56"/>
      <c r="M1315" s="65"/>
    </row>
    <row r="1316" spans="1:13" s="17" customFormat="1">
      <c r="A1316" s="56"/>
      <c r="M1316" s="65"/>
    </row>
    <row r="1317" spans="1:13" s="17" customFormat="1">
      <c r="A1317" s="56"/>
      <c r="M1317" s="65"/>
    </row>
    <row r="1318" spans="1:13" s="17" customFormat="1">
      <c r="A1318" s="56"/>
      <c r="M1318" s="65"/>
    </row>
    <row r="1319" spans="1:13" s="17" customFormat="1">
      <c r="A1319" s="56"/>
      <c r="M1319" s="65"/>
    </row>
    <row r="1320" spans="1:13" s="17" customFormat="1">
      <c r="A1320" s="56"/>
      <c r="M1320" s="65"/>
    </row>
    <row r="1321" spans="1:13" s="17" customFormat="1">
      <c r="A1321" s="56"/>
      <c r="M1321" s="65"/>
    </row>
    <row r="1322" spans="1:13" s="17" customFormat="1">
      <c r="A1322" s="56"/>
      <c r="M1322" s="65"/>
    </row>
    <row r="1323" spans="1:13" s="17" customFormat="1">
      <c r="A1323" s="56"/>
      <c r="M1323" s="65"/>
    </row>
    <row r="1324" spans="1:13" s="17" customFormat="1">
      <c r="A1324" s="56"/>
      <c r="M1324" s="65"/>
    </row>
    <row r="1325" spans="1:13" s="17" customFormat="1">
      <c r="A1325" s="56"/>
      <c r="M1325" s="65"/>
    </row>
    <row r="1326" spans="1:13" s="17" customFormat="1">
      <c r="A1326" s="56"/>
      <c r="M1326" s="65"/>
    </row>
    <row r="1327" spans="1:13" s="17" customFormat="1">
      <c r="A1327" s="56"/>
      <c r="M1327" s="65"/>
    </row>
    <row r="1328" spans="1:13" s="17" customFormat="1">
      <c r="A1328" s="56"/>
      <c r="M1328" s="65"/>
    </row>
    <row r="1329" spans="1:13" s="17" customFormat="1">
      <c r="A1329" s="56"/>
      <c r="M1329" s="65"/>
    </row>
    <row r="1330" spans="1:13" s="17" customFormat="1">
      <c r="A1330" s="56"/>
      <c r="M1330" s="65"/>
    </row>
    <row r="1331" spans="1:13" s="17" customFormat="1">
      <c r="A1331" s="56"/>
      <c r="M1331" s="65"/>
    </row>
    <row r="1332" spans="1:13" s="17" customFormat="1">
      <c r="A1332" s="56"/>
      <c r="M1332" s="65"/>
    </row>
    <row r="1333" spans="1:13" s="17" customFormat="1">
      <c r="A1333" s="56"/>
      <c r="M1333" s="65"/>
    </row>
    <row r="1334" spans="1:13" s="17" customFormat="1">
      <c r="A1334" s="56"/>
      <c r="M1334" s="65"/>
    </row>
    <row r="1335" spans="1:13" s="17" customFormat="1">
      <c r="A1335" s="56"/>
      <c r="M1335" s="65"/>
    </row>
    <row r="1336" spans="1:13" s="17" customFormat="1">
      <c r="A1336" s="56"/>
      <c r="M1336" s="65"/>
    </row>
    <row r="1337" spans="1:13" s="17" customFormat="1">
      <c r="A1337" s="56"/>
      <c r="M1337" s="65"/>
    </row>
    <row r="1338" spans="1:13" s="17" customFormat="1">
      <c r="A1338" s="56"/>
      <c r="M1338" s="65"/>
    </row>
    <row r="1339" spans="1:13" s="17" customFormat="1">
      <c r="A1339" s="56"/>
      <c r="M1339" s="65"/>
    </row>
    <row r="1340" spans="1:13" s="17" customFormat="1">
      <c r="A1340" s="56"/>
      <c r="M1340" s="65"/>
    </row>
    <row r="1341" spans="1:13" s="17" customFormat="1">
      <c r="A1341" s="56"/>
      <c r="M1341" s="65"/>
    </row>
    <row r="1342" spans="1:13" s="17" customFormat="1">
      <c r="A1342" s="56"/>
      <c r="M1342" s="65"/>
    </row>
    <row r="1343" spans="1:13" s="17" customFormat="1">
      <c r="A1343" s="56"/>
      <c r="M1343" s="65"/>
    </row>
    <row r="1344" spans="1:13" s="17" customFormat="1">
      <c r="A1344" s="56"/>
      <c r="M1344" s="65"/>
    </row>
    <row r="1345" spans="1:13" s="17" customFormat="1">
      <c r="A1345" s="56"/>
      <c r="M1345" s="65"/>
    </row>
    <row r="1346" spans="1:13" s="17" customFormat="1">
      <c r="A1346" s="56"/>
      <c r="M1346" s="65"/>
    </row>
    <row r="1347" spans="1:13" s="17" customFormat="1">
      <c r="A1347" s="56"/>
      <c r="M1347" s="65"/>
    </row>
    <row r="1348" spans="1:13" s="17" customFormat="1">
      <c r="A1348" s="56"/>
      <c r="M1348" s="65"/>
    </row>
    <row r="1349" spans="1:13" s="17" customFormat="1">
      <c r="A1349" s="56"/>
      <c r="M1349" s="65"/>
    </row>
    <row r="1350" spans="1:13" s="17" customFormat="1">
      <c r="A1350" s="56"/>
      <c r="M1350" s="65"/>
    </row>
    <row r="1351" spans="1:13" s="17" customFormat="1">
      <c r="A1351" s="56"/>
      <c r="M1351" s="65"/>
    </row>
    <row r="1352" spans="1:13" s="17" customFormat="1">
      <c r="A1352" s="56"/>
      <c r="M1352" s="65"/>
    </row>
    <row r="1353" spans="1:13" s="17" customFormat="1">
      <c r="A1353" s="56"/>
      <c r="M1353" s="65"/>
    </row>
    <row r="1354" spans="1:13" s="17" customFormat="1">
      <c r="A1354" s="56"/>
      <c r="M1354" s="65"/>
    </row>
    <row r="1355" spans="1:13" s="17" customFormat="1">
      <c r="A1355" s="56"/>
      <c r="M1355" s="65"/>
    </row>
    <row r="1356" spans="1:13" s="17" customFormat="1">
      <c r="A1356" s="56"/>
      <c r="M1356" s="65"/>
    </row>
    <row r="1357" spans="1:13" s="17" customFormat="1">
      <c r="A1357" s="56"/>
      <c r="M1357" s="65"/>
    </row>
    <row r="1358" spans="1:13" s="17" customFormat="1">
      <c r="A1358" s="56"/>
      <c r="M1358" s="65"/>
    </row>
    <row r="1359" spans="1:13" s="17" customFormat="1">
      <c r="A1359" s="56"/>
      <c r="M1359" s="65"/>
    </row>
    <row r="1360" spans="1:13" s="17" customFormat="1">
      <c r="A1360" s="56"/>
      <c r="M1360" s="65"/>
    </row>
    <row r="1361" spans="1:13" s="17" customFormat="1">
      <c r="A1361" s="56"/>
      <c r="M1361" s="65"/>
    </row>
    <row r="1362" spans="1:13" s="17" customFormat="1">
      <c r="A1362" s="56"/>
      <c r="M1362" s="65"/>
    </row>
    <row r="1363" spans="1:13" s="17" customFormat="1">
      <c r="A1363" s="56"/>
      <c r="M1363" s="65"/>
    </row>
    <row r="1364" spans="1:13" s="17" customFormat="1">
      <c r="A1364" s="56"/>
      <c r="M1364" s="65"/>
    </row>
    <row r="1365" spans="1:13" s="17" customFormat="1">
      <c r="A1365" s="56"/>
      <c r="M1365" s="65"/>
    </row>
    <row r="1366" spans="1:13" s="17" customFormat="1">
      <c r="A1366" s="56"/>
      <c r="M1366" s="65"/>
    </row>
    <row r="1367" spans="1:13" s="17" customFormat="1">
      <c r="A1367" s="56"/>
      <c r="M1367" s="65"/>
    </row>
    <row r="1368" spans="1:13" s="17" customFormat="1">
      <c r="A1368" s="56"/>
      <c r="M1368" s="65"/>
    </row>
    <row r="1369" spans="1:13" s="17" customFormat="1">
      <c r="A1369" s="56"/>
      <c r="M1369" s="65"/>
    </row>
    <row r="1370" spans="1:13" s="17" customFormat="1">
      <c r="A1370" s="56"/>
      <c r="M1370" s="65"/>
    </row>
    <row r="1371" spans="1:13" s="17" customFormat="1">
      <c r="A1371" s="56"/>
      <c r="M1371" s="65"/>
    </row>
    <row r="1372" spans="1:13" s="17" customFormat="1">
      <c r="A1372" s="56"/>
      <c r="M1372" s="65"/>
    </row>
    <row r="1373" spans="1:13" s="17" customFormat="1">
      <c r="A1373" s="56"/>
      <c r="M1373" s="65"/>
    </row>
    <row r="1374" spans="1:13" s="17" customFormat="1">
      <c r="A1374" s="56"/>
      <c r="M1374" s="65"/>
    </row>
    <row r="1375" spans="1:13" s="17" customFormat="1">
      <c r="A1375" s="56"/>
      <c r="M1375" s="65"/>
    </row>
    <row r="1376" spans="1:13" s="17" customFormat="1">
      <c r="A1376" s="56"/>
      <c r="M1376" s="65"/>
    </row>
    <row r="1377" spans="1:13" s="17" customFormat="1">
      <c r="A1377" s="56"/>
      <c r="M1377" s="65"/>
    </row>
    <row r="1378" spans="1:13" s="17" customFormat="1">
      <c r="A1378" s="56"/>
      <c r="M1378" s="65"/>
    </row>
    <row r="1379" spans="1:13" s="17" customFormat="1">
      <c r="A1379" s="56"/>
      <c r="M1379" s="65"/>
    </row>
    <row r="1380" spans="1:13" s="17" customFormat="1">
      <c r="A1380" s="56"/>
      <c r="M1380" s="65"/>
    </row>
    <row r="1381" spans="1:13" s="17" customFormat="1">
      <c r="A1381" s="56"/>
      <c r="M1381" s="65"/>
    </row>
    <row r="1382" spans="1:13" s="17" customFormat="1">
      <c r="A1382" s="56"/>
      <c r="M1382" s="65"/>
    </row>
    <row r="1383" spans="1:13" s="17" customFormat="1">
      <c r="A1383" s="56"/>
      <c r="M1383" s="65"/>
    </row>
    <row r="1384" spans="1:13" s="17" customFormat="1">
      <c r="A1384" s="56"/>
      <c r="M1384" s="65"/>
    </row>
    <row r="1385" spans="1:13" s="17" customFormat="1">
      <c r="A1385" s="56"/>
      <c r="M1385" s="65"/>
    </row>
    <row r="1386" spans="1:13" s="17" customFormat="1">
      <c r="A1386" s="56"/>
      <c r="M1386" s="65"/>
    </row>
    <row r="1387" spans="1:13" s="17" customFormat="1">
      <c r="A1387" s="56"/>
      <c r="M1387" s="65"/>
    </row>
    <row r="1388" spans="1:13" s="17" customFormat="1">
      <c r="A1388" s="56"/>
      <c r="M1388" s="65"/>
    </row>
    <row r="1389" spans="1:13" s="17" customFormat="1">
      <c r="A1389" s="56"/>
      <c r="M1389" s="65"/>
    </row>
    <row r="1390" spans="1:13" s="17" customFormat="1">
      <c r="A1390" s="56"/>
      <c r="M1390" s="65"/>
    </row>
    <row r="1391" spans="1:13" s="17" customFormat="1">
      <c r="A1391" s="56"/>
      <c r="M1391" s="65"/>
    </row>
    <row r="1392" spans="1:13" s="17" customFormat="1">
      <c r="A1392" s="56"/>
      <c r="M1392" s="65"/>
    </row>
    <row r="1393" spans="1:13" s="17" customFormat="1">
      <c r="A1393" s="56"/>
      <c r="M1393" s="65"/>
    </row>
    <row r="1394" spans="1:13" s="17" customFormat="1">
      <c r="A1394" s="56"/>
      <c r="M1394" s="65"/>
    </row>
    <row r="1395" spans="1:13" s="17" customFormat="1">
      <c r="A1395" s="56"/>
      <c r="M1395" s="65"/>
    </row>
    <row r="1396" spans="1:13" s="17" customFormat="1">
      <c r="A1396" s="56"/>
      <c r="M1396" s="65"/>
    </row>
    <row r="1397" spans="1:13" s="17" customFormat="1">
      <c r="A1397" s="56"/>
      <c r="M1397" s="65"/>
    </row>
    <row r="1398" spans="1:13" s="17" customFormat="1">
      <c r="A1398" s="56"/>
      <c r="M1398" s="65"/>
    </row>
    <row r="1399" spans="1:13" s="17" customFormat="1">
      <c r="A1399" s="56"/>
      <c r="M1399" s="65"/>
    </row>
    <row r="1400" spans="1:13" s="17" customFormat="1">
      <c r="A1400" s="56"/>
      <c r="M1400" s="65"/>
    </row>
    <row r="1401" spans="1:13" s="17" customFormat="1">
      <c r="A1401" s="56"/>
      <c r="M1401" s="65"/>
    </row>
    <row r="1402" spans="1:13" s="17" customFormat="1">
      <c r="A1402" s="56"/>
      <c r="M1402" s="65"/>
    </row>
    <row r="1403" spans="1:13" s="17" customFormat="1">
      <c r="A1403" s="56"/>
      <c r="M1403" s="65"/>
    </row>
    <row r="1404" spans="1:13" s="17" customFormat="1">
      <c r="A1404" s="56"/>
      <c r="M1404" s="65"/>
    </row>
    <row r="1405" spans="1:13" s="17" customFormat="1">
      <c r="A1405" s="56"/>
      <c r="M1405" s="65"/>
    </row>
    <row r="1406" spans="1:13" s="17" customFormat="1">
      <c r="A1406" s="56"/>
      <c r="M1406" s="65"/>
    </row>
    <row r="1407" spans="1:13" s="17" customFormat="1">
      <c r="A1407" s="56"/>
      <c r="M1407" s="65"/>
    </row>
    <row r="1408" spans="1:13" s="17" customFormat="1">
      <c r="A1408" s="56"/>
      <c r="M1408" s="65"/>
    </row>
    <row r="1409" spans="1:13" s="17" customFormat="1">
      <c r="A1409" s="56"/>
      <c r="M1409" s="65"/>
    </row>
    <row r="1410" spans="1:13" s="17" customFormat="1">
      <c r="A1410" s="56"/>
      <c r="M1410" s="65"/>
    </row>
    <row r="1411" spans="1:13" s="17" customFormat="1">
      <c r="A1411" s="56"/>
      <c r="M1411" s="65"/>
    </row>
    <row r="1412" spans="1:13" s="17" customFormat="1">
      <c r="A1412" s="56"/>
      <c r="M1412" s="65"/>
    </row>
    <row r="1413" spans="1:13" s="17" customFormat="1">
      <c r="A1413" s="56"/>
      <c r="M1413" s="65"/>
    </row>
    <row r="1414" spans="1:13" s="17" customFormat="1">
      <c r="A1414" s="56"/>
      <c r="M1414" s="65"/>
    </row>
    <row r="1415" spans="1:13" s="17" customFormat="1">
      <c r="A1415" s="56"/>
      <c r="M1415" s="65"/>
    </row>
    <row r="1416" spans="1:13" s="17" customFormat="1">
      <c r="A1416" s="56"/>
      <c r="M1416" s="65"/>
    </row>
    <row r="1417" spans="1:13" s="17" customFormat="1">
      <c r="A1417" s="56"/>
      <c r="M1417" s="65"/>
    </row>
    <row r="1418" spans="1:13" s="17" customFormat="1">
      <c r="A1418" s="56"/>
      <c r="M1418" s="65"/>
    </row>
    <row r="1419" spans="1:13" s="17" customFormat="1">
      <c r="A1419" s="56"/>
      <c r="M1419" s="65"/>
    </row>
    <row r="1420" spans="1:13" s="17" customFormat="1">
      <c r="A1420" s="56"/>
      <c r="M1420" s="65"/>
    </row>
    <row r="1421" spans="1:13" s="17" customFormat="1">
      <c r="A1421" s="56"/>
      <c r="M1421" s="65"/>
    </row>
    <row r="1422" spans="1:13" s="17" customFormat="1">
      <c r="A1422" s="56"/>
      <c r="M1422" s="65"/>
    </row>
    <row r="1423" spans="1:13" s="17" customFormat="1">
      <c r="A1423" s="56"/>
      <c r="M1423" s="65"/>
    </row>
    <row r="1424" spans="1:13" s="17" customFormat="1">
      <c r="A1424" s="56"/>
      <c r="M1424" s="65"/>
    </row>
    <row r="1425" spans="1:13" s="17" customFormat="1">
      <c r="A1425" s="56"/>
      <c r="M1425" s="65"/>
    </row>
    <row r="1426" spans="1:13" s="17" customFormat="1">
      <c r="A1426" s="56"/>
      <c r="M1426" s="65"/>
    </row>
    <row r="1427" spans="1:13" s="17" customFormat="1">
      <c r="A1427" s="56"/>
      <c r="M1427" s="65"/>
    </row>
    <row r="1428" spans="1:13" s="17" customFormat="1">
      <c r="A1428" s="56"/>
      <c r="M1428" s="65"/>
    </row>
    <row r="1429" spans="1:13" s="17" customFormat="1">
      <c r="A1429" s="56"/>
      <c r="M1429" s="65"/>
    </row>
    <row r="1430" spans="1:13" s="17" customFormat="1">
      <c r="A1430" s="56"/>
      <c r="M1430" s="65"/>
    </row>
    <row r="1431" spans="1:13" s="17" customFormat="1">
      <c r="A1431" s="56"/>
      <c r="M1431" s="65"/>
    </row>
    <row r="1432" spans="1:13" s="17" customFormat="1">
      <c r="A1432" s="56"/>
      <c r="M1432" s="65"/>
    </row>
    <row r="1433" spans="1:13" s="17" customFormat="1">
      <c r="A1433" s="56"/>
      <c r="M1433" s="65"/>
    </row>
    <row r="1434" spans="1:13" s="17" customFormat="1">
      <c r="A1434" s="56"/>
      <c r="M1434" s="65"/>
    </row>
    <row r="1435" spans="1:13" s="17" customFormat="1">
      <c r="A1435" s="56"/>
      <c r="M1435" s="65"/>
    </row>
    <row r="1436" spans="1:13" s="17" customFormat="1">
      <c r="A1436" s="56"/>
      <c r="M1436" s="65"/>
    </row>
    <row r="1437" spans="1:13" s="17" customFormat="1">
      <c r="A1437" s="56"/>
      <c r="M1437" s="65"/>
    </row>
    <row r="1438" spans="1:13" s="17" customFormat="1">
      <c r="A1438" s="56"/>
      <c r="M1438" s="65"/>
    </row>
    <row r="1439" spans="1:13" s="17" customFormat="1">
      <c r="A1439" s="56"/>
      <c r="M1439" s="65"/>
    </row>
    <row r="1440" spans="1:13" s="17" customFormat="1">
      <c r="A1440" s="56"/>
      <c r="M1440" s="65"/>
    </row>
    <row r="1441" spans="1:13" s="17" customFormat="1">
      <c r="A1441" s="56"/>
      <c r="M1441" s="65"/>
    </row>
    <row r="1442" spans="1:13" s="17" customFormat="1">
      <c r="A1442" s="56"/>
      <c r="M1442" s="65"/>
    </row>
    <row r="1443" spans="1:13" s="17" customFormat="1">
      <c r="A1443" s="56"/>
      <c r="M1443" s="65"/>
    </row>
    <row r="1444" spans="1:13" s="17" customFormat="1">
      <c r="A1444" s="56"/>
      <c r="M1444" s="65"/>
    </row>
    <row r="1445" spans="1:13" s="17" customFormat="1">
      <c r="A1445" s="56"/>
      <c r="M1445" s="65"/>
    </row>
    <row r="1446" spans="1:13" s="17" customFormat="1">
      <c r="A1446" s="56"/>
      <c r="M1446" s="65"/>
    </row>
    <row r="1447" spans="1:13" s="17" customFormat="1">
      <c r="A1447" s="56"/>
      <c r="M1447" s="65"/>
    </row>
    <row r="1448" spans="1:13" s="17" customFormat="1">
      <c r="A1448" s="56"/>
      <c r="M1448" s="65"/>
    </row>
    <row r="1449" spans="1:13" s="17" customFormat="1">
      <c r="A1449" s="56"/>
      <c r="M1449" s="65"/>
    </row>
    <row r="1450" spans="1:13" s="17" customFormat="1">
      <c r="A1450" s="56"/>
      <c r="M1450" s="65"/>
    </row>
    <row r="1451" spans="1:13" s="17" customFormat="1">
      <c r="A1451" s="56"/>
      <c r="M1451" s="65"/>
    </row>
    <row r="1452" spans="1:13" s="17" customFormat="1">
      <c r="A1452" s="56"/>
      <c r="M1452" s="65"/>
    </row>
    <row r="1453" spans="1:13" s="17" customFormat="1">
      <c r="A1453" s="56"/>
      <c r="M1453" s="65"/>
    </row>
    <row r="1454" spans="1:13" s="17" customFormat="1">
      <c r="A1454" s="56"/>
      <c r="M1454" s="65"/>
    </row>
    <row r="1455" spans="1:13" s="17" customFormat="1">
      <c r="A1455" s="56"/>
      <c r="M1455" s="65"/>
    </row>
    <row r="1456" spans="1:13" s="17" customFormat="1">
      <c r="A1456" s="56"/>
      <c r="M1456" s="65"/>
    </row>
    <row r="1457" spans="1:13" s="17" customFormat="1">
      <c r="A1457" s="56"/>
      <c r="M1457" s="65"/>
    </row>
    <row r="1458" spans="1:13" s="17" customFormat="1">
      <c r="A1458" s="56"/>
      <c r="M1458" s="65"/>
    </row>
    <row r="1459" spans="1:13" s="17" customFormat="1">
      <c r="A1459" s="56"/>
      <c r="M1459" s="65"/>
    </row>
    <row r="1460" spans="1:13" s="17" customFormat="1">
      <c r="A1460" s="56"/>
      <c r="M1460" s="65"/>
    </row>
    <row r="1461" spans="1:13" s="17" customFormat="1">
      <c r="A1461" s="56"/>
      <c r="M1461" s="65"/>
    </row>
    <row r="1462" spans="1:13" s="17" customFormat="1">
      <c r="A1462" s="56"/>
      <c r="M1462" s="65"/>
    </row>
    <row r="1463" spans="1:13" s="17" customFormat="1">
      <c r="A1463" s="56"/>
      <c r="M1463" s="65"/>
    </row>
    <row r="1464" spans="1:13" s="17" customFormat="1">
      <c r="A1464" s="56"/>
      <c r="M1464" s="65"/>
    </row>
    <row r="1465" spans="1:13" s="17" customFormat="1">
      <c r="A1465" s="56"/>
      <c r="M1465" s="65"/>
    </row>
    <row r="1466" spans="1:13" s="17" customFormat="1">
      <c r="A1466" s="56"/>
      <c r="M1466" s="65"/>
    </row>
    <row r="1467" spans="1:13" s="17" customFormat="1">
      <c r="A1467" s="56"/>
      <c r="M1467" s="65"/>
    </row>
    <row r="1468" spans="1:13" s="17" customFormat="1">
      <c r="A1468" s="56"/>
      <c r="M1468" s="65"/>
    </row>
    <row r="1469" spans="1:13" s="17" customFormat="1">
      <c r="A1469" s="56"/>
      <c r="M1469" s="65"/>
    </row>
    <row r="1470" spans="1:13" s="17" customFormat="1">
      <c r="A1470" s="56"/>
      <c r="M1470" s="65"/>
    </row>
    <row r="1471" spans="1:13" s="17" customFormat="1">
      <c r="A1471" s="56"/>
      <c r="M1471" s="65"/>
    </row>
    <row r="1472" spans="1:13" s="17" customFormat="1">
      <c r="A1472" s="56"/>
      <c r="M1472" s="65"/>
    </row>
    <row r="1473" spans="1:13" s="17" customFormat="1">
      <c r="A1473" s="56"/>
      <c r="M1473" s="65"/>
    </row>
    <row r="1474" spans="1:13" s="17" customFormat="1">
      <c r="A1474" s="56"/>
      <c r="M1474" s="65"/>
    </row>
    <row r="1475" spans="1:13" s="17" customFormat="1">
      <c r="A1475" s="56"/>
      <c r="M1475" s="65"/>
    </row>
    <row r="1476" spans="1:13" s="17" customFormat="1">
      <c r="A1476" s="56"/>
      <c r="M1476" s="65"/>
    </row>
    <row r="1477" spans="1:13" s="17" customFormat="1">
      <c r="A1477" s="56"/>
      <c r="M1477" s="65"/>
    </row>
    <row r="1478" spans="1:13" s="17" customFormat="1">
      <c r="A1478" s="56"/>
      <c r="M1478" s="65"/>
    </row>
    <row r="1479" spans="1:13" s="17" customFormat="1">
      <c r="A1479" s="56"/>
      <c r="M1479" s="65"/>
    </row>
    <row r="1480" spans="1:13" s="17" customFormat="1">
      <c r="A1480" s="56"/>
      <c r="M1480" s="65"/>
    </row>
    <row r="1481" spans="1:13" s="17" customFormat="1">
      <c r="A1481" s="56"/>
      <c r="M1481" s="65"/>
    </row>
    <row r="1482" spans="1:13" s="17" customFormat="1">
      <c r="A1482" s="56"/>
      <c r="M1482" s="65"/>
    </row>
    <row r="1483" spans="1:13" s="17" customFormat="1">
      <c r="A1483" s="56"/>
      <c r="M1483" s="65"/>
    </row>
    <row r="1484" spans="1:13" s="17" customFormat="1">
      <c r="A1484" s="56"/>
      <c r="M1484" s="65"/>
    </row>
    <row r="1485" spans="1:13" s="17" customFormat="1">
      <c r="A1485" s="56"/>
      <c r="M1485" s="65"/>
    </row>
    <row r="1486" spans="1:13" s="17" customFormat="1">
      <c r="A1486" s="56"/>
      <c r="M1486" s="65"/>
    </row>
    <row r="1487" spans="1:13" s="17" customFormat="1">
      <c r="A1487" s="56"/>
      <c r="M1487" s="65"/>
    </row>
    <row r="1488" spans="1:13" s="17" customFormat="1">
      <c r="A1488" s="56"/>
      <c r="M1488" s="65"/>
    </row>
    <row r="1489" spans="1:13" s="17" customFormat="1">
      <c r="A1489" s="56"/>
      <c r="M1489" s="65"/>
    </row>
    <row r="1490" spans="1:13" s="17" customFormat="1">
      <c r="A1490" s="56"/>
      <c r="M1490" s="65"/>
    </row>
    <row r="1491" spans="1:13" s="17" customFormat="1">
      <c r="A1491" s="56"/>
      <c r="M1491" s="65"/>
    </row>
    <row r="1492" spans="1:13" s="17" customFormat="1">
      <c r="A1492" s="56"/>
      <c r="M1492" s="65"/>
    </row>
    <row r="1493" spans="1:13" s="17" customFormat="1">
      <c r="A1493" s="56"/>
      <c r="M1493" s="65"/>
    </row>
    <row r="1494" spans="1:13" s="17" customFormat="1">
      <c r="A1494" s="56"/>
      <c r="M1494" s="65"/>
    </row>
    <row r="1495" spans="1:13" s="17" customFormat="1">
      <c r="A1495" s="56"/>
      <c r="M1495" s="65"/>
    </row>
    <row r="1496" spans="1:13" s="17" customFormat="1">
      <c r="A1496" s="56"/>
      <c r="M1496" s="65"/>
    </row>
    <row r="1497" spans="1:13" s="17" customFormat="1">
      <c r="A1497" s="56"/>
      <c r="M1497" s="65"/>
    </row>
    <row r="1498" spans="1:13" s="17" customFormat="1">
      <c r="A1498" s="56"/>
      <c r="M1498" s="65"/>
    </row>
    <row r="1499" spans="1:13" s="17" customFormat="1">
      <c r="A1499" s="56"/>
      <c r="M1499" s="65"/>
    </row>
    <row r="1500" spans="1:13" s="17" customFormat="1">
      <c r="A1500" s="56"/>
      <c r="M1500" s="65"/>
    </row>
    <row r="1501" spans="1:13" s="17" customFormat="1">
      <c r="A1501" s="56"/>
      <c r="M1501" s="65"/>
    </row>
    <row r="1502" spans="1:13" s="17" customFormat="1">
      <c r="A1502" s="56"/>
      <c r="M1502" s="65"/>
    </row>
    <row r="1503" spans="1:13" s="17" customFormat="1">
      <c r="A1503" s="56"/>
      <c r="M1503" s="65"/>
    </row>
    <row r="1504" spans="1:13" s="17" customFormat="1">
      <c r="A1504" s="56"/>
      <c r="M1504" s="65"/>
    </row>
    <row r="1505" spans="1:13" s="17" customFormat="1">
      <c r="A1505" s="56"/>
      <c r="M1505" s="65"/>
    </row>
    <row r="1506" spans="1:13" s="17" customFormat="1">
      <c r="A1506" s="56"/>
      <c r="M1506" s="65"/>
    </row>
    <row r="1507" spans="1:13" s="17" customFormat="1">
      <c r="A1507" s="56"/>
      <c r="M1507" s="65"/>
    </row>
    <row r="1508" spans="1:13" s="17" customFormat="1">
      <c r="A1508" s="56"/>
      <c r="M1508" s="65"/>
    </row>
    <row r="1509" spans="1:13" s="17" customFormat="1">
      <c r="A1509" s="56"/>
      <c r="M1509" s="65"/>
    </row>
    <row r="1510" spans="1:13" s="17" customFormat="1">
      <c r="A1510" s="56"/>
      <c r="M1510" s="65"/>
    </row>
    <row r="1511" spans="1:13" s="17" customFormat="1">
      <c r="A1511" s="56"/>
      <c r="M1511" s="65"/>
    </row>
    <row r="1512" spans="1:13" s="17" customFormat="1">
      <c r="A1512" s="56"/>
      <c r="M1512" s="65"/>
    </row>
    <row r="1513" spans="1:13" s="17" customFormat="1">
      <c r="A1513" s="56"/>
      <c r="M1513" s="65"/>
    </row>
    <row r="1514" spans="1:13" s="17" customFormat="1">
      <c r="A1514" s="56"/>
      <c r="M1514" s="65"/>
    </row>
    <row r="1515" spans="1:13" s="17" customFormat="1">
      <c r="A1515" s="56"/>
      <c r="M1515" s="65"/>
    </row>
    <row r="1516" spans="1:13" s="17" customFormat="1">
      <c r="A1516" s="56"/>
      <c r="M1516" s="65"/>
    </row>
    <row r="1517" spans="1:13" s="17" customFormat="1">
      <c r="A1517" s="56"/>
      <c r="M1517" s="65"/>
    </row>
    <row r="1518" spans="1:13" s="17" customFormat="1">
      <c r="A1518" s="56"/>
      <c r="M1518" s="65"/>
    </row>
    <row r="1519" spans="1:13" s="17" customFormat="1">
      <c r="A1519" s="56"/>
      <c r="M1519" s="65"/>
    </row>
    <row r="1520" spans="1:13" s="17" customFormat="1">
      <c r="A1520" s="56"/>
      <c r="M1520" s="65"/>
    </row>
    <row r="1521" spans="1:13" s="17" customFormat="1">
      <c r="A1521" s="56"/>
      <c r="M1521" s="65"/>
    </row>
    <row r="1522" spans="1:13" s="17" customFormat="1">
      <c r="A1522" s="56"/>
      <c r="M1522" s="65"/>
    </row>
    <row r="1523" spans="1:13" s="17" customFormat="1">
      <c r="A1523" s="56"/>
      <c r="M1523" s="65"/>
    </row>
    <row r="1524" spans="1:13" s="17" customFormat="1">
      <c r="A1524" s="56"/>
      <c r="M1524" s="65"/>
    </row>
    <row r="1525" spans="1:13" s="17" customFormat="1">
      <c r="A1525" s="56"/>
      <c r="M1525" s="65"/>
    </row>
    <row r="1526" spans="1:13" s="17" customFormat="1">
      <c r="A1526" s="56"/>
      <c r="M1526" s="65"/>
    </row>
    <row r="1527" spans="1:13" s="17" customFormat="1">
      <c r="A1527" s="56"/>
      <c r="M1527" s="65"/>
    </row>
    <row r="1528" spans="1:13" s="17" customFormat="1">
      <c r="A1528" s="56"/>
      <c r="M1528" s="65"/>
    </row>
    <row r="1529" spans="1:13" s="17" customFormat="1">
      <c r="A1529" s="56"/>
      <c r="M1529" s="65"/>
    </row>
    <row r="1530" spans="1:13" s="17" customFormat="1">
      <c r="A1530" s="56"/>
      <c r="M1530" s="65"/>
    </row>
    <row r="1531" spans="1:13" s="17" customFormat="1">
      <c r="A1531" s="56"/>
      <c r="M1531" s="65"/>
    </row>
    <row r="1532" spans="1:13" s="17" customFormat="1">
      <c r="A1532" s="56"/>
      <c r="M1532" s="65"/>
    </row>
    <row r="1533" spans="1:13" s="17" customFormat="1">
      <c r="A1533" s="56"/>
      <c r="M1533" s="65"/>
    </row>
    <row r="1534" spans="1:13" s="17" customFormat="1">
      <c r="A1534" s="56"/>
      <c r="M1534" s="65"/>
    </row>
    <row r="1535" spans="1:13" s="17" customFormat="1">
      <c r="A1535" s="56"/>
      <c r="M1535" s="65"/>
    </row>
    <row r="1536" spans="1:13" s="17" customFormat="1">
      <c r="A1536" s="56"/>
      <c r="M1536" s="65"/>
    </row>
    <row r="1537" spans="1:13" s="17" customFormat="1">
      <c r="A1537" s="56"/>
      <c r="M1537" s="65"/>
    </row>
    <row r="1538" spans="1:13" s="17" customFormat="1">
      <c r="A1538" s="56"/>
      <c r="M1538" s="65"/>
    </row>
    <row r="1539" spans="1:13" s="17" customFormat="1">
      <c r="A1539" s="56"/>
      <c r="M1539" s="65"/>
    </row>
    <row r="1540" spans="1:13" s="17" customFormat="1">
      <c r="A1540" s="56"/>
      <c r="M1540" s="65"/>
    </row>
    <row r="1541" spans="1:13" s="17" customFormat="1">
      <c r="A1541" s="56"/>
      <c r="M1541" s="65"/>
    </row>
    <row r="1542" spans="1:13" s="17" customFormat="1">
      <c r="A1542" s="56"/>
      <c r="M1542" s="65"/>
    </row>
    <row r="1543" spans="1:13" s="17" customFormat="1">
      <c r="A1543" s="56"/>
      <c r="M1543" s="65"/>
    </row>
    <row r="1544" spans="1:13" s="17" customFormat="1">
      <c r="A1544" s="56"/>
      <c r="M1544" s="65"/>
    </row>
    <row r="1545" spans="1:13" s="17" customFormat="1">
      <c r="A1545" s="56"/>
      <c r="M1545" s="65"/>
    </row>
    <row r="1546" spans="1:13" s="17" customFormat="1">
      <c r="A1546" s="56"/>
      <c r="M1546" s="65"/>
    </row>
    <row r="1547" spans="1:13" s="17" customFormat="1">
      <c r="A1547" s="56"/>
      <c r="M1547" s="65"/>
    </row>
    <row r="1548" spans="1:13" s="17" customFormat="1">
      <c r="A1548" s="56"/>
      <c r="M1548" s="65"/>
    </row>
    <row r="1549" spans="1:13" s="17" customFormat="1">
      <c r="A1549" s="56"/>
      <c r="M1549" s="65"/>
    </row>
    <row r="1550" spans="1:13" s="17" customFormat="1">
      <c r="A1550" s="56"/>
      <c r="M1550" s="65"/>
    </row>
    <row r="1551" spans="1:13" s="17" customFormat="1">
      <c r="A1551" s="56"/>
      <c r="M1551" s="65"/>
    </row>
    <row r="1552" spans="1:13" s="17" customFormat="1">
      <c r="A1552" s="56"/>
      <c r="M1552" s="65"/>
    </row>
    <row r="1553" spans="1:13" s="17" customFormat="1">
      <c r="A1553" s="56"/>
      <c r="M1553" s="65"/>
    </row>
    <row r="1554" spans="1:13" s="17" customFormat="1">
      <c r="A1554" s="56"/>
      <c r="M1554" s="65"/>
    </row>
    <row r="1555" spans="1:13" s="17" customFormat="1">
      <c r="A1555" s="56"/>
      <c r="M1555" s="65"/>
    </row>
    <row r="1556" spans="1:13" s="17" customFormat="1">
      <c r="A1556" s="56"/>
      <c r="M1556" s="65"/>
    </row>
    <row r="1557" spans="1:13" s="17" customFormat="1">
      <c r="A1557" s="56"/>
      <c r="M1557" s="65"/>
    </row>
    <row r="1558" spans="1:13" s="17" customFormat="1">
      <c r="A1558" s="56"/>
      <c r="M1558" s="65"/>
    </row>
    <row r="1559" spans="1:13" s="17" customFormat="1">
      <c r="A1559" s="56"/>
      <c r="M1559" s="65"/>
    </row>
    <row r="1560" spans="1:13" s="17" customFormat="1">
      <c r="A1560" s="56"/>
      <c r="M1560" s="65"/>
    </row>
    <row r="1561" spans="1:13" s="17" customFormat="1">
      <c r="A1561" s="56"/>
      <c r="M1561" s="65"/>
    </row>
    <row r="1562" spans="1:13" s="17" customFormat="1">
      <c r="A1562" s="56"/>
      <c r="M1562" s="65"/>
    </row>
    <row r="1563" spans="1:13" s="17" customFormat="1">
      <c r="A1563" s="56"/>
      <c r="M1563" s="65"/>
    </row>
    <row r="1564" spans="1:13" s="17" customFormat="1">
      <c r="A1564" s="56"/>
      <c r="M1564" s="65"/>
    </row>
    <row r="1565" spans="1:13" s="17" customFormat="1">
      <c r="A1565" s="56"/>
      <c r="M1565" s="65"/>
    </row>
    <row r="1566" spans="1:13" s="17" customFormat="1">
      <c r="A1566" s="56"/>
      <c r="M1566" s="65"/>
    </row>
    <row r="1567" spans="1:13" s="17" customFormat="1">
      <c r="A1567" s="56"/>
      <c r="M1567" s="65"/>
    </row>
    <row r="1568" spans="1:13" s="17" customFormat="1">
      <c r="A1568" s="56"/>
      <c r="M1568" s="65"/>
    </row>
    <row r="1569" spans="1:13" s="17" customFormat="1">
      <c r="A1569" s="56"/>
      <c r="M1569" s="65"/>
    </row>
    <row r="1570" spans="1:13" s="17" customFormat="1">
      <c r="A1570" s="56"/>
      <c r="M1570" s="65"/>
    </row>
    <row r="1571" spans="1:13" s="17" customFormat="1">
      <c r="A1571" s="56"/>
      <c r="M1571" s="65"/>
    </row>
    <row r="1572" spans="1:13" s="17" customFormat="1">
      <c r="A1572" s="56"/>
      <c r="M1572" s="65"/>
    </row>
    <row r="1573" spans="1:13" s="17" customFormat="1">
      <c r="A1573" s="56"/>
      <c r="M1573" s="65"/>
    </row>
    <row r="1574" spans="1:13" s="17" customFormat="1">
      <c r="A1574" s="56"/>
      <c r="M1574" s="65"/>
    </row>
    <row r="1575" spans="1:13" s="17" customFormat="1">
      <c r="A1575" s="56"/>
      <c r="M1575" s="65"/>
    </row>
    <row r="1576" spans="1:13" s="17" customFormat="1">
      <c r="A1576" s="56"/>
      <c r="M1576" s="65"/>
    </row>
    <row r="1577" spans="1:13" s="17" customFormat="1">
      <c r="A1577" s="56"/>
      <c r="M1577" s="65"/>
    </row>
    <row r="1578" spans="1:13" s="17" customFormat="1">
      <c r="A1578" s="56"/>
      <c r="M1578" s="65"/>
    </row>
    <row r="1579" spans="1:13" s="17" customFormat="1">
      <c r="A1579" s="56"/>
      <c r="M1579" s="65"/>
    </row>
    <row r="1580" spans="1:13" s="17" customFormat="1">
      <c r="A1580" s="56"/>
      <c r="M1580" s="65"/>
    </row>
    <row r="1581" spans="1:13" s="17" customFormat="1">
      <c r="A1581" s="56"/>
      <c r="M1581" s="65"/>
    </row>
    <row r="1582" spans="1:13" s="17" customFormat="1">
      <c r="A1582" s="56"/>
      <c r="M1582" s="65"/>
    </row>
    <row r="1583" spans="1:13" s="17" customFormat="1">
      <c r="A1583" s="56"/>
      <c r="M1583" s="65"/>
    </row>
    <row r="1584" spans="1:13" s="17" customFormat="1">
      <c r="A1584" s="56"/>
      <c r="M1584" s="65"/>
    </row>
    <row r="1585" spans="1:13" s="17" customFormat="1">
      <c r="A1585" s="56"/>
      <c r="M1585" s="65"/>
    </row>
    <row r="1586" spans="1:13" s="17" customFormat="1">
      <c r="A1586" s="56"/>
      <c r="M1586" s="65"/>
    </row>
    <row r="1587" spans="1:13" s="17" customFormat="1">
      <c r="A1587" s="56"/>
      <c r="M1587" s="65"/>
    </row>
    <row r="1588" spans="1:13" s="17" customFormat="1">
      <c r="A1588" s="56"/>
      <c r="M1588" s="65"/>
    </row>
    <row r="1589" spans="1:13" s="17" customFormat="1">
      <c r="A1589" s="56"/>
      <c r="M1589" s="65"/>
    </row>
    <row r="1590" spans="1:13" s="17" customFormat="1">
      <c r="A1590" s="56"/>
      <c r="M1590" s="65"/>
    </row>
    <row r="1591" spans="1:13" s="17" customFormat="1">
      <c r="A1591" s="56"/>
      <c r="M1591" s="65"/>
    </row>
    <row r="1592" spans="1:13" s="17" customFormat="1">
      <c r="A1592" s="56"/>
      <c r="M1592" s="65"/>
    </row>
    <row r="1593" spans="1:13" s="17" customFormat="1">
      <c r="A1593" s="56"/>
      <c r="M1593" s="65"/>
    </row>
  </sheetData>
  <mergeCells count="31">
    <mergeCell ref="E178:M178"/>
    <mergeCell ref="C27:O27"/>
    <mergeCell ref="C1:O1"/>
    <mergeCell ref="C3:O3"/>
    <mergeCell ref="F5:K5"/>
    <mergeCell ref="F11:K11"/>
    <mergeCell ref="F22:K22"/>
    <mergeCell ref="M81:M87"/>
    <mergeCell ref="D29:N29"/>
    <mergeCell ref="F32:K32"/>
    <mergeCell ref="D39:N39"/>
    <mergeCell ref="E41:M41"/>
    <mergeCell ref="F43:K43"/>
    <mergeCell ref="F54:K54"/>
    <mergeCell ref="F57:K57"/>
    <mergeCell ref="M45:M52"/>
    <mergeCell ref="M59:M65"/>
    <mergeCell ref="F68:K68"/>
    <mergeCell ref="F79:K79"/>
    <mergeCell ref="F165:K165"/>
    <mergeCell ref="F89:G89"/>
    <mergeCell ref="M91:M97"/>
    <mergeCell ref="F99:K99"/>
    <mergeCell ref="F109:K109"/>
    <mergeCell ref="F120:K120"/>
    <mergeCell ref="F131:K131"/>
    <mergeCell ref="E142:M142"/>
    <mergeCell ref="F144:K144"/>
    <mergeCell ref="M146:M153"/>
    <mergeCell ref="F155:K155"/>
    <mergeCell ref="M157:M163"/>
  </mergeCells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&amp;L&amp;P</oddFooter>
  </headerFooter>
  <rowBreaks count="3" manualBreakCount="3">
    <brk id="26" min="2" max="14" man="1"/>
    <brk id="38" min="2" max="14" man="1"/>
    <brk id="140" min="2" max="14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S132"/>
  <sheetViews>
    <sheetView tabSelected="1" topLeftCell="A70" zoomScale="115" zoomScaleNormal="115" workbookViewId="0">
      <selection activeCell="L83" sqref="L83"/>
    </sheetView>
  </sheetViews>
  <sheetFormatPr baseColWidth="10" defaultRowHeight="15"/>
  <cols>
    <col min="2" max="2" width="15.140625" customWidth="1"/>
    <col min="3" max="3" width="16" bestFit="1" customWidth="1"/>
  </cols>
  <sheetData>
    <row r="1" spans="1:13" ht="18.75">
      <c r="A1" s="497" t="s">
        <v>188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</row>
    <row r="3" spans="1:13">
      <c r="C3" s="478" t="s">
        <v>60</v>
      </c>
      <c r="D3" s="479"/>
      <c r="E3" s="479"/>
      <c r="F3" s="479"/>
      <c r="G3" s="479"/>
      <c r="H3" s="480"/>
    </row>
    <row r="4" spans="1:13">
      <c r="D4" s="9"/>
      <c r="E4" s="9">
        <v>2020</v>
      </c>
      <c r="F4" s="9">
        <v>2030</v>
      </c>
      <c r="G4" s="9">
        <v>2040</v>
      </c>
      <c r="H4" s="9">
        <v>2050</v>
      </c>
    </row>
    <row r="5" spans="1:13">
      <c r="C5" s="8" t="s">
        <v>175</v>
      </c>
      <c r="D5" s="222"/>
      <c r="E5" s="225">
        <f>SUM(E6:E11)</f>
        <v>151.85523907705075</v>
      </c>
      <c r="F5" s="225">
        <f>SUM(F6:F11)</f>
        <v>130.30586626704002</v>
      </c>
      <c r="G5" s="225">
        <f t="shared" ref="G5:H5" si="0">SUM(G6:G11)</f>
        <v>123.68166990754719</v>
      </c>
      <c r="H5" s="225">
        <f t="shared" si="0"/>
        <v>120.62619991206576</v>
      </c>
    </row>
    <row r="6" spans="1:13">
      <c r="C6" s="124" t="s">
        <v>176</v>
      </c>
      <c r="D6" s="86"/>
      <c r="E6" s="222">
        <f>D36+D63+C87+D113+C132</f>
        <v>128.0799834956872</v>
      </c>
      <c r="F6" s="222">
        <f>D38+D65+E87+E113+E132</f>
        <v>116.04144804383353</v>
      </c>
      <c r="G6" s="222">
        <f>D40+D67+G87+F113+G132</f>
        <v>115.42650807747479</v>
      </c>
      <c r="H6" s="222">
        <f>D42+D69+I87+G113+I132</f>
        <v>116.06540866830368</v>
      </c>
    </row>
    <row r="7" spans="1:13">
      <c r="C7" s="124" t="s">
        <v>76</v>
      </c>
      <c r="D7" s="86"/>
      <c r="E7" s="222">
        <f>E36+E63</f>
        <v>17.051351069612235</v>
      </c>
      <c r="F7" s="222">
        <f>E38+E65</f>
        <v>9.7432810929397373</v>
      </c>
      <c r="G7" s="222">
        <f>E40+E67</f>
        <v>4.1080765251679505</v>
      </c>
      <c r="H7" s="222">
        <f>E42+E69</f>
        <v>0.83587520013279226</v>
      </c>
    </row>
    <row r="8" spans="1:13">
      <c r="C8" s="124" t="s">
        <v>177</v>
      </c>
      <c r="D8" s="86"/>
      <c r="E8" s="222">
        <f>G36+G63</f>
        <v>4.9587960253733012</v>
      </c>
      <c r="F8" s="222">
        <f>G38+G65</f>
        <v>0.24452002293735908</v>
      </c>
      <c r="G8" s="222">
        <f>G40+G67</f>
        <v>0</v>
      </c>
      <c r="H8" s="222">
        <f>G42+G69</f>
        <v>0</v>
      </c>
    </row>
    <row r="9" spans="1:13">
      <c r="C9" s="124" t="s">
        <v>133</v>
      </c>
      <c r="D9" s="10"/>
      <c r="E9" s="223">
        <f>H36+H63</f>
        <v>0.2146153499104517</v>
      </c>
      <c r="F9" s="222">
        <f>H38+H65</f>
        <v>0.66301904787483434</v>
      </c>
      <c r="G9" s="222">
        <f>H40+H67</f>
        <v>0.53348745170182088</v>
      </c>
      <c r="H9" s="222">
        <f>H42+H69</f>
        <v>0.43608334641640845</v>
      </c>
    </row>
    <row r="10" spans="1:13">
      <c r="C10" s="124" t="s">
        <v>178</v>
      </c>
      <c r="D10" s="10"/>
      <c r="E10" s="223">
        <f>I36</f>
        <v>1.5504931364675845</v>
      </c>
      <c r="F10" s="222">
        <f>I38</f>
        <v>3.5112270385742157</v>
      </c>
      <c r="G10" s="222">
        <f>I40</f>
        <v>3.4361166994956225</v>
      </c>
      <c r="H10" s="222">
        <f>I42</f>
        <v>3.0590484809762528</v>
      </c>
    </row>
    <row r="11" spans="1:13">
      <c r="C11" s="124" t="s">
        <v>201</v>
      </c>
      <c r="D11" s="222"/>
      <c r="E11" s="222">
        <f>J36</f>
        <v>0</v>
      </c>
      <c r="F11" s="222">
        <f>J38</f>
        <v>0.10237102088032926</v>
      </c>
      <c r="G11" s="222">
        <f>J40</f>
        <v>0.17748115370700243</v>
      </c>
      <c r="H11" s="222">
        <f>J42</f>
        <v>0.22978421623662629</v>
      </c>
    </row>
    <row r="12" spans="1:13">
      <c r="E12" s="233"/>
    </row>
    <row r="13" spans="1:13">
      <c r="C13" s="478" t="s">
        <v>98</v>
      </c>
      <c r="D13" s="479"/>
      <c r="E13" s="479"/>
      <c r="F13" s="479"/>
      <c r="G13" s="479"/>
      <c r="H13" s="480"/>
    </row>
    <row r="14" spans="1:13">
      <c r="C14" s="8" t="s">
        <v>179</v>
      </c>
      <c r="D14" s="224"/>
      <c r="E14" s="224">
        <f>E5/$E5-1</f>
        <v>0</v>
      </c>
      <c r="F14" s="224">
        <f t="shared" ref="F14:H14" si="1">F5/$E5-1</f>
        <v>-0.14190733846908421</v>
      </c>
      <c r="G14" s="224">
        <f t="shared" si="1"/>
        <v>-0.18552912195020421</v>
      </c>
      <c r="H14" s="248">
        <f t="shared" si="1"/>
        <v>-0.20565006090530402</v>
      </c>
    </row>
    <row r="16" spans="1:13" ht="57">
      <c r="C16" s="90"/>
      <c r="D16" s="246" t="s">
        <v>205</v>
      </c>
      <c r="E16" s="247" t="s">
        <v>83</v>
      </c>
      <c r="F16" s="247" t="s">
        <v>35</v>
      </c>
      <c r="G16" s="393" t="s">
        <v>342</v>
      </c>
      <c r="H16" s="393" t="s">
        <v>343</v>
      </c>
      <c r="I16" s="393" t="s">
        <v>344</v>
      </c>
    </row>
    <row r="17" spans="2:19">
      <c r="C17" s="84" t="s">
        <v>23</v>
      </c>
      <c r="D17" s="55">
        <f>'Tableau de bord'!M13</f>
        <v>0.94164860725856581</v>
      </c>
      <c r="E17" s="92">
        <f>'Tableau de bord'!M25</f>
        <v>0.92482203671704166</v>
      </c>
      <c r="F17" s="92">
        <f>'Tableau de bord'!M28</f>
        <v>0.87187345624743762</v>
      </c>
      <c r="G17" s="92">
        <f>'Tableau de bord'!F37*('Tableau de bord'!E6/'Tableau de bord'!M6)+'Tableau de bord'!F41*('Tableau de bord'!M6-'Tableau de bord'!E6)/'Tableau de bord'!M6</f>
        <v>0.34297489765989558</v>
      </c>
      <c r="H17" s="92">
        <f>'Tableau de bord'!P33</f>
        <v>0.5</v>
      </c>
      <c r="I17" s="92">
        <f>'Tableau de bord'!AE33</f>
        <v>0.6</v>
      </c>
    </row>
    <row r="18" spans="2:19" ht="15.75" thickBot="1"/>
    <row r="19" spans="2:19">
      <c r="B19" s="505" t="s">
        <v>121</v>
      </c>
      <c r="C19" s="506"/>
      <c r="D19" s="506"/>
      <c r="E19" s="506"/>
      <c r="F19" s="506"/>
      <c r="G19" s="506"/>
      <c r="H19" s="506"/>
      <c r="I19" s="506"/>
      <c r="J19" s="506"/>
      <c r="K19" s="506"/>
      <c r="L19" s="507"/>
    </row>
    <row r="21" spans="2:19">
      <c r="C21" s="188">
        <v>2010</v>
      </c>
      <c r="D21" s="188">
        <v>2020</v>
      </c>
      <c r="E21" s="188">
        <f t="shared" ref="E21:J21" si="2">D21+5</f>
        <v>2025</v>
      </c>
      <c r="F21" s="188">
        <f t="shared" si="2"/>
        <v>2030</v>
      </c>
      <c r="G21" s="188">
        <f t="shared" si="2"/>
        <v>2035</v>
      </c>
      <c r="H21" s="188">
        <f t="shared" si="2"/>
        <v>2040</v>
      </c>
      <c r="I21" s="188">
        <f t="shared" si="2"/>
        <v>2045</v>
      </c>
      <c r="J21" s="188">
        <f t="shared" si="2"/>
        <v>2050</v>
      </c>
    </row>
    <row r="22" spans="2:19">
      <c r="B22" s="188" t="s">
        <v>126</v>
      </c>
      <c r="C22" s="189">
        <f>D22/'Init. énergie'!J$95^10</f>
        <v>27.135529659325233</v>
      </c>
      <c r="D22" s="189">
        <f>1000*D25/D23</f>
        <v>24.157052121600081</v>
      </c>
      <c r="E22" s="189">
        <f>(D22+F22)/2</f>
        <v>21.58911254808492</v>
      </c>
      <c r="F22" s="189">
        <f>$C22*(1-$F$17*G17)</f>
        <v>19.021172974569762</v>
      </c>
      <c r="G22" s="189">
        <f>(F22+H22)/2</f>
        <v>17.16366430915231</v>
      </c>
      <c r="H22" s="189">
        <f>$C22*(1-$F$17*H17)</f>
        <v>15.306155643734861</v>
      </c>
      <c r="I22" s="189">
        <f>(H22+J22)/2</f>
        <v>14.123218242175824</v>
      </c>
      <c r="J22" s="189">
        <f>$C22*(1-$F$17*I17)</f>
        <v>12.940280840616786</v>
      </c>
      <c r="L22" s="235" t="s">
        <v>206</v>
      </c>
    </row>
    <row r="23" spans="2:19" ht="15.75">
      <c r="B23" s="190" t="s">
        <v>127</v>
      </c>
      <c r="C23" s="276"/>
      <c r="D23" s="276">
        <f>'Init. parc'!C28/1000</f>
        <v>983.4370555157949</v>
      </c>
      <c r="E23" s="191">
        <f>(D23+F23)/2</f>
        <v>990.62586747057821</v>
      </c>
      <c r="F23" s="191">
        <f>'Init. parc'!D28/1000</f>
        <v>997.81467942536165</v>
      </c>
      <c r="G23" s="191">
        <f>(F23+H23)/2</f>
        <v>997.77949713083387</v>
      </c>
      <c r="H23" s="191">
        <f>'Init. parc'!E28/1000</f>
        <v>997.7443148363061</v>
      </c>
      <c r="I23" s="191">
        <f>(H23+J23)/2</f>
        <v>981.21627065781604</v>
      </c>
      <c r="J23" s="191">
        <f>'Init. parc'!F28/1000</f>
        <v>964.68822647932586</v>
      </c>
      <c r="K23" s="192"/>
    </row>
    <row r="25" spans="2:19">
      <c r="B25" s="193" t="s">
        <v>128</v>
      </c>
      <c r="C25" s="274"/>
      <c r="D25" s="274">
        <f>'Init. énergie'!C113</f>
        <v>23.756940208407972</v>
      </c>
      <c r="E25" s="194">
        <f t="shared" ref="E25:J25" si="3">E23*E22/1000</f>
        <v>21.386733345866567</v>
      </c>
      <c r="F25" s="194">
        <f t="shared" si="3"/>
        <v>18.979605613914678</v>
      </c>
      <c r="G25" s="194">
        <f t="shared" si="3"/>
        <v>17.125552343308435</v>
      </c>
      <c r="H25" s="194">
        <f t="shared" si="3"/>
        <v>15.2716297755361</v>
      </c>
      <c r="I25" s="194">
        <f t="shared" si="3"/>
        <v>13.857931533274199</v>
      </c>
      <c r="J25" s="194">
        <f t="shared" si="3"/>
        <v>12.483336574279008</v>
      </c>
    </row>
    <row r="27" spans="2:19">
      <c r="B27" s="188"/>
      <c r="C27" s="195" t="s">
        <v>19</v>
      </c>
      <c r="D27" s="188" t="s">
        <v>129</v>
      </c>
      <c r="E27" s="188" t="s">
        <v>76</v>
      </c>
      <c r="F27" s="188" t="s">
        <v>131</v>
      </c>
      <c r="G27" s="188" t="s">
        <v>132</v>
      </c>
      <c r="H27" s="188" t="s">
        <v>133</v>
      </c>
      <c r="I27" s="188" t="s">
        <v>134</v>
      </c>
      <c r="J27" s="188" t="s">
        <v>189</v>
      </c>
      <c r="O27" s="8" t="s">
        <v>278</v>
      </c>
      <c r="P27" s="9">
        <v>2020</v>
      </c>
      <c r="Q27" s="9">
        <v>2030</v>
      </c>
      <c r="R27" s="9">
        <v>2040</v>
      </c>
      <c r="S27" s="9">
        <v>2050</v>
      </c>
    </row>
    <row r="28" spans="2:19">
      <c r="B28" s="524" t="s">
        <v>135</v>
      </c>
      <c r="C28" s="196">
        <v>2020</v>
      </c>
      <c r="D28" s="275">
        <v>0.30436996905591907</v>
      </c>
      <c r="E28" s="275">
        <v>0.4755949508570973</v>
      </c>
      <c r="F28" s="275"/>
      <c r="G28" s="275">
        <v>0.14872764446813611</v>
      </c>
      <c r="H28" s="275">
        <v>6.0425857322091549E-3</v>
      </c>
      <c r="I28" s="275">
        <v>6.5264849886638152E-2</v>
      </c>
      <c r="J28" s="275">
        <v>0</v>
      </c>
      <c r="L28" s="299">
        <f t="shared" ref="L28:L34" si="4">SUM(D28:J28)</f>
        <v>0.99999999999999978</v>
      </c>
      <c r="O28" s="124" t="s">
        <v>15</v>
      </c>
      <c r="P28" s="107">
        <f>Résultats!Y155</f>
        <v>141901.09343289433</v>
      </c>
      <c r="Q28" s="107">
        <f>Résultats!Z155</f>
        <v>12854.882597958662</v>
      </c>
      <c r="R28" s="107">
        <f>Résultats!AA155</f>
        <v>0</v>
      </c>
      <c r="S28" s="107">
        <f>Résultats!AB155</f>
        <v>0</v>
      </c>
    </row>
    <row r="29" spans="2:19">
      <c r="B29" s="524"/>
      <c r="C29" s="188">
        <f t="shared" ref="C29:C34" si="5">C28+5</f>
        <v>2025</v>
      </c>
      <c r="D29" s="197">
        <f>(D28+D30)/2</f>
        <v>0.34793412300123361</v>
      </c>
      <c r="E29" s="197">
        <f t="shared" ref="E29:J29" si="6">(E28+E30)/2</f>
        <v>0.42540981609045292</v>
      </c>
      <c r="F29" s="197">
        <f t="shared" si="6"/>
        <v>0</v>
      </c>
      <c r="G29" s="197">
        <f t="shared" si="6"/>
        <v>8.0805474076351122E-2</v>
      </c>
      <c r="H29" s="197">
        <f t="shared" si="6"/>
        <v>1.8021292866104578E-2</v>
      </c>
      <c r="I29" s="197">
        <f t="shared" si="6"/>
        <v>0.12513242494331908</v>
      </c>
      <c r="J29" s="407">
        <f t="shared" si="6"/>
        <v>2.6968690225385172E-3</v>
      </c>
      <c r="L29" s="299">
        <f t="shared" si="4"/>
        <v>0.99999999999999978</v>
      </c>
      <c r="O29" s="124" t="s">
        <v>16</v>
      </c>
      <c r="P29" s="107">
        <f>Résultats!Y156</f>
        <v>454344.37842089933</v>
      </c>
      <c r="Q29" s="107">
        <f>Résultats!Z156</f>
        <v>374396.920570335</v>
      </c>
      <c r="R29" s="107">
        <f>Résultats!AA156</f>
        <v>177323.2924555307</v>
      </c>
      <c r="S29" s="107">
        <f>Résultats!AB156</f>
        <v>21762.121059560359</v>
      </c>
    </row>
    <row r="30" spans="2:19">
      <c r="B30" s="524"/>
      <c r="C30" s="188">
        <f t="shared" si="5"/>
        <v>2030</v>
      </c>
      <c r="D30" s="197">
        <f>Q46</f>
        <v>0.39149827694654815</v>
      </c>
      <c r="E30" s="197">
        <f>Q40</f>
        <v>0.3752246813238086</v>
      </c>
      <c r="F30" s="197"/>
      <c r="G30" s="197">
        <f>Q39</f>
        <v>1.2883303684566135E-2</v>
      </c>
      <c r="H30" s="197">
        <v>0.03</v>
      </c>
      <c r="I30" s="197">
        <v>0.185</v>
      </c>
      <c r="J30" s="407">
        <f>100%-SUM(D30:I30)</f>
        <v>5.3937380450770345E-3</v>
      </c>
      <c r="L30" s="299">
        <f t="shared" si="4"/>
        <v>1</v>
      </c>
      <c r="O30" s="124" t="s">
        <v>21</v>
      </c>
      <c r="P30" s="107">
        <f>Résultats!Y157</f>
        <v>71441.245547844053</v>
      </c>
      <c r="Q30" s="107">
        <f>Résultats!Z157</f>
        <v>187778.06218926172</v>
      </c>
      <c r="R30" s="107">
        <f>Résultats!AA157</f>
        <v>227415.30910128169</v>
      </c>
      <c r="S30" s="107">
        <f>Résultats!AB157</f>
        <v>236382.27092098337</v>
      </c>
    </row>
    <row r="31" spans="2:19">
      <c r="B31" s="524"/>
      <c r="C31" s="188">
        <f t="shared" si="5"/>
        <v>2035</v>
      </c>
      <c r="D31" s="197">
        <f>(D30+D32)/2</f>
        <v>0.47357049610446089</v>
      </c>
      <c r="E31" s="197">
        <f t="shared" ref="E31" si="7">(E30+E32)/2</f>
        <v>0.27648017055308288</v>
      </c>
      <c r="F31" s="197">
        <f t="shared" ref="F31" si="8">(F30+F32)/2</f>
        <v>0</v>
      </c>
      <c r="G31" s="197">
        <f t="shared" ref="G31" si="9">(G30+G32)/2</f>
        <v>6.4416518422830676E-3</v>
      </c>
      <c r="H31" s="197">
        <f t="shared" ref="H31" si="10">(H30+H32)/2</f>
        <v>0.03</v>
      </c>
      <c r="I31" s="197">
        <f t="shared" ref="I31" si="11">(I30+I32)/2</f>
        <v>0.20500000000000002</v>
      </c>
      <c r="J31" s="407">
        <f t="shared" ref="J31" si="12">(J30+J32)/2</f>
        <v>8.5076815001731143E-3</v>
      </c>
      <c r="L31" s="299">
        <f t="shared" si="4"/>
        <v>0.99999999999999989</v>
      </c>
      <c r="O31" s="124" t="s">
        <v>22</v>
      </c>
      <c r="P31" s="107">
        <f>Résultats!Y158</f>
        <v>14072.698497935504</v>
      </c>
      <c r="Q31" s="107">
        <f>Résultats!Z158</f>
        <v>10239.909292832006</v>
      </c>
      <c r="R31" s="107">
        <f>Résultats!AA158</f>
        <v>6168.4832918836091</v>
      </c>
      <c r="S31" s="107">
        <f>Résultats!AB158</f>
        <v>723.61470960254644</v>
      </c>
    </row>
    <row r="32" spans="2:19">
      <c r="B32" s="524"/>
      <c r="C32" s="188">
        <f t="shared" si="5"/>
        <v>2040</v>
      </c>
      <c r="D32" s="197">
        <f>R46</f>
        <v>0.55564271526237363</v>
      </c>
      <c r="E32" s="197">
        <f>R40</f>
        <v>0.17773565978235717</v>
      </c>
      <c r="F32" s="197"/>
      <c r="G32" s="197">
        <v>0</v>
      </c>
      <c r="H32" s="197">
        <v>0.03</v>
      </c>
      <c r="I32" s="197">
        <v>0.22500000000000001</v>
      </c>
      <c r="J32" s="407">
        <f t="shared" ref="J32:J34" si="13">100%-SUM(D32:I32)</f>
        <v>1.1621624955269194E-2</v>
      </c>
      <c r="L32" s="299">
        <f t="shared" si="4"/>
        <v>1</v>
      </c>
      <c r="O32" s="124" t="s">
        <v>42</v>
      </c>
      <c r="P32" s="107">
        <f>Résultats!Y159</f>
        <v>12713.837338469146</v>
      </c>
      <c r="Q32" s="107">
        <f>Résultats!Z159</f>
        <v>21889.569103846479</v>
      </c>
      <c r="R32" s="107">
        <f>Résultats!AA159</f>
        <v>32419.239495909082</v>
      </c>
      <c r="S32" s="107">
        <f>Résultats!AB159</f>
        <v>45971.32954744211</v>
      </c>
    </row>
    <row r="33" spans="2:19">
      <c r="B33" s="524"/>
      <c r="C33" s="188">
        <f t="shared" si="5"/>
        <v>2045</v>
      </c>
      <c r="D33" s="197">
        <f>(D32+D34)/2</f>
        <v>0.61981236987345889</v>
      </c>
      <c r="E33" s="197">
        <f t="shared" ref="E33" si="14">(E32+E34)/2</f>
        <v>0.10014790536477905</v>
      </c>
      <c r="F33" s="197">
        <f t="shared" ref="F33" si="15">(F32+F34)/2</f>
        <v>0</v>
      </c>
      <c r="G33" s="197">
        <f t="shared" ref="G33" si="16">(G32+G34)/2</f>
        <v>0</v>
      </c>
      <c r="H33" s="197">
        <f t="shared" ref="H33" si="17">(H32+H34)/2</f>
        <v>0.03</v>
      </c>
      <c r="I33" s="197">
        <f t="shared" ref="I33" si="18">(I32+I34)/2</f>
        <v>0.23502527450390132</v>
      </c>
      <c r="J33" s="407">
        <f t="shared" ref="J33" si="19">(J32+J34)/2</f>
        <v>1.5014450257860745E-2</v>
      </c>
      <c r="L33" s="299">
        <f t="shared" si="4"/>
        <v>1</v>
      </c>
      <c r="O33" s="124" t="s">
        <v>46</v>
      </c>
      <c r="P33" s="107">
        <f>Résultats!Y160</f>
        <v>230136.8893728843</v>
      </c>
      <c r="Q33" s="107">
        <f>Résultats!Z160</f>
        <v>155916.86465285215</v>
      </c>
      <c r="R33" s="107">
        <f>Résultats!AA160</f>
        <v>107652.1492993209</v>
      </c>
      <c r="S33" s="107">
        <f>Résultats!AB160</f>
        <v>101949.30514995787</v>
      </c>
    </row>
    <row r="34" spans="2:19">
      <c r="B34" s="524"/>
      <c r="C34" s="188">
        <f t="shared" si="5"/>
        <v>2050</v>
      </c>
      <c r="D34" s="197">
        <f>S46</f>
        <v>0.68398202448454415</v>
      </c>
      <c r="E34" s="197">
        <f>S40</f>
        <v>2.2560150947200926E-2</v>
      </c>
      <c r="F34" s="197"/>
      <c r="G34" s="197">
        <v>0</v>
      </c>
      <c r="H34" s="197">
        <v>0.03</v>
      </c>
      <c r="I34" s="197">
        <f>S41</f>
        <v>0.24505054900780263</v>
      </c>
      <c r="J34" s="407">
        <f t="shared" si="13"/>
        <v>1.8407275560452296E-2</v>
      </c>
      <c r="L34" s="299">
        <f t="shared" si="4"/>
        <v>1</v>
      </c>
      <c r="O34" s="124" t="s">
        <v>47</v>
      </c>
      <c r="P34" s="107">
        <f>Résultats!Y161</f>
        <v>58665.760521050746</v>
      </c>
      <c r="Q34" s="107">
        <f>Résultats!Z161</f>
        <v>234717.75133310686</v>
      </c>
      <c r="R34" s="107">
        <f>Résultats!AA161</f>
        <v>446701.41047538118</v>
      </c>
      <c r="S34" s="107">
        <f>Résultats!AB161</f>
        <v>557837.93006101123</v>
      </c>
    </row>
    <row r="35" spans="2:19">
      <c r="J35" t="s">
        <v>401</v>
      </c>
      <c r="P35" s="107">
        <f>Résultats!Y162</f>
        <v>0</v>
      </c>
      <c r="Q35" s="107">
        <f>Résultats!Z162</f>
        <v>0</v>
      </c>
      <c r="R35" s="107">
        <f>Résultats!AA162</f>
        <v>0</v>
      </c>
      <c r="S35" s="107">
        <f>Résultats!AB162</f>
        <v>0</v>
      </c>
    </row>
    <row r="36" spans="2:19" ht="14.45" customHeight="1">
      <c r="B36" s="524" t="s">
        <v>136</v>
      </c>
      <c r="C36" s="196">
        <v>2020</v>
      </c>
      <c r="D36" s="198">
        <f t="shared" ref="D36:J36" si="20">$D25*D28</f>
        <v>7.230899156096454</v>
      </c>
      <c r="E36" s="198">
        <f t="shared" si="20"/>
        <v>11.298680810932789</v>
      </c>
      <c r="F36" s="198">
        <f t="shared" si="20"/>
        <v>0</v>
      </c>
      <c r="G36" s="198">
        <f t="shared" si="20"/>
        <v>3.533313756966868</v>
      </c>
      <c r="H36" s="198">
        <f t="shared" si="20"/>
        <v>0.14355334794427199</v>
      </c>
      <c r="I36" s="198">
        <f t="shared" si="20"/>
        <v>1.5504931364675845</v>
      </c>
      <c r="J36" s="198">
        <f t="shared" si="20"/>
        <v>0</v>
      </c>
      <c r="O36" s="12" t="s">
        <v>17</v>
      </c>
      <c r="P36" s="107">
        <f>Résultats!Y163</f>
        <v>983275.90313197742</v>
      </c>
      <c r="Q36" s="107">
        <f>Résultats!Z163</f>
        <v>997793.95974019298</v>
      </c>
      <c r="R36" s="107">
        <f>Résultats!AA163</f>
        <v>997679.88411930716</v>
      </c>
      <c r="S36" s="107">
        <f>Résultats!AB163</f>
        <v>964626.57144855754</v>
      </c>
    </row>
    <row r="37" spans="2:19">
      <c r="B37" s="524"/>
      <c r="C37" s="188">
        <f t="shared" ref="C37:C42" si="21">C36+5</f>
        <v>2025</v>
      </c>
      <c r="D37" s="198">
        <f t="shared" ref="D37:J37" si="22">$E25*D29</f>
        <v>7.4411743105553221</v>
      </c>
      <c r="E37" s="198">
        <f t="shared" si="22"/>
        <v>9.0981262994406524</v>
      </c>
      <c r="F37" s="198">
        <f t="shared" si="22"/>
        <v>0</v>
      </c>
      <c r="G37" s="198">
        <f t="shared" si="22"/>
        <v>1.7281651269572549</v>
      </c>
      <c r="H37" s="198">
        <f t="shared" si="22"/>
        <v>0.38541658507514603</v>
      </c>
      <c r="I37" s="198">
        <f t="shared" si="22"/>
        <v>2.6761738051844275</v>
      </c>
      <c r="J37" s="198">
        <f t="shared" si="22"/>
        <v>5.7677218653759084E-2</v>
      </c>
    </row>
    <row r="38" spans="2:19">
      <c r="B38" s="524"/>
      <c r="C38" s="188">
        <f t="shared" si="21"/>
        <v>2030</v>
      </c>
      <c r="D38" s="198">
        <f t="shared" ref="D38:J38" si="23">$F25*D30</f>
        <v>7.4304828949726289</v>
      </c>
      <c r="E38" s="198">
        <f t="shared" si="23"/>
        <v>7.1216164681327037</v>
      </c>
      <c r="F38" s="198">
        <f t="shared" si="23"/>
        <v>0</v>
      </c>
      <c r="G38" s="198">
        <f t="shared" si="23"/>
        <v>0.24452002293735908</v>
      </c>
      <c r="H38" s="198">
        <f t="shared" si="23"/>
        <v>0.56938816841744033</v>
      </c>
      <c r="I38" s="198">
        <f t="shared" si="23"/>
        <v>3.5112270385742157</v>
      </c>
      <c r="J38" s="198">
        <f t="shared" si="23"/>
        <v>0.10237102088032926</v>
      </c>
      <c r="O38" s="8" t="s">
        <v>278</v>
      </c>
      <c r="P38" s="9">
        <v>2020</v>
      </c>
      <c r="Q38" s="9">
        <v>2030</v>
      </c>
      <c r="R38" s="9">
        <v>2040</v>
      </c>
      <c r="S38" s="9">
        <v>2050</v>
      </c>
    </row>
    <row r="39" spans="2:19">
      <c r="B39" s="524"/>
      <c r="C39" s="188">
        <f t="shared" si="21"/>
        <v>2035</v>
      </c>
      <c r="D39" s="198">
        <f t="shared" ref="D39:J39" si="24">$G25*D31</f>
        <v>8.1101563192834885</v>
      </c>
      <c r="E39" s="198">
        <f t="shared" si="24"/>
        <v>4.7348756326936643</v>
      </c>
      <c r="F39" s="198">
        <f t="shared" si="24"/>
        <v>0</v>
      </c>
      <c r="G39" s="198">
        <f t="shared" si="24"/>
        <v>0.11031684580238789</v>
      </c>
      <c r="H39" s="198">
        <f t="shared" si="24"/>
        <v>0.51376657029925299</v>
      </c>
      <c r="I39" s="198">
        <f t="shared" si="24"/>
        <v>3.5107382303782293</v>
      </c>
      <c r="J39" s="198">
        <f t="shared" si="24"/>
        <v>0.14569874485141149</v>
      </c>
      <c r="O39" s="124" t="s">
        <v>15</v>
      </c>
      <c r="P39" s="156">
        <f t="shared" ref="P39:S45" si="25">P28/P$36</f>
        <v>0.14431462520428312</v>
      </c>
      <c r="Q39" s="156">
        <f t="shared" si="25"/>
        <v>1.2883303684566135E-2</v>
      </c>
      <c r="R39" s="156">
        <f t="shared" si="25"/>
        <v>0</v>
      </c>
      <c r="S39" s="156">
        <f t="shared" si="25"/>
        <v>0</v>
      </c>
    </row>
    <row r="40" spans="2:19">
      <c r="B40" s="524"/>
      <c r="C40" s="188">
        <f t="shared" si="21"/>
        <v>2040</v>
      </c>
      <c r="D40" s="198">
        <f>$H25*D32</f>
        <v>8.485569834960593</v>
      </c>
      <c r="E40" s="198">
        <f t="shared" ref="E40:J40" si="26">$H25*E32</f>
        <v>2.7143131941067997</v>
      </c>
      <c r="F40" s="198">
        <f t="shared" si="26"/>
        <v>0</v>
      </c>
      <c r="G40" s="198">
        <f t="shared" si="26"/>
        <v>0</v>
      </c>
      <c r="H40" s="198">
        <f t="shared" si="26"/>
        <v>0.45814889326608299</v>
      </c>
      <c r="I40" s="198">
        <f t="shared" si="26"/>
        <v>3.4361166994956225</v>
      </c>
      <c r="J40" s="198">
        <f t="shared" si="26"/>
        <v>0.17748115370700243</v>
      </c>
      <c r="O40" s="124" t="s">
        <v>16</v>
      </c>
      <c r="P40" s="156">
        <f t="shared" si="25"/>
        <v>0.46207211727013742</v>
      </c>
      <c r="Q40" s="156">
        <f t="shared" si="25"/>
        <v>0.3752246813238086</v>
      </c>
      <c r="R40" s="156">
        <f t="shared" si="25"/>
        <v>0.17773565978235717</v>
      </c>
      <c r="S40" s="156">
        <f t="shared" si="25"/>
        <v>2.2560150947200926E-2</v>
      </c>
    </row>
    <row r="41" spans="2:19">
      <c r="B41" s="524"/>
      <c r="C41" s="188">
        <f t="shared" si="21"/>
        <v>2045</v>
      </c>
      <c r="D41" s="198">
        <f t="shared" ref="D41:J41" si="27">$I25*D33</f>
        <v>8.5893173851828166</v>
      </c>
      <c r="E41" s="198">
        <f t="shared" si="27"/>
        <v>1.3878428157459319</v>
      </c>
      <c r="F41" s="198">
        <f t="shared" si="27"/>
        <v>0</v>
      </c>
      <c r="G41" s="198">
        <f t="shared" si="27"/>
        <v>0</v>
      </c>
      <c r="H41" s="198">
        <f t="shared" si="27"/>
        <v>0.41573794599822594</v>
      </c>
      <c r="I41" s="198">
        <f t="shared" si="27"/>
        <v>3.2569641626640387</v>
      </c>
      <c r="J41" s="198">
        <f t="shared" si="27"/>
        <v>0.20806922368318534</v>
      </c>
      <c r="O41" s="124" t="s">
        <v>21</v>
      </c>
      <c r="P41" s="156">
        <f t="shared" si="25"/>
        <v>7.2656357508900593E-2</v>
      </c>
      <c r="Q41" s="156">
        <f t="shared" si="25"/>
        <v>0.18819322401806846</v>
      </c>
      <c r="R41" s="156">
        <f t="shared" si="25"/>
        <v>0.22794416598068476</v>
      </c>
      <c r="S41" s="156">
        <f t="shared" si="25"/>
        <v>0.24505054900780263</v>
      </c>
    </row>
    <row r="42" spans="2:19">
      <c r="B42" s="524"/>
      <c r="C42" s="188">
        <f t="shared" si="21"/>
        <v>2050</v>
      </c>
      <c r="D42" s="198">
        <f t="shared" ref="D42:J42" si="28">$J25*D34</f>
        <v>8.5383778223973099</v>
      </c>
      <c r="E42" s="198">
        <f t="shared" si="28"/>
        <v>0.28162595744044855</v>
      </c>
      <c r="F42" s="198">
        <f t="shared" si="28"/>
        <v>0</v>
      </c>
      <c r="G42" s="198">
        <f t="shared" si="28"/>
        <v>0</v>
      </c>
      <c r="H42" s="198">
        <f t="shared" si="28"/>
        <v>0.37450009722837024</v>
      </c>
      <c r="I42" s="198">
        <f t="shared" si="28"/>
        <v>3.0590484809762528</v>
      </c>
      <c r="J42" s="198">
        <f t="shared" si="28"/>
        <v>0.22978421623662629</v>
      </c>
      <c r="O42" s="124" t="s">
        <v>22</v>
      </c>
      <c r="P42" s="156">
        <f t="shared" si="25"/>
        <v>1.4312054686899649E-2</v>
      </c>
      <c r="Q42" s="156">
        <f t="shared" si="25"/>
        <v>1.0262548888849045E-2</v>
      </c>
      <c r="R42" s="156">
        <f t="shared" si="25"/>
        <v>6.1828281697077431E-3</v>
      </c>
      <c r="S42" s="156">
        <f t="shared" si="25"/>
        <v>7.5015009022186784E-4</v>
      </c>
    </row>
    <row r="43" spans="2:19">
      <c r="O43" s="124" t="s">
        <v>42</v>
      </c>
      <c r="P43" s="156">
        <f t="shared" si="25"/>
        <v>1.2930081270142411E-2</v>
      </c>
      <c r="Q43" s="156">
        <f t="shared" si="25"/>
        <v>2.1937965138159501E-2</v>
      </c>
      <c r="R43" s="156">
        <f t="shared" si="25"/>
        <v>3.2494630804876724E-2</v>
      </c>
      <c r="S43" s="156">
        <f t="shared" si="25"/>
        <v>4.7657125470230433E-2</v>
      </c>
    </row>
    <row r="44" spans="2:19" ht="15.75" thickBot="1">
      <c r="O44" s="124" t="s">
        <v>46</v>
      </c>
      <c r="P44" s="379">
        <f t="shared" si="25"/>
        <v>0.23405118404696104</v>
      </c>
      <c r="Q44" s="379">
        <f t="shared" si="25"/>
        <v>0.15626158399821344</v>
      </c>
      <c r="R44" s="379">
        <f t="shared" si="25"/>
        <v>0.1079024955929124</v>
      </c>
      <c r="S44" s="379">
        <f t="shared" si="25"/>
        <v>0.10568784664190096</v>
      </c>
    </row>
    <row r="45" spans="2:19">
      <c r="B45" s="505" t="s">
        <v>122</v>
      </c>
      <c r="C45" s="506"/>
      <c r="D45" s="506"/>
      <c r="E45" s="506"/>
      <c r="F45" s="506"/>
      <c r="G45" s="506"/>
      <c r="H45" s="506"/>
      <c r="I45" s="506"/>
      <c r="J45" s="506"/>
      <c r="K45" s="506"/>
      <c r="L45" s="507"/>
      <c r="O45" s="124" t="s">
        <v>47</v>
      </c>
      <c r="P45" s="379">
        <f t="shared" si="25"/>
        <v>5.966358001267575E-2</v>
      </c>
      <c r="Q45" s="379">
        <f t="shared" si="25"/>
        <v>0.23523669294833474</v>
      </c>
      <c r="R45" s="379">
        <f t="shared" si="25"/>
        <v>0.4477402196694612</v>
      </c>
      <c r="S45" s="379">
        <f t="shared" si="25"/>
        <v>0.57829417784264314</v>
      </c>
    </row>
    <row r="46" spans="2:19">
      <c r="O46" s="231" t="s">
        <v>400</v>
      </c>
      <c r="P46" s="156">
        <f>(P33+P34)/P$47</f>
        <v>0.29371476405963681</v>
      </c>
      <c r="Q46" s="156">
        <f t="shared" ref="Q46:S46" si="29">(Q33+Q34)/Q$47</f>
        <v>0.39149827694654815</v>
      </c>
      <c r="R46" s="156">
        <f t="shared" si="29"/>
        <v>0.55564271526237363</v>
      </c>
      <c r="S46" s="156">
        <f t="shared" si="29"/>
        <v>0.68398202448454415</v>
      </c>
    </row>
    <row r="47" spans="2:19">
      <c r="C47" s="188">
        <v>2010</v>
      </c>
      <c r="D47" s="188">
        <v>2020</v>
      </c>
      <c r="E47" s="188">
        <f t="shared" ref="E47:J47" si="30">D47+5</f>
        <v>2025</v>
      </c>
      <c r="F47" s="188">
        <f t="shared" si="30"/>
        <v>2030</v>
      </c>
      <c r="G47" s="188">
        <f t="shared" si="30"/>
        <v>2035</v>
      </c>
      <c r="H47" s="188">
        <f t="shared" si="30"/>
        <v>2040</v>
      </c>
      <c r="I47" s="188">
        <f t="shared" si="30"/>
        <v>2045</v>
      </c>
      <c r="J47" s="188">
        <f t="shared" si="30"/>
        <v>2050</v>
      </c>
      <c r="O47" s="12" t="s">
        <v>17</v>
      </c>
      <c r="P47" s="254">
        <f>P36</f>
        <v>983275.90313197742</v>
      </c>
      <c r="Q47" s="254">
        <f t="shared" ref="Q47:S47" si="31">Q36</f>
        <v>997793.95974019298</v>
      </c>
      <c r="R47" s="254">
        <f t="shared" si="31"/>
        <v>997679.88411930716</v>
      </c>
      <c r="S47" s="254">
        <f t="shared" si="31"/>
        <v>964626.57144855754</v>
      </c>
    </row>
    <row r="48" spans="2:19">
      <c r="B48" s="188" t="s">
        <v>139</v>
      </c>
      <c r="C48" s="189">
        <f>D48/'Init. énergie'!J$95^10</f>
        <v>13.386598005398593</v>
      </c>
      <c r="D48" s="189">
        <f>D51*1000/D49</f>
        <v>11.917244653309741</v>
      </c>
      <c r="E48" s="189">
        <f>(D48+F48)/2</f>
        <v>10.650419380157619</v>
      </c>
      <c r="F48" s="189">
        <f>$C48*(1-$F$17*G17)</f>
        <v>9.3835941070054982</v>
      </c>
      <c r="G48" s="189">
        <f>(F48+H48)/2</f>
        <v>8.4672411886115651</v>
      </c>
      <c r="H48" s="189">
        <f>$C48*(1-$F$17*H17)</f>
        <v>7.550888270217631</v>
      </c>
      <c r="I48" s="189">
        <f>(H48+J48)/2</f>
        <v>6.9673172966995338</v>
      </c>
      <c r="J48" s="189">
        <f>$C48*(1-$F$17*I17)</f>
        <v>6.3837463231814375</v>
      </c>
    </row>
    <row r="49" spans="2:15" ht="15.75">
      <c r="B49" s="190" t="s">
        <v>127</v>
      </c>
      <c r="C49" s="191"/>
      <c r="D49" s="191">
        <f t="shared" ref="D49:J49" si="32">D23</f>
        <v>983.4370555157949</v>
      </c>
      <c r="E49" s="191">
        <f t="shared" si="32"/>
        <v>990.62586747057821</v>
      </c>
      <c r="F49" s="191">
        <f t="shared" si="32"/>
        <v>997.81467942536165</v>
      </c>
      <c r="G49" s="191">
        <f t="shared" si="32"/>
        <v>997.77949713083387</v>
      </c>
      <c r="H49" s="191">
        <f t="shared" si="32"/>
        <v>997.7443148363061</v>
      </c>
      <c r="I49" s="191">
        <f t="shared" si="32"/>
        <v>981.21627065781604</v>
      </c>
      <c r="J49" s="191">
        <f t="shared" si="32"/>
        <v>964.68822647932586</v>
      </c>
    </row>
    <row r="51" spans="2:15">
      <c r="B51" s="193" t="s">
        <v>128</v>
      </c>
      <c r="C51" s="274"/>
      <c r="D51" s="274">
        <f>'Init. énergie'!C124</f>
        <v>11.719859991712282</v>
      </c>
      <c r="E51" s="194">
        <f t="shared" ref="E51:J51" si="33">E49*E48/1000</f>
        <v>10.550580937394098</v>
      </c>
      <c r="F51" s="194">
        <f t="shared" si="33"/>
        <v>9.3630879457394034</v>
      </c>
      <c r="G51" s="194">
        <f t="shared" si="33"/>
        <v>8.4484396552583316</v>
      </c>
      <c r="H51" s="194">
        <f t="shared" si="33"/>
        <v>7.5338558435737903</v>
      </c>
      <c r="I51" s="194">
        <f t="shared" si="33"/>
        <v>6.836445094357213</v>
      </c>
      <c r="J51" s="194">
        <f t="shared" si="33"/>
        <v>6.1583249188038183</v>
      </c>
    </row>
    <row r="54" spans="2:15">
      <c r="B54" s="188"/>
      <c r="C54" s="195" t="s">
        <v>19</v>
      </c>
      <c r="D54" s="188" t="s">
        <v>129</v>
      </c>
      <c r="E54" s="188" t="s">
        <v>76</v>
      </c>
      <c r="F54" s="188" t="s">
        <v>131</v>
      </c>
      <c r="G54" s="188" t="s">
        <v>132</v>
      </c>
      <c r="H54" s="188" t="s">
        <v>133</v>
      </c>
      <c r="I54" s="188"/>
    </row>
    <row r="55" spans="2:15">
      <c r="B55" s="524" t="s">
        <v>138</v>
      </c>
      <c r="C55" s="196">
        <v>2020</v>
      </c>
      <c r="D55" s="396">
        <v>0.38145894795856289</v>
      </c>
      <c r="E55" s="396">
        <v>0.4908480359618167</v>
      </c>
      <c r="F55" s="396"/>
      <c r="G55" s="396">
        <v>0.121629632897873</v>
      </c>
      <c r="H55" s="396">
        <v>6.0633831817471636E-3</v>
      </c>
      <c r="I55" s="227"/>
      <c r="J55" s="299">
        <f>SUM(D55:H55)</f>
        <v>0.99999999999999978</v>
      </c>
    </row>
    <row r="56" spans="2:15">
      <c r="B56" s="524"/>
      <c r="C56" s="188">
        <f t="shared" ref="C56:C61" si="34">C55+5</f>
        <v>2025</v>
      </c>
      <c r="D56" s="396">
        <v>0.54600000000000004</v>
      </c>
      <c r="E56" s="396">
        <v>0.38550000000000001</v>
      </c>
      <c r="F56" s="396"/>
      <c r="G56" s="396">
        <v>6.0499999999999998E-2</v>
      </c>
      <c r="H56" s="396">
        <v>8.0000000000000002E-3</v>
      </c>
      <c r="I56" s="227"/>
      <c r="J56" s="299">
        <f t="shared" ref="J56:J61" si="35">SUM(D56:H56)</f>
        <v>1</v>
      </c>
      <c r="L56" s="526" t="s">
        <v>402</v>
      </c>
      <c r="M56" s="526"/>
      <c r="N56" s="526"/>
      <c r="O56" s="526"/>
    </row>
    <row r="57" spans="2:15">
      <c r="B57" s="524"/>
      <c r="C57" s="188">
        <f t="shared" si="34"/>
        <v>2030</v>
      </c>
      <c r="D57" s="396">
        <v>0.71</v>
      </c>
      <c r="E57" s="396">
        <v>0.28000000000000003</v>
      </c>
      <c r="F57" s="396"/>
      <c r="G57" s="396">
        <v>0</v>
      </c>
      <c r="H57" s="396">
        <v>0.01</v>
      </c>
      <c r="I57" s="227"/>
      <c r="J57" s="299">
        <f t="shared" si="35"/>
        <v>1</v>
      </c>
      <c r="L57" s="526"/>
      <c r="M57" s="526"/>
      <c r="N57" s="526"/>
      <c r="O57" s="526"/>
    </row>
    <row r="58" spans="2:15">
      <c r="B58" s="524"/>
      <c r="C58" s="188">
        <f t="shared" si="34"/>
        <v>2035</v>
      </c>
      <c r="D58" s="396">
        <v>0.75749999999999995</v>
      </c>
      <c r="E58" s="396">
        <v>0.23250000000000001</v>
      </c>
      <c r="F58" s="396"/>
      <c r="G58" s="396">
        <v>0</v>
      </c>
      <c r="H58" s="396">
        <v>0.01</v>
      </c>
      <c r="I58" s="227"/>
      <c r="J58" s="299">
        <f t="shared" si="35"/>
        <v>1</v>
      </c>
      <c r="L58" s="526"/>
      <c r="M58" s="526"/>
      <c r="N58" s="526"/>
      <c r="O58" s="526"/>
    </row>
    <row r="59" spans="2:15">
      <c r="B59" s="524"/>
      <c r="C59" s="188">
        <f t="shared" si="34"/>
        <v>2040</v>
      </c>
      <c r="D59" s="396">
        <v>0.80500000000000005</v>
      </c>
      <c r="E59" s="396">
        <v>0.185</v>
      </c>
      <c r="F59" s="396"/>
      <c r="G59" s="396">
        <v>0</v>
      </c>
      <c r="H59" s="396">
        <v>0.01</v>
      </c>
      <c r="I59" s="227"/>
      <c r="J59" s="299">
        <f t="shared" si="35"/>
        <v>1</v>
      </c>
    </row>
    <row r="60" spans="2:15">
      <c r="B60" s="524"/>
      <c r="C60" s="188">
        <f t="shared" si="34"/>
        <v>2045</v>
      </c>
      <c r="D60" s="396">
        <v>0.85250000000000004</v>
      </c>
      <c r="E60" s="396">
        <v>0.13750000000000001</v>
      </c>
      <c r="F60" s="396"/>
      <c r="G60" s="396">
        <v>0</v>
      </c>
      <c r="H60" s="396">
        <v>0.01</v>
      </c>
      <c r="I60" s="227"/>
      <c r="J60" s="299">
        <f t="shared" si="35"/>
        <v>1</v>
      </c>
    </row>
    <row r="61" spans="2:15">
      <c r="B61" s="524"/>
      <c r="C61" s="188">
        <f t="shared" si="34"/>
        <v>2050</v>
      </c>
      <c r="D61" s="396">
        <v>0.9</v>
      </c>
      <c r="E61" s="396">
        <v>0.09</v>
      </c>
      <c r="F61" s="396"/>
      <c r="G61" s="396">
        <v>0</v>
      </c>
      <c r="H61" s="396">
        <v>0.01</v>
      </c>
      <c r="I61" s="227"/>
      <c r="J61" s="299">
        <f t="shared" si="35"/>
        <v>1</v>
      </c>
    </row>
    <row r="62" spans="2:15">
      <c r="D62" s="198"/>
      <c r="E62" s="198"/>
      <c r="F62" s="198"/>
      <c r="G62" s="198"/>
      <c r="H62" s="198"/>
    </row>
    <row r="63" spans="2:15" ht="14.45" customHeight="1">
      <c r="B63" s="524" t="s">
        <v>137</v>
      </c>
      <c r="C63" s="196">
        <v>2020</v>
      </c>
      <c r="D63" s="198">
        <f>$D51*D55</f>
        <v>4.4706454626602188</v>
      </c>
      <c r="E63" s="198">
        <f>$D51*E55</f>
        <v>5.7526702586794469</v>
      </c>
      <c r="F63" s="198">
        <f>$D51*F55</f>
        <v>0</v>
      </c>
      <c r="G63" s="198">
        <f>$D51*G55</f>
        <v>1.4254822684064337</v>
      </c>
      <c r="H63" s="198">
        <f>$D51*H55</f>
        <v>7.1062001966179705E-2</v>
      </c>
      <c r="I63" s="198"/>
    </row>
    <row r="64" spans="2:15">
      <c r="B64" s="524"/>
      <c r="C64" s="188">
        <f t="shared" ref="C64:C69" si="36">C63+5</f>
        <v>2025</v>
      </c>
      <c r="D64" s="198">
        <f>$E51*D56</f>
        <v>5.760617191817178</v>
      </c>
      <c r="E64" s="198">
        <f>$E51*E56</f>
        <v>4.0672489513654249</v>
      </c>
      <c r="F64" s="198">
        <f>$E51*F56</f>
        <v>0</v>
      </c>
      <c r="G64" s="198">
        <f>$E51*G56</f>
        <v>0.63831014671234299</v>
      </c>
      <c r="H64" s="198">
        <f>$E51*H56</f>
        <v>8.4404647499152788E-2</v>
      </c>
      <c r="I64" s="198"/>
    </row>
    <row r="65" spans="1:14">
      <c r="B65" s="524"/>
      <c r="C65" s="188">
        <f t="shared" si="36"/>
        <v>2030</v>
      </c>
      <c r="D65" s="198">
        <f>$F51*D57</f>
        <v>6.6477924414749765</v>
      </c>
      <c r="E65" s="198">
        <f>$F51*E57</f>
        <v>2.6216646248070332</v>
      </c>
      <c r="F65" s="198">
        <f>$F51*F57</f>
        <v>0</v>
      </c>
      <c r="G65" s="198">
        <f>$F51*G57</f>
        <v>0</v>
      </c>
      <c r="H65" s="198">
        <f>$F51*H57</f>
        <v>9.363087945739404E-2</v>
      </c>
      <c r="I65" s="198"/>
    </row>
    <row r="66" spans="1:14">
      <c r="B66" s="524"/>
      <c r="C66" s="188">
        <f t="shared" si="36"/>
        <v>2035</v>
      </c>
      <c r="D66" s="198">
        <f>$G51*D58</f>
        <v>6.3996930388581861</v>
      </c>
      <c r="E66" s="198">
        <f>$G51*E58</f>
        <v>1.9642622198475621</v>
      </c>
      <c r="F66" s="198">
        <f>$G51*F58</f>
        <v>0</v>
      </c>
      <c r="G66" s="198">
        <f>$G51*G58</f>
        <v>0</v>
      </c>
      <c r="H66" s="198">
        <f>$G51*H58</f>
        <v>8.4484396552583316E-2</v>
      </c>
      <c r="I66" s="198"/>
    </row>
    <row r="67" spans="1:14">
      <c r="B67" s="524"/>
      <c r="C67" s="188">
        <f t="shared" si="36"/>
        <v>2040</v>
      </c>
      <c r="D67" s="198">
        <f>$H51*D59</f>
        <v>6.0647539540769015</v>
      </c>
      <c r="E67" s="198">
        <f>$H51*E59</f>
        <v>1.3937633310611512</v>
      </c>
      <c r="F67" s="198">
        <f>$H51*F59</f>
        <v>0</v>
      </c>
      <c r="G67" s="198">
        <f>$H51*G59</f>
        <v>0</v>
      </c>
      <c r="H67" s="198">
        <f>$H51*H59</f>
        <v>7.5338558435737904E-2</v>
      </c>
      <c r="I67" s="198"/>
    </row>
    <row r="68" spans="1:14">
      <c r="B68" s="524"/>
      <c r="C68" s="188">
        <f t="shared" si="36"/>
        <v>2045</v>
      </c>
      <c r="D68" s="198">
        <f>$I51*D60</f>
        <v>5.8280694429395243</v>
      </c>
      <c r="E68" s="198">
        <f>$I51*E60</f>
        <v>0.9400112004741169</v>
      </c>
      <c r="F68" s="198">
        <f>$I51*F60</f>
        <v>0</v>
      </c>
      <c r="G68" s="198">
        <f>$I51*G60</f>
        <v>0</v>
      </c>
      <c r="H68" s="198">
        <f>$I51*H60</f>
        <v>6.836445094357213E-2</v>
      </c>
      <c r="I68" s="198"/>
    </row>
    <row r="69" spans="1:14">
      <c r="B69" s="524"/>
      <c r="C69" s="188">
        <f t="shared" si="36"/>
        <v>2050</v>
      </c>
      <c r="D69" s="198">
        <f>$J51*D61</f>
        <v>5.5424924269234364</v>
      </c>
      <c r="E69" s="198">
        <f>$J51*E61</f>
        <v>0.55424924269234366</v>
      </c>
      <c r="F69" s="198">
        <f>$J51*F61</f>
        <v>0</v>
      </c>
      <c r="G69" s="198">
        <f>$J51*G61</f>
        <v>0</v>
      </c>
      <c r="H69" s="198">
        <f>$J51*H61</f>
        <v>6.1583249188038182E-2</v>
      </c>
      <c r="I69" s="198"/>
    </row>
    <row r="71" spans="1:14" ht="15.75" thickBot="1"/>
    <row r="72" spans="1:14">
      <c r="B72" s="505" t="s">
        <v>123</v>
      </c>
      <c r="C72" s="506"/>
      <c r="D72" s="506"/>
      <c r="E72" s="506"/>
      <c r="F72" s="506"/>
      <c r="G72" s="506"/>
      <c r="H72" s="506"/>
      <c r="I72" s="506"/>
      <c r="J72" s="506"/>
      <c r="K72" s="506"/>
      <c r="L72" s="507"/>
    </row>
    <row r="73" spans="1:14">
      <c r="B73" s="403"/>
      <c r="C73" s="405"/>
      <c r="D73" s="405"/>
      <c r="E73" s="404"/>
      <c r="F73" s="404"/>
      <c r="G73" s="404"/>
      <c r="H73" s="404"/>
      <c r="I73" s="404"/>
      <c r="J73" s="404"/>
      <c r="M73" s="406"/>
      <c r="N73" s="406"/>
    </row>
    <row r="74" spans="1:14">
      <c r="A74" t="s">
        <v>340</v>
      </c>
      <c r="C74" s="93">
        <v>2020</v>
      </c>
      <c r="D74" s="93">
        <f t="shared" ref="D74:I74" si="37">C74+5</f>
        <v>2025</v>
      </c>
      <c r="E74" s="93">
        <f t="shared" si="37"/>
        <v>2030</v>
      </c>
      <c r="F74" s="93">
        <f t="shared" si="37"/>
        <v>2035</v>
      </c>
      <c r="G74" s="93">
        <f t="shared" si="37"/>
        <v>2040</v>
      </c>
      <c r="H74" s="93">
        <f>G74+5</f>
        <v>2045</v>
      </c>
      <c r="I74" s="93">
        <f t="shared" si="37"/>
        <v>2050</v>
      </c>
      <c r="M74" s="406"/>
      <c r="N74" s="406"/>
    </row>
    <row r="75" spans="1:14">
      <c r="B75" s="188" t="s">
        <v>368</v>
      </c>
      <c r="C75" s="419">
        <f>1000*C87/C79</f>
        <v>71.486730295513496</v>
      </c>
      <c r="D75" s="419">
        <f>D78+D77</f>
        <v>71.342488443425665</v>
      </c>
      <c r="E75" s="419">
        <f t="shared" ref="E75:I75" si="38">E78+E77</f>
        <v>71.20032498840304</v>
      </c>
      <c r="F75" s="419">
        <f t="shared" si="38"/>
        <v>72.686646864593897</v>
      </c>
      <c r="G75" s="419">
        <f t="shared" si="38"/>
        <v>74.140367197163755</v>
      </c>
      <c r="H75" s="419">
        <f t="shared" si="38"/>
        <v>75.919041228089313</v>
      </c>
      <c r="I75" s="419">
        <f t="shared" si="38"/>
        <v>76.999779151169776</v>
      </c>
      <c r="J75" t="s">
        <v>373</v>
      </c>
      <c r="M75" s="406"/>
      <c r="N75" s="406"/>
    </row>
    <row r="76" spans="1:14">
      <c r="B76" s="350" t="s">
        <v>369</v>
      </c>
      <c r="C76" s="372">
        <v>14.966965816561107</v>
      </c>
      <c r="D76" s="220">
        <f>(C76+E76)/2</f>
        <v>14.933482908280553</v>
      </c>
      <c r="E76" s="372">
        <v>14.9</v>
      </c>
      <c r="F76" s="372">
        <f>$E$77+($I$77-$E$77)/20*5</f>
        <v>16.382496129922448</v>
      </c>
      <c r="G76" s="372">
        <f>$E$77+($I$77-$E$77)/20*10</f>
        <v>17.832359670614132</v>
      </c>
      <c r="H76" s="372">
        <f>$E$77+($I$77-$E$77)/20*15</f>
        <v>19.282223211305819</v>
      </c>
      <c r="I76" s="372">
        <v>20</v>
      </c>
      <c r="J76" t="s">
        <v>370</v>
      </c>
      <c r="M76" s="406"/>
      <c r="N76" s="406"/>
    </row>
    <row r="77" spans="1:14">
      <c r="B77" s="350" t="s">
        <v>371</v>
      </c>
      <c r="C77" s="199">
        <f>C76/C79*1000</f>
        <v>15.21903789634122</v>
      </c>
      <c r="D77" s="199">
        <f t="shared" ref="D77:I77" si="39">D76/D79*1000</f>
        <v>15.074796044253388</v>
      </c>
      <c r="E77" s="199">
        <f t="shared" si="39"/>
        <v>14.93263258923076</v>
      </c>
      <c r="F77" s="199">
        <f t="shared" si="39"/>
        <v>16.418954465421624</v>
      </c>
      <c r="G77" s="199">
        <f t="shared" si="39"/>
        <v>17.872674797991486</v>
      </c>
      <c r="H77" s="199">
        <f t="shared" si="39"/>
        <v>19.65134882891704</v>
      </c>
      <c r="I77" s="199">
        <f t="shared" si="39"/>
        <v>20.732086751997507</v>
      </c>
      <c r="M77" s="406"/>
      <c r="N77" s="406"/>
    </row>
    <row r="78" spans="1:14">
      <c r="B78" s="118" t="s">
        <v>374</v>
      </c>
      <c r="C78" s="199">
        <f>C75-C77</f>
        <v>56.267692399172276</v>
      </c>
      <c r="D78" s="199">
        <f>C78</f>
        <v>56.267692399172276</v>
      </c>
      <c r="E78" s="199">
        <f t="shared" ref="E78:H78" si="40">D78</f>
        <v>56.267692399172276</v>
      </c>
      <c r="F78" s="199">
        <f t="shared" si="40"/>
        <v>56.267692399172276</v>
      </c>
      <c r="G78" s="199">
        <f t="shared" si="40"/>
        <v>56.267692399172276</v>
      </c>
      <c r="H78" s="199">
        <f t="shared" si="40"/>
        <v>56.267692399172276</v>
      </c>
      <c r="I78" s="199">
        <f>H78</f>
        <v>56.267692399172276</v>
      </c>
      <c r="J78" t="s">
        <v>410</v>
      </c>
      <c r="M78" s="406"/>
      <c r="N78" s="406"/>
    </row>
    <row r="79" spans="1:14" ht="15.75">
      <c r="B79" s="190" t="s">
        <v>127</v>
      </c>
      <c r="C79" s="191">
        <f t="shared" ref="C79:I79" si="41">D23</f>
        <v>983.4370555157949</v>
      </c>
      <c r="D79" s="191">
        <f t="shared" si="41"/>
        <v>990.62586747057821</v>
      </c>
      <c r="E79" s="191">
        <f t="shared" si="41"/>
        <v>997.81467942536165</v>
      </c>
      <c r="F79" s="191">
        <f t="shared" si="41"/>
        <v>997.77949713083387</v>
      </c>
      <c r="G79" s="191">
        <f t="shared" si="41"/>
        <v>997.7443148363061</v>
      </c>
      <c r="H79" s="191">
        <f t="shared" si="41"/>
        <v>981.21627065781604</v>
      </c>
      <c r="I79" s="191">
        <f t="shared" si="41"/>
        <v>964.68822647932586</v>
      </c>
      <c r="M79" s="406"/>
      <c r="N79" s="406"/>
    </row>
    <row r="80" spans="1:14" ht="15.75">
      <c r="B80" s="351"/>
      <c r="C80" s="352"/>
      <c r="D80" s="352"/>
      <c r="E80" s="352"/>
      <c r="F80" s="352"/>
      <c r="G80" s="352"/>
      <c r="H80" s="352"/>
      <c r="I80" s="352"/>
      <c r="M80" s="406"/>
      <c r="N80" s="406"/>
    </row>
    <row r="81" spans="1:14">
      <c r="A81" t="s">
        <v>341</v>
      </c>
      <c r="B81" s="188" t="s">
        <v>140</v>
      </c>
      <c r="C81" s="419">
        <f>C87*1000/C79</f>
        <v>71.486730295513496</v>
      </c>
      <c r="D81" s="419">
        <f>D84+D83</f>
        <v>61.693285422343365</v>
      </c>
      <c r="E81" s="419">
        <f t="shared" ref="E81:I81" si="42">E84+E83</f>
        <v>51.901918946238439</v>
      </c>
      <c r="F81" s="419">
        <f t="shared" si="42"/>
        <v>48.970520743718524</v>
      </c>
      <c r="G81" s="419">
        <f t="shared" si="42"/>
        <v>46.006520997577624</v>
      </c>
      <c r="H81" s="419">
        <f t="shared" si="42"/>
        <v>44.97181040854457</v>
      </c>
      <c r="I81" s="419">
        <f t="shared" si="42"/>
        <v>43.239163711666421</v>
      </c>
      <c r="J81" t="s">
        <v>373</v>
      </c>
      <c r="M81" s="406"/>
      <c r="N81" s="406"/>
    </row>
    <row r="82" spans="1:14">
      <c r="B82" s="350" t="s">
        <v>369</v>
      </c>
      <c r="C82" s="372">
        <v>14.966965816561107</v>
      </c>
      <c r="D82" s="220">
        <f>(C82+E82)/2</f>
        <v>14.933482908280553</v>
      </c>
      <c r="E82" s="372">
        <v>14.9</v>
      </c>
      <c r="F82" s="372">
        <f>$E$77+($I$77-$E$77)/20*5</f>
        <v>16.382496129922448</v>
      </c>
      <c r="G82" s="372">
        <f>$E$77+($I$77-$E$77)/20*10</f>
        <v>17.832359670614132</v>
      </c>
      <c r="H82" s="372">
        <f>$E$77+($I$77-$E$77)/20*15</f>
        <v>19.282223211305819</v>
      </c>
      <c r="I82" s="372">
        <v>20</v>
      </c>
      <c r="J82" t="s">
        <v>370</v>
      </c>
      <c r="M82" s="406"/>
      <c r="N82" s="406"/>
    </row>
    <row r="83" spans="1:14">
      <c r="B83" s="350" t="s">
        <v>371</v>
      </c>
      <c r="C83" s="199">
        <f>C82/C85*1000</f>
        <v>15.21903789634122</v>
      </c>
      <c r="D83" s="199">
        <f t="shared" ref="D83:I83" si="43">D82/D85*1000</f>
        <v>15.074796044253388</v>
      </c>
      <c r="E83" s="199">
        <f t="shared" si="43"/>
        <v>14.93263258923076</v>
      </c>
      <c r="F83" s="199">
        <f t="shared" si="43"/>
        <v>16.418954465421624</v>
      </c>
      <c r="G83" s="199">
        <f t="shared" si="43"/>
        <v>17.872674797991486</v>
      </c>
      <c r="H83" s="199">
        <f t="shared" si="43"/>
        <v>19.65134882891704</v>
      </c>
      <c r="I83" s="199">
        <f t="shared" si="43"/>
        <v>20.732086751997507</v>
      </c>
      <c r="M83" s="406"/>
      <c r="N83" s="406"/>
    </row>
    <row r="84" spans="1:14">
      <c r="B84" s="118" t="s">
        <v>374</v>
      </c>
      <c r="C84" s="199">
        <f>C81-C83</f>
        <v>56.267692399172276</v>
      </c>
      <c r="D84" s="199">
        <f>(C84+E84)/2</f>
        <v>46.618489378089976</v>
      </c>
      <c r="E84" s="199">
        <f>C84*(1-$G$17)</f>
        <v>36.969286357007675</v>
      </c>
      <c r="F84" s="199">
        <f>(E84+G84)/2</f>
        <v>32.551566278296903</v>
      </c>
      <c r="G84" s="199">
        <f>C84*(1-$H$17)</f>
        <v>28.133846199586138</v>
      </c>
      <c r="H84" s="199">
        <f>(G84+I84)/2</f>
        <v>25.320461579627526</v>
      </c>
      <c r="I84" s="199">
        <f>C84*(1-$I$17)</f>
        <v>22.507076959668911</v>
      </c>
      <c r="J84" t="s">
        <v>424</v>
      </c>
      <c r="M84" s="406"/>
      <c r="N84" s="406"/>
    </row>
    <row r="85" spans="1:14" ht="15.75">
      <c r="B85" s="190" t="s">
        <v>127</v>
      </c>
      <c r="C85" s="191">
        <f t="shared" ref="C85:I85" si="44">D23</f>
        <v>983.4370555157949</v>
      </c>
      <c r="D85" s="191">
        <f t="shared" si="44"/>
        <v>990.62586747057821</v>
      </c>
      <c r="E85" s="191">
        <f t="shared" si="44"/>
        <v>997.81467942536165</v>
      </c>
      <c r="F85" s="191">
        <f t="shared" si="44"/>
        <v>997.77949713083387</v>
      </c>
      <c r="G85" s="191">
        <f t="shared" si="44"/>
        <v>997.7443148363061</v>
      </c>
      <c r="H85" s="191">
        <f t="shared" si="44"/>
        <v>981.21627065781604</v>
      </c>
      <c r="I85" s="191">
        <f t="shared" si="44"/>
        <v>964.68822647932586</v>
      </c>
      <c r="M85" s="406"/>
      <c r="N85" s="406"/>
    </row>
    <row r="86" spans="1:14" ht="15.75">
      <c r="B86" s="351"/>
      <c r="C86" s="352"/>
      <c r="D86" s="352"/>
      <c r="E86" s="352"/>
      <c r="F86" s="352"/>
      <c r="G86" s="352"/>
      <c r="H86" s="352"/>
      <c r="I86" s="352"/>
      <c r="M86" s="406"/>
      <c r="N86" s="406"/>
    </row>
    <row r="87" spans="1:14">
      <c r="B87" s="193" t="s">
        <v>128</v>
      </c>
      <c r="C87" s="274">
        <f>'Init. énergie'!C129</f>
        <v>70.302699550271555</v>
      </c>
      <c r="D87" s="194">
        <f>(D75*D79*(1-$F$17)+D81*D85*$F$17)/1000</f>
        <v>62.339694003212394</v>
      </c>
      <c r="E87" s="194">
        <f>(E75*E79*(1-$F$17)+E81*E85*$F$17)/1000</f>
        <v>54.255731174178614</v>
      </c>
      <c r="F87" s="194">
        <f t="shared" ref="F87:I87" si="45">(F75*F79*(1-$F$17)+F81*F85*$F$17)/1000</f>
        <v>51.893699468017317</v>
      </c>
      <c r="G87" s="194">
        <f t="shared" si="45"/>
        <v>49.499306195411521</v>
      </c>
      <c r="H87" s="194">
        <f t="shared" si="45"/>
        <v>48.017753292809019</v>
      </c>
      <c r="I87" s="194">
        <f t="shared" si="45"/>
        <v>45.885197425489821</v>
      </c>
      <c r="M87" s="406"/>
      <c r="N87" s="406"/>
    </row>
    <row r="88" spans="1:14">
      <c r="B88" s="403"/>
      <c r="C88" s="405"/>
      <c r="D88" s="405"/>
      <c r="E88" s="404"/>
      <c r="F88" s="404"/>
      <c r="G88" s="404"/>
      <c r="H88" s="404"/>
      <c r="I88" s="404"/>
      <c r="J88" s="404"/>
      <c r="M88" s="406"/>
      <c r="N88" s="406"/>
    </row>
    <row r="89" spans="1:14" ht="15.75" thickBot="1"/>
    <row r="90" spans="1:14">
      <c r="B90" s="505" t="s">
        <v>124</v>
      </c>
      <c r="C90" s="506"/>
      <c r="D90" s="506"/>
      <c r="E90" s="506"/>
      <c r="F90" s="506"/>
      <c r="G90" s="506"/>
      <c r="H90" s="506"/>
      <c r="I90" s="506"/>
      <c r="J90" s="506"/>
      <c r="K90" s="506"/>
      <c r="L90" s="507"/>
    </row>
    <row r="92" spans="1:14">
      <c r="B92" t="s">
        <v>190</v>
      </c>
    </row>
    <row r="93" spans="1:14" ht="15.75" thickBot="1"/>
    <row r="94" spans="1:14">
      <c r="B94" s="200" t="s">
        <v>142</v>
      </c>
      <c r="C94" s="201"/>
      <c r="D94" s="202">
        <v>2006</v>
      </c>
      <c r="E94" s="202">
        <v>2015</v>
      </c>
      <c r="F94" s="202">
        <v>2020</v>
      </c>
      <c r="G94" s="202">
        <v>2030</v>
      </c>
      <c r="H94" s="202">
        <v>2040</v>
      </c>
      <c r="I94" s="203">
        <v>2050</v>
      </c>
    </row>
    <row r="95" spans="1:14">
      <c r="B95" s="204" t="s">
        <v>143</v>
      </c>
      <c r="C95" s="205"/>
      <c r="D95" s="206"/>
      <c r="E95" s="206"/>
      <c r="F95" s="206">
        <v>3.1948068674499273</v>
      </c>
      <c r="G95" s="206">
        <v>2.3007850515687069</v>
      </c>
      <c r="H95" s="206">
        <v>1.845092054749095</v>
      </c>
      <c r="I95" s="207">
        <v>1.75575483083293</v>
      </c>
    </row>
    <row r="96" spans="1:14">
      <c r="B96" s="208" t="s">
        <v>144</v>
      </c>
      <c r="C96" s="209"/>
      <c r="D96" s="210"/>
      <c r="E96" s="210"/>
      <c r="F96" s="210">
        <v>0.90642131916452451</v>
      </c>
      <c r="G96" s="210">
        <v>0.68892377147259842</v>
      </c>
      <c r="H96" s="210">
        <v>0.6018981712928706</v>
      </c>
      <c r="I96" s="211">
        <v>0.61368785502201761</v>
      </c>
    </row>
    <row r="97" spans="2:9">
      <c r="B97" s="204" t="s">
        <v>145</v>
      </c>
      <c r="C97" s="205"/>
      <c r="D97" s="206"/>
      <c r="E97" s="206"/>
      <c r="F97" s="206">
        <v>1.3712899722102905</v>
      </c>
      <c r="G97" s="206">
        <v>1.0102265553187142</v>
      </c>
      <c r="H97" s="206">
        <v>0.87654371393122299</v>
      </c>
      <c r="I97" s="207">
        <v>0.88147435001443686</v>
      </c>
    </row>
    <row r="98" spans="2:9">
      <c r="B98" s="208" t="s">
        <v>146</v>
      </c>
      <c r="C98" s="209"/>
      <c r="D98" s="210"/>
      <c r="E98" s="210"/>
      <c r="F98" s="210">
        <v>0.1714143473755961</v>
      </c>
      <c r="G98" s="210">
        <v>0.1211015618632594</v>
      </c>
      <c r="H98" s="210">
        <v>0.11258567108136026</v>
      </c>
      <c r="I98" s="211">
        <v>0.11877212824718282</v>
      </c>
    </row>
    <row r="99" spans="2:9">
      <c r="B99" s="204" t="s">
        <v>147</v>
      </c>
      <c r="C99" s="205"/>
      <c r="D99" s="206"/>
      <c r="E99" s="206"/>
      <c r="F99" s="206">
        <v>0.97008721791894292</v>
      </c>
      <c r="G99" s="206">
        <v>0.70955446993267113</v>
      </c>
      <c r="H99" s="206">
        <v>0.59033033594160611</v>
      </c>
      <c r="I99" s="207">
        <v>0.56598241245844472</v>
      </c>
    </row>
    <row r="100" spans="2:9">
      <c r="B100" s="208" t="s">
        <v>148</v>
      </c>
      <c r="C100" s="209"/>
      <c r="D100" s="210"/>
      <c r="E100" s="210"/>
      <c r="F100" s="210">
        <v>1.1908877510776446</v>
      </c>
      <c r="G100" s="210">
        <v>0.88455509405089328</v>
      </c>
      <c r="H100" s="210">
        <v>0.74869800184582558</v>
      </c>
      <c r="I100" s="211">
        <v>0.73291205483325439</v>
      </c>
    </row>
    <row r="101" spans="2:9">
      <c r="B101" s="204" t="s">
        <v>149</v>
      </c>
      <c r="C101" s="205"/>
      <c r="D101" s="206"/>
      <c r="E101" s="206"/>
      <c r="F101" s="206">
        <v>0.36110142911649884</v>
      </c>
      <c r="G101" s="206">
        <v>0.26976344925704315</v>
      </c>
      <c r="H101" s="206">
        <v>0.22103054653601245</v>
      </c>
      <c r="I101" s="207">
        <v>0.20239115841799912</v>
      </c>
    </row>
    <row r="102" spans="2:9">
      <c r="B102" s="208" t="s">
        <v>150</v>
      </c>
      <c r="C102" s="209"/>
      <c r="D102" s="210"/>
      <c r="E102" s="210"/>
      <c r="F102" s="210">
        <v>2.2967304223455329</v>
      </c>
      <c r="G102" s="210">
        <v>1.7547315797434109</v>
      </c>
      <c r="H102" s="210">
        <v>1.3620995976477868</v>
      </c>
      <c r="I102" s="211">
        <v>1.1843662036668436</v>
      </c>
    </row>
    <row r="103" spans="2:9">
      <c r="B103" s="204" t="s">
        <v>151</v>
      </c>
      <c r="C103" s="205"/>
      <c r="D103" s="206"/>
      <c r="E103" s="206"/>
      <c r="F103" s="206">
        <v>0.21097527959120022</v>
      </c>
      <c r="G103" s="206">
        <v>0.14236913259456621</v>
      </c>
      <c r="H103" s="206">
        <v>0.10322177806923001</v>
      </c>
      <c r="I103" s="207">
        <v>8.9832650717423149E-2</v>
      </c>
    </row>
    <row r="104" spans="2:9">
      <c r="B104" s="208" t="s">
        <v>152</v>
      </c>
      <c r="C104" s="209"/>
      <c r="D104" s="210"/>
      <c r="E104" s="210"/>
      <c r="F104" s="210">
        <v>0.20162401689799292</v>
      </c>
      <c r="G104" s="210">
        <v>0.13626131302245031</v>
      </c>
      <c r="H104" s="210">
        <v>9.8717885709241823E-2</v>
      </c>
      <c r="I104" s="211">
        <v>8.6016367610053393E-2</v>
      </c>
    </row>
    <row r="105" spans="2:9">
      <c r="B105" s="204" t="s">
        <v>153</v>
      </c>
      <c r="C105" s="205"/>
      <c r="D105" s="206"/>
      <c r="E105" s="206"/>
      <c r="F105" s="206">
        <v>0.1477063433194972</v>
      </c>
      <c r="G105" s="206">
        <v>9.977238997180464E-2</v>
      </c>
      <c r="H105" s="206">
        <v>7.2351918987535999E-2</v>
      </c>
      <c r="I105" s="207">
        <v>6.2499535048332021E-2</v>
      </c>
    </row>
    <row r="106" spans="2:9">
      <c r="B106" s="208" t="s">
        <v>154</v>
      </c>
      <c r="C106" s="209"/>
      <c r="D106" s="210"/>
      <c r="E106" s="210"/>
      <c r="F106" s="210">
        <v>3.2094865616157889E-2</v>
      </c>
      <c r="G106" s="210">
        <v>2.1880278938455337E-2</v>
      </c>
      <c r="H106" s="210">
        <v>1.5821206563474455E-2</v>
      </c>
      <c r="I106" s="211">
        <v>1.3785188971711416E-2</v>
      </c>
    </row>
    <row r="107" spans="2:9" ht="15.75" thickBot="1">
      <c r="B107" s="212" t="s">
        <v>155</v>
      </c>
      <c r="C107" s="213"/>
      <c r="D107" s="214"/>
      <c r="E107" s="214"/>
      <c r="F107" s="214">
        <v>0.44960618397765512</v>
      </c>
      <c r="G107" s="214">
        <v>0.30383904802065897</v>
      </c>
      <c r="H107" s="214">
        <v>0.22037419694620469</v>
      </c>
      <c r="I107" s="228">
        <v>0.19223391048428412</v>
      </c>
    </row>
    <row r="108" spans="2:9" ht="15.75" thickBot="1">
      <c r="B108" s="525" t="s">
        <v>156</v>
      </c>
      <c r="C108" s="525"/>
      <c r="D108" s="215"/>
      <c r="E108" s="215"/>
      <c r="F108" s="215">
        <v>11.504746016061461</v>
      </c>
      <c r="G108" s="215">
        <v>8.4437636957552336</v>
      </c>
      <c r="H108" s="215">
        <v>6.8687650793014674</v>
      </c>
      <c r="I108" s="215">
        <v>6.4997086463249136</v>
      </c>
    </row>
    <row r="112" spans="2:9">
      <c r="B112" t="s">
        <v>157</v>
      </c>
      <c r="D112">
        <v>2020</v>
      </c>
      <c r="E112">
        <v>2030</v>
      </c>
      <c r="F112">
        <v>2040</v>
      </c>
      <c r="G112">
        <v>2050</v>
      </c>
    </row>
    <row r="113" spans="2:18">
      <c r="B113" t="s">
        <v>158</v>
      </c>
      <c r="D113" s="216">
        <f>SUM(F95:F102)</f>
        <v>10.462739326658959</v>
      </c>
      <c r="E113" s="216">
        <f>SUM(G95:G102)</f>
        <v>7.7396415332072976</v>
      </c>
      <c r="F113" s="216">
        <f>SUM(H95:H102)</f>
        <v>6.3582780930257803</v>
      </c>
      <c r="G113" s="216">
        <f>SUM(I95:I102)</f>
        <v>6.0553409934931093</v>
      </c>
    </row>
    <row r="114" spans="2:18">
      <c r="B114" t="s">
        <v>159</v>
      </c>
      <c r="D114" s="216">
        <f>SUM(F103:F107)</f>
        <v>1.0420066894025033</v>
      </c>
      <c r="E114" s="216">
        <f>SUM(G103:G107)</f>
        <v>0.70412216254793547</v>
      </c>
      <c r="F114" s="216">
        <f>SUM(H103:H107)</f>
        <v>0.510486986275687</v>
      </c>
      <c r="G114" s="216">
        <f>SUM(I103:I107)</f>
        <v>0.44436765283180413</v>
      </c>
    </row>
    <row r="118" spans="2:18" ht="15.75" thickBot="1"/>
    <row r="119" spans="2:18">
      <c r="B119" s="505" t="s">
        <v>125</v>
      </c>
      <c r="C119" s="506"/>
      <c r="D119" s="506"/>
      <c r="E119" s="506"/>
      <c r="F119" s="506"/>
      <c r="G119" s="506"/>
      <c r="H119" s="506"/>
      <c r="I119" s="506"/>
      <c r="J119" s="506"/>
      <c r="K119" s="506"/>
      <c r="L119" s="507"/>
    </row>
    <row r="122" spans="2:18">
      <c r="B122" s="217" t="s">
        <v>191</v>
      </c>
    </row>
    <row r="123" spans="2:18">
      <c r="B123" t="s">
        <v>160</v>
      </c>
      <c r="C123" s="196">
        <v>2020</v>
      </c>
      <c r="D123" s="196">
        <v>2025</v>
      </c>
      <c r="E123" s="196">
        <v>2030</v>
      </c>
      <c r="F123" s="196">
        <v>2035</v>
      </c>
      <c r="G123" s="196">
        <v>2040</v>
      </c>
      <c r="H123" s="196">
        <v>2045</v>
      </c>
      <c r="I123" s="196">
        <v>2050</v>
      </c>
    </row>
    <row r="124" spans="2:18">
      <c r="B124" s="196" t="s">
        <v>161</v>
      </c>
      <c r="C124" s="218">
        <v>6.5</v>
      </c>
      <c r="D124" s="218">
        <v>5.5</v>
      </c>
      <c r="E124" s="218">
        <v>4</v>
      </c>
      <c r="F124" s="218">
        <v>3.5</v>
      </c>
      <c r="G124" s="218">
        <v>3</v>
      </c>
      <c r="H124" s="218">
        <v>2.5</v>
      </c>
      <c r="I124" s="218">
        <v>2</v>
      </c>
      <c r="J124" t="s">
        <v>192</v>
      </c>
    </row>
    <row r="125" spans="2:18" ht="55.5" customHeight="1">
      <c r="B125" s="398" t="s">
        <v>163</v>
      </c>
      <c r="C125" s="399">
        <v>11.9</v>
      </c>
      <c r="D125" s="399">
        <v>13.715461348837442</v>
      </c>
      <c r="E125" s="399">
        <v>18</v>
      </c>
      <c r="F125" s="399">
        <f>(E125+G125)/2</f>
        <v>21</v>
      </c>
      <c r="G125" s="399">
        <f>(E125+I125)/2</f>
        <v>24</v>
      </c>
      <c r="H125" s="399">
        <f>(G125+I125)/2</f>
        <v>27</v>
      </c>
      <c r="I125" s="399">
        <v>30</v>
      </c>
      <c r="J125" s="522" t="s">
        <v>408</v>
      </c>
      <c r="K125" s="523"/>
      <c r="L125" s="523"/>
      <c r="M125" s="523"/>
      <c r="N125" s="523"/>
      <c r="O125" s="523"/>
      <c r="P125" s="523"/>
      <c r="Q125" s="523"/>
      <c r="R125" s="523"/>
    </row>
    <row r="126" spans="2:18">
      <c r="B126" s="395" t="s">
        <v>164</v>
      </c>
      <c r="C126" s="400">
        <v>1.27</v>
      </c>
      <c r="D126" s="400">
        <v>1.2953999999999999</v>
      </c>
      <c r="E126" s="400">
        <v>1.3208</v>
      </c>
      <c r="F126" s="400">
        <v>1.3462000000000001</v>
      </c>
      <c r="G126" s="400">
        <v>1.3716000000000002</v>
      </c>
      <c r="H126" s="400">
        <v>1.3843000000000001</v>
      </c>
      <c r="I126" s="400">
        <v>1.3970000000000002</v>
      </c>
      <c r="J126" s="401" t="s">
        <v>165</v>
      </c>
      <c r="N126" s="402" t="s">
        <v>409</v>
      </c>
    </row>
    <row r="127" spans="2:18">
      <c r="B127" s="196" t="s">
        <v>166</v>
      </c>
      <c r="C127" s="218">
        <v>1.3640000000000001</v>
      </c>
      <c r="D127" s="218">
        <v>1.3640000000000001</v>
      </c>
      <c r="E127" s="218">
        <v>1.3640000000000001</v>
      </c>
      <c r="F127" s="218">
        <v>1.3640000000000001</v>
      </c>
      <c r="G127" s="218">
        <v>1.3640000000000001</v>
      </c>
      <c r="H127" s="218">
        <v>1.3640000000000001</v>
      </c>
      <c r="I127" s="218">
        <v>1.3640000000000001</v>
      </c>
      <c r="J127" t="s">
        <v>193</v>
      </c>
    </row>
    <row r="128" spans="2:18">
      <c r="B128" s="196" t="s">
        <v>168</v>
      </c>
      <c r="C128" s="218">
        <v>6.2960000000000003</v>
      </c>
      <c r="D128" s="218">
        <v>6.6</v>
      </c>
      <c r="E128" s="218">
        <v>7</v>
      </c>
      <c r="F128" s="218">
        <v>7</v>
      </c>
      <c r="G128" s="218">
        <v>7</v>
      </c>
      <c r="H128" s="218">
        <v>7</v>
      </c>
      <c r="I128" s="218">
        <v>7</v>
      </c>
      <c r="J128" t="s">
        <v>194</v>
      </c>
    </row>
    <row r="129" spans="2:10">
      <c r="B129" s="196" t="s">
        <v>170</v>
      </c>
      <c r="C129" s="218">
        <v>6.3630000000000004</v>
      </c>
      <c r="D129" s="218">
        <v>6.3630000000000004</v>
      </c>
      <c r="E129" s="218">
        <v>6.3630000000000004</v>
      </c>
      <c r="F129" s="218">
        <v>6.3630000000000004</v>
      </c>
      <c r="G129" s="218">
        <v>6.3630000000000004</v>
      </c>
      <c r="H129" s="218">
        <v>6.3630000000000004</v>
      </c>
      <c r="I129" s="218">
        <v>6.3630000000000004</v>
      </c>
      <c r="J129" t="s">
        <v>195</v>
      </c>
    </row>
    <row r="130" spans="2:10">
      <c r="B130" s="196" t="s">
        <v>171</v>
      </c>
      <c r="C130" s="218">
        <v>1.92</v>
      </c>
      <c r="D130" s="218">
        <v>1.92</v>
      </c>
      <c r="E130" s="218">
        <v>1.92</v>
      </c>
      <c r="F130" s="218">
        <v>1.92</v>
      </c>
      <c r="G130" s="218">
        <v>1.92</v>
      </c>
      <c r="H130" s="218">
        <v>1.92</v>
      </c>
      <c r="I130" s="218">
        <v>1.92</v>
      </c>
      <c r="J130" s="229" t="s">
        <v>196</v>
      </c>
    </row>
    <row r="131" spans="2:10">
      <c r="B131" t="s">
        <v>173</v>
      </c>
      <c r="C131" s="220"/>
    </row>
    <row r="132" spans="2:10">
      <c r="B132" s="217" t="s">
        <v>17</v>
      </c>
      <c r="C132" s="221">
        <f>SUM(C124:C131)</f>
        <v>35.613</v>
      </c>
      <c r="D132" s="221">
        <f t="shared" ref="D132:I132" si="46">SUM(D124:D131)</f>
        <v>36.757861348837444</v>
      </c>
      <c r="E132" s="221">
        <f t="shared" si="46"/>
        <v>39.967800000000004</v>
      </c>
      <c r="F132" s="221">
        <f t="shared" si="46"/>
        <v>42.493200000000002</v>
      </c>
      <c r="G132" s="221">
        <f t="shared" si="46"/>
        <v>45.018600000000006</v>
      </c>
      <c r="H132" s="221">
        <f t="shared" si="46"/>
        <v>47.531300000000002</v>
      </c>
      <c r="I132" s="221">
        <f t="shared" si="46"/>
        <v>50.043999999999997</v>
      </c>
    </row>
  </sheetData>
  <mergeCells count="15">
    <mergeCell ref="J125:R125"/>
    <mergeCell ref="B36:B42"/>
    <mergeCell ref="A1:M1"/>
    <mergeCell ref="C3:H3"/>
    <mergeCell ref="C13:H13"/>
    <mergeCell ref="B19:L19"/>
    <mergeCell ref="B28:B34"/>
    <mergeCell ref="B119:L119"/>
    <mergeCell ref="B45:L45"/>
    <mergeCell ref="B55:B61"/>
    <mergeCell ref="B63:B69"/>
    <mergeCell ref="B72:L72"/>
    <mergeCell ref="B90:L90"/>
    <mergeCell ref="B108:C108"/>
    <mergeCell ref="L56:O58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N154"/>
  <sheetViews>
    <sheetView zoomScale="85" zoomScaleNormal="85" workbookViewId="0">
      <selection activeCell="E55" sqref="E55"/>
    </sheetView>
  </sheetViews>
  <sheetFormatPr baseColWidth="10" defaultRowHeight="15"/>
  <cols>
    <col min="1" max="1" width="26" customWidth="1"/>
    <col min="2" max="2" width="32.140625" customWidth="1"/>
    <col min="3" max="3" width="16.28515625" bestFit="1" customWidth="1"/>
    <col min="4" max="5" width="15" bestFit="1" customWidth="1"/>
    <col min="6" max="9" width="11.7109375" bestFit="1" customWidth="1"/>
    <col min="12" max="12" width="14.85546875" customWidth="1"/>
  </cols>
  <sheetData>
    <row r="1" spans="1:13" ht="18.75">
      <c r="A1" s="497" t="s">
        <v>120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</row>
    <row r="3" spans="1:13">
      <c r="C3" s="478" t="s">
        <v>60</v>
      </c>
      <c r="D3" s="479"/>
      <c r="E3" s="479"/>
      <c r="F3" s="479"/>
      <c r="G3" s="479"/>
      <c r="H3" s="480"/>
    </row>
    <row r="4" spans="1:13">
      <c r="D4" s="9"/>
      <c r="E4" s="9">
        <v>2020</v>
      </c>
      <c r="F4" s="9">
        <v>2030</v>
      </c>
      <c r="G4" s="9">
        <v>2040</v>
      </c>
      <c r="H4" s="9">
        <v>2050</v>
      </c>
    </row>
    <row r="5" spans="1:13">
      <c r="C5" s="8" t="s">
        <v>175</v>
      </c>
      <c r="D5" s="222"/>
      <c r="E5" s="225">
        <f>SUM(E6:E10)</f>
        <v>158.82824117655741</v>
      </c>
      <c r="F5" s="225">
        <f t="shared" ref="F5:H5" si="0">SUM(F6:F10)</f>
        <v>163.79885340304168</v>
      </c>
      <c r="G5" s="225">
        <f t="shared" si="0"/>
        <v>185.01660117107875</v>
      </c>
      <c r="H5" s="225">
        <f t="shared" si="0"/>
        <v>213.98016858048382</v>
      </c>
      <c r="I5" s="254"/>
    </row>
    <row r="6" spans="1:13">
      <c r="C6" s="124" t="s">
        <v>176</v>
      </c>
      <c r="D6" s="86"/>
      <c r="E6" s="222">
        <f>D40+D70+C91+D118+C137</f>
        <v>135.1859045081749</v>
      </c>
      <c r="F6" s="222">
        <f>D42+D72+E91+E118+E137</f>
        <v>143.57148465130985</v>
      </c>
      <c r="G6" s="222">
        <f>D44+D74+G91+G137+F118</f>
        <v>166.29647997488041</v>
      </c>
      <c r="H6" s="222">
        <f>D46+D76+I91+G118+I137</f>
        <v>196.60662358904526</v>
      </c>
    </row>
    <row r="7" spans="1:13">
      <c r="C7" s="124" t="s">
        <v>76</v>
      </c>
      <c r="D7" s="86"/>
      <c r="E7" s="222">
        <f>E40+E70</f>
        <v>16.918432156631194</v>
      </c>
      <c r="F7" s="222">
        <f>E42+E72</f>
        <v>14.402066372549832</v>
      </c>
      <c r="G7" s="222">
        <f>E44+E74</f>
        <v>13.527232268561685</v>
      </c>
      <c r="H7" s="222">
        <f>E46+E76</f>
        <v>12.627611524259041</v>
      </c>
    </row>
    <row r="8" spans="1:13">
      <c r="C8" s="124" t="s">
        <v>177</v>
      </c>
      <c r="D8" s="86"/>
      <c r="E8" s="222">
        <f>G40+G70</f>
        <v>4.9587960253733012</v>
      </c>
      <c r="F8" s="222">
        <f>G42+G72</f>
        <v>3.8830438834044845</v>
      </c>
      <c r="G8" s="222">
        <f>G44+G74</f>
        <v>3.2984830966687158</v>
      </c>
      <c r="H8" s="222">
        <f>G46+G76</f>
        <v>2.9346220514475667</v>
      </c>
    </row>
    <row r="9" spans="1:13">
      <c r="C9" s="124" t="s">
        <v>133</v>
      </c>
      <c r="D9" s="10"/>
      <c r="E9" s="223">
        <f>H40+H70</f>
        <v>0.2146153499104517</v>
      </c>
      <c r="F9" s="222">
        <f>H42+H72</f>
        <v>0.23724516632789316</v>
      </c>
      <c r="G9" s="222">
        <f>H44+H74</f>
        <v>0.24732151527102963</v>
      </c>
      <c r="H9" s="222">
        <f>H46+H76</f>
        <v>0.25394561321281112</v>
      </c>
    </row>
    <row r="10" spans="1:13">
      <c r="C10" s="124" t="s">
        <v>178</v>
      </c>
      <c r="D10" s="10"/>
      <c r="E10" s="223">
        <f>I40</f>
        <v>1.5504931364675845</v>
      </c>
      <c r="F10" s="222">
        <f>I42</f>
        <v>1.705013329449637</v>
      </c>
      <c r="G10" s="222">
        <f>I44</f>
        <v>1.6470843156968891</v>
      </c>
      <c r="H10" s="222">
        <f>I46</f>
        <v>1.5573658025191424</v>
      </c>
    </row>
    <row r="11" spans="1:13">
      <c r="C11" s="124" t="s">
        <v>201</v>
      </c>
      <c r="D11" s="277"/>
      <c r="E11" s="278"/>
      <c r="F11" s="279"/>
      <c r="G11" s="279"/>
      <c r="H11" s="279"/>
    </row>
    <row r="13" spans="1:13">
      <c r="C13" s="478" t="s">
        <v>98</v>
      </c>
      <c r="D13" s="479"/>
      <c r="E13" s="479"/>
      <c r="F13" s="479"/>
      <c r="G13" s="479"/>
      <c r="H13" s="480"/>
    </row>
    <row r="14" spans="1:13">
      <c r="C14" s="8" t="s">
        <v>179</v>
      </c>
      <c r="D14" s="224"/>
      <c r="E14" s="224">
        <f>E5/$E5-1</f>
        <v>0</v>
      </c>
      <c r="F14" s="224">
        <f t="shared" ref="F14:H14" si="1">F5/$E5-1</f>
        <v>3.1295518918192933E-2</v>
      </c>
      <c r="G14" s="224">
        <f t="shared" si="1"/>
        <v>0.16488478245760896</v>
      </c>
      <c r="H14" s="224">
        <f t="shared" si="1"/>
        <v>0.34724257471703757</v>
      </c>
    </row>
    <row r="16" spans="1:13" ht="45.75">
      <c r="C16" s="90"/>
      <c r="D16" s="261" t="s">
        <v>205</v>
      </c>
      <c r="E16" s="260" t="s">
        <v>83</v>
      </c>
      <c r="F16" s="260" t="s">
        <v>35</v>
      </c>
      <c r="G16" s="347" t="s">
        <v>342</v>
      </c>
      <c r="H16" s="347" t="s">
        <v>343</v>
      </c>
      <c r="I16" s="347" t="s">
        <v>344</v>
      </c>
    </row>
    <row r="17" spans="1:17">
      <c r="C17" s="84" t="s">
        <v>23</v>
      </c>
      <c r="D17" s="55">
        <f>'Tableau de bord'!M12</f>
        <v>0.79522122626701186</v>
      </c>
      <c r="E17" s="92">
        <f>'Tableau de bord'!M24</f>
        <v>0.48126877450670869</v>
      </c>
      <c r="F17" s="92">
        <f>'Tableau de bord'!M27</f>
        <v>0.38418053955446152</v>
      </c>
      <c r="G17" s="92">
        <f>'Tableau de bord'!F52*('Tableau de bord'!E6/'Tableau de bord'!M6)+'Tableau de bord'!F56*('Tableau de bord'!M6-'Tableau de bord'!E6)/'Tableau de bord'!M6</f>
        <v>0.31337991812791643</v>
      </c>
      <c r="H17" s="92">
        <f>'Tableau de bord'!U52*('Tableau de bord'!E6/'Tableau de bord'!M6)+'Tableau de bord'!U56*('Tableau de bord'!M6-'Tableau de bord'!E6)/'Tableau de bord'!M6</f>
        <v>0.42499999999999999</v>
      </c>
      <c r="I17" s="92">
        <f>'Tableau de bord'!AJ52*'Tableau de bord'!E6/'Tableau de bord'!M6+'Tableau de bord'!AJ56*('Tableau de bord'!M6-'Tableau de bord'!E6)/'Tableau de bord'!M6</f>
        <v>0.52500000000000002</v>
      </c>
    </row>
    <row r="18" spans="1:17" ht="15.75" thickBot="1">
      <c r="G18" t="s">
        <v>345</v>
      </c>
    </row>
    <row r="19" spans="1:17">
      <c r="B19" s="505" t="s">
        <v>121</v>
      </c>
      <c r="C19" s="506"/>
      <c r="D19" s="506"/>
      <c r="E19" s="506"/>
      <c r="F19" s="506"/>
      <c r="G19" s="506"/>
      <c r="H19" s="506"/>
      <c r="I19" s="506"/>
      <c r="J19" s="506"/>
      <c r="K19" s="506"/>
      <c r="L19" s="507"/>
    </row>
    <row r="21" spans="1:17">
      <c r="C21" s="188">
        <v>2020</v>
      </c>
      <c r="D21" s="188">
        <f t="shared" ref="D21:I21" si="2">C21+5</f>
        <v>2025</v>
      </c>
      <c r="E21" s="188">
        <f t="shared" si="2"/>
        <v>2030</v>
      </c>
      <c r="F21" s="188">
        <f t="shared" si="2"/>
        <v>2035</v>
      </c>
      <c r="G21" s="188">
        <f t="shared" si="2"/>
        <v>2040</v>
      </c>
      <c r="H21" s="188">
        <f>G21+5</f>
        <v>2045</v>
      </c>
      <c r="I21" s="188">
        <f t="shared" si="2"/>
        <v>2050</v>
      </c>
    </row>
    <row r="22" spans="1:17">
      <c r="A22" t="s">
        <v>340</v>
      </c>
      <c r="C22" s="350"/>
      <c r="D22" s="350"/>
      <c r="E22" s="350"/>
      <c r="F22" s="350"/>
      <c r="G22" s="350"/>
      <c r="H22" s="350"/>
      <c r="I22" s="350"/>
    </row>
    <row r="23" spans="1:17">
      <c r="B23" s="188" t="s">
        <v>126</v>
      </c>
      <c r="C23" s="255">
        <f>1000*C29/C24</f>
        <v>24.157052121600081</v>
      </c>
      <c r="D23" s="255">
        <f>C23</f>
        <v>24.157052121600081</v>
      </c>
      <c r="E23" s="255">
        <f t="shared" ref="E23:H23" si="3">D23</f>
        <v>24.157052121600081</v>
      </c>
      <c r="F23" s="255">
        <f t="shared" si="3"/>
        <v>24.157052121600081</v>
      </c>
      <c r="G23" s="255">
        <f t="shared" si="3"/>
        <v>24.157052121600081</v>
      </c>
      <c r="H23" s="255">
        <f t="shared" si="3"/>
        <v>24.157052121600081</v>
      </c>
      <c r="I23" s="255">
        <f>H23</f>
        <v>24.157052121600081</v>
      </c>
    </row>
    <row r="24" spans="1:17" ht="15.75">
      <c r="B24" s="190" t="s">
        <v>127</v>
      </c>
      <c r="C24" s="276">
        <f>'Init. parc'!C28/1000</f>
        <v>983.4370555157949</v>
      </c>
      <c r="D24" s="191">
        <f>(C24+E24)/2</f>
        <v>993.22426593672935</v>
      </c>
      <c r="E24" s="191">
        <f>'Init. parc'!D$12/1000</f>
        <v>1003.0114763576638</v>
      </c>
      <c r="F24" s="191">
        <f>(E24+G24)/2</f>
        <v>1010.801503387927</v>
      </c>
      <c r="G24" s="191">
        <f>'Init. parc'!E$12/1000</f>
        <v>1018.5915304181902</v>
      </c>
      <c r="H24" s="191">
        <f>(G24+I24)/2</f>
        <v>1014.0241715364807</v>
      </c>
      <c r="I24" s="191">
        <f>'Init. parc'!F$12/1000</f>
        <v>1009.4568126547711</v>
      </c>
      <c r="J24" s="192"/>
    </row>
    <row r="25" spans="1:17">
      <c r="A25" t="s">
        <v>341</v>
      </c>
      <c r="C25" s="350"/>
      <c r="D25" s="350"/>
      <c r="E25" s="350"/>
      <c r="F25" s="350"/>
      <c r="G25" s="350"/>
      <c r="H25" s="350"/>
      <c r="I25" s="350"/>
      <c r="J25" s="192"/>
    </row>
    <row r="26" spans="1:17">
      <c r="B26" s="188" t="s">
        <v>126</v>
      </c>
      <c r="C26" s="255">
        <f>1000*C29/C27</f>
        <v>24.157052121600081</v>
      </c>
      <c r="D26" s="255">
        <f>(C26+E26)/2</f>
        <v>20.37188461356066</v>
      </c>
      <c r="E26" s="255">
        <f>C26*(1-$G$17)</f>
        <v>16.586717105521238</v>
      </c>
      <c r="F26" s="255">
        <f>(E26+G26)/2</f>
        <v>15.238511037720642</v>
      </c>
      <c r="G26" s="255">
        <f>C26*(1-$H$17)</f>
        <v>13.890304969920045</v>
      </c>
      <c r="H26" s="255">
        <f>(G26+I26)/2</f>
        <v>12.682452363840042</v>
      </c>
      <c r="I26" s="255">
        <f>C26*(1-$I$17)</f>
        <v>11.474599757760037</v>
      </c>
      <c r="J26" s="192"/>
    </row>
    <row r="27" spans="1:17" ht="15.75">
      <c r="B27" s="190" t="s">
        <v>127</v>
      </c>
      <c r="C27" s="276">
        <f>'Init. parc'!C28/1000</f>
        <v>983.4370555157949</v>
      </c>
      <c r="D27" s="191">
        <f>(C27+E27)/2</f>
        <v>993.22426593672935</v>
      </c>
      <c r="E27" s="191">
        <f>'Init. parc'!D$12/1000</f>
        <v>1003.0114763576638</v>
      </c>
      <c r="F27" s="191">
        <f>(E27+G27)/2</f>
        <v>1010.801503387927</v>
      </c>
      <c r="G27" s="191">
        <f>'Init. parc'!E$12/1000</f>
        <v>1018.5915304181902</v>
      </c>
      <c r="H27" s="191">
        <f>(G27+I27)/2</f>
        <v>1014.0241715364807</v>
      </c>
      <c r="I27" s="191">
        <f>'Init. parc'!F$12/1000</f>
        <v>1009.4568126547711</v>
      </c>
      <c r="J27" s="192"/>
    </row>
    <row r="29" spans="1:17">
      <c r="B29" s="193" t="s">
        <v>128</v>
      </c>
      <c r="C29" s="274">
        <f>'Init. énergie'!C113</f>
        <v>23.756940208407972</v>
      </c>
      <c r="D29" s="194">
        <f>(D23*D24*(1-$F$17)+D26*D27*$F$17)/1000</f>
        <v>22.549035854232024</v>
      </c>
      <c r="E29" s="194">
        <f t="shared" ref="E29:I29" si="4">(E23*E24*(1-$F$17)+E26*E27*$F$17)/1000</f>
        <v>21.312666618120463</v>
      </c>
      <c r="F29" s="194">
        <f t="shared" si="4"/>
        <v>20.954645161990445</v>
      </c>
      <c r="G29" s="194">
        <f t="shared" si="4"/>
        <v>20.588553946211114</v>
      </c>
      <c r="H29" s="194">
        <f t="shared" si="4"/>
        <v>20.025693831478282</v>
      </c>
      <c r="I29" s="194">
        <f t="shared" si="4"/>
        <v>19.467072531489279</v>
      </c>
    </row>
    <row r="31" spans="1:17" ht="15" customHeight="1">
      <c r="B31" s="188"/>
      <c r="C31" s="195" t="s">
        <v>18</v>
      </c>
      <c r="D31" s="188" t="s">
        <v>129</v>
      </c>
      <c r="E31" s="188" t="s">
        <v>130</v>
      </c>
      <c r="F31" s="188" t="s">
        <v>131</v>
      </c>
      <c r="G31" s="188" t="s">
        <v>132</v>
      </c>
      <c r="H31" s="188" t="s">
        <v>133</v>
      </c>
      <c r="I31" s="188" t="s">
        <v>134</v>
      </c>
      <c r="J31" s="188" t="s">
        <v>393</v>
      </c>
      <c r="L31" s="74"/>
      <c r="M31" t="s">
        <v>381</v>
      </c>
      <c r="N31" s="9">
        <v>2020</v>
      </c>
      <c r="O31" s="9">
        <v>2030</v>
      </c>
      <c r="P31" s="9">
        <v>2040</v>
      </c>
      <c r="Q31" s="9">
        <v>2050</v>
      </c>
    </row>
    <row r="32" spans="1:17">
      <c r="B32" s="524" t="s">
        <v>135</v>
      </c>
      <c r="C32" s="196">
        <v>2020</v>
      </c>
      <c r="D32" s="275">
        <v>0.3</v>
      </c>
      <c r="E32" s="275">
        <v>0.47</v>
      </c>
      <c r="F32" s="275"/>
      <c r="G32" s="275">
        <v>0.14872764446813611</v>
      </c>
      <c r="H32" s="275">
        <v>6.0425857322091549E-3</v>
      </c>
      <c r="I32" s="275">
        <v>6.5264849886638152E-2</v>
      </c>
      <c r="J32" s="275">
        <v>0.01</v>
      </c>
      <c r="K32" s="527" t="s">
        <v>394</v>
      </c>
      <c r="L32" s="528"/>
      <c r="M32" s="124" t="s">
        <v>15</v>
      </c>
      <c r="N32" s="156">
        <v>0.14415655922165294</v>
      </c>
      <c r="O32" s="156">
        <v>0.11945007344902489</v>
      </c>
      <c r="P32" s="156">
        <v>0.10460933258984489</v>
      </c>
      <c r="Q32" s="156">
        <v>8.8623038339001689E-2</v>
      </c>
    </row>
    <row r="33" spans="2:17">
      <c r="B33" s="524"/>
      <c r="C33" s="188">
        <f t="shared" ref="C33:C38" si="5">C32+5</f>
        <v>2025</v>
      </c>
      <c r="D33" s="197">
        <f>(D32+D34)/2</f>
        <v>0.32599999999999996</v>
      </c>
      <c r="E33" s="197">
        <f t="shared" ref="E33:J33" si="6">(E32+E34)/2</f>
        <v>0.44499999999999995</v>
      </c>
      <c r="F33" s="197">
        <f t="shared" si="6"/>
        <v>0</v>
      </c>
      <c r="G33" s="197">
        <f t="shared" si="6"/>
        <v>0.13936382223406807</v>
      </c>
      <c r="H33" s="197">
        <f t="shared" si="6"/>
        <v>7.0212928661045771E-3</v>
      </c>
      <c r="I33" s="197">
        <f t="shared" si="6"/>
        <v>7.2632424943319077E-2</v>
      </c>
      <c r="J33" s="197">
        <f t="shared" si="6"/>
        <v>0.01</v>
      </c>
      <c r="K33" s="527"/>
      <c r="L33" s="528"/>
      <c r="M33" s="124" t="s">
        <v>16</v>
      </c>
      <c r="N33" s="156">
        <v>0.46184216675104878</v>
      </c>
      <c r="O33" s="156">
        <v>0.42459793538493057</v>
      </c>
      <c r="P33" s="156">
        <v>0.4160503416604861</v>
      </c>
      <c r="Q33" s="156">
        <v>0.40722839775526215</v>
      </c>
    </row>
    <row r="34" spans="2:17">
      <c r="B34" s="524"/>
      <c r="C34" s="188">
        <f t="shared" si="5"/>
        <v>2030</v>
      </c>
      <c r="D34" s="197">
        <v>0.35199999999999998</v>
      </c>
      <c r="E34" s="197">
        <v>0.42</v>
      </c>
      <c r="F34" s="197"/>
      <c r="G34" s="197">
        <v>0.13</v>
      </c>
      <c r="H34" s="197">
        <v>8.0000000000000002E-3</v>
      </c>
      <c r="I34" s="197">
        <v>0.08</v>
      </c>
      <c r="J34" s="197">
        <v>0.01</v>
      </c>
      <c r="K34" s="527"/>
      <c r="L34" s="528"/>
      <c r="M34" s="124" t="s">
        <v>21</v>
      </c>
      <c r="N34" s="156">
        <v>7.2597836705236243E-2</v>
      </c>
      <c r="O34" s="156">
        <v>8.1339687727180338E-2</v>
      </c>
      <c r="P34" s="156">
        <v>8.0358663166776201E-2</v>
      </c>
      <c r="Q34" s="156">
        <v>7.6845786884672362E-2</v>
      </c>
    </row>
    <row r="35" spans="2:17">
      <c r="B35" s="524"/>
      <c r="C35" s="188">
        <f t="shared" si="5"/>
        <v>2035</v>
      </c>
      <c r="D35" s="197">
        <f>(D34+D36)/2</f>
        <v>0.36599999999999999</v>
      </c>
      <c r="E35" s="197">
        <f t="shared" ref="E35" si="7">(E34+E36)/2</f>
        <v>0.41549999999999998</v>
      </c>
      <c r="F35" s="197">
        <f t="shared" ref="F35" si="8">(F34+F36)/2</f>
        <v>0</v>
      </c>
      <c r="G35" s="197">
        <f t="shared" ref="G35" si="9">(G34+G36)/2</f>
        <v>0.12</v>
      </c>
      <c r="H35" s="197">
        <f t="shared" ref="H35" si="10">(H34+H36)/2</f>
        <v>8.5000000000000006E-3</v>
      </c>
      <c r="I35" s="197">
        <f t="shared" ref="I35" si="11">(I34+I36)/2</f>
        <v>0.08</v>
      </c>
      <c r="J35" s="197">
        <f t="shared" ref="J35" si="12">(J34+J36)/2</f>
        <v>0.01</v>
      </c>
      <c r="K35" s="527"/>
      <c r="L35" s="528"/>
      <c r="M35" s="124" t="s">
        <v>22</v>
      </c>
      <c r="N35" s="156">
        <v>1.4480194878288586E-2</v>
      </c>
      <c r="O35" s="156">
        <v>1.447099595781543E-2</v>
      </c>
      <c r="P35" s="156">
        <v>1.4586326589962183E-2</v>
      </c>
      <c r="Q35" s="156">
        <v>1.4705295579094937E-2</v>
      </c>
    </row>
    <row r="36" spans="2:17">
      <c r="B36" s="524"/>
      <c r="C36" s="188">
        <f t="shared" si="5"/>
        <v>2040</v>
      </c>
      <c r="D36" s="197">
        <v>0.38</v>
      </c>
      <c r="E36" s="197">
        <v>0.41099999999999998</v>
      </c>
      <c r="F36" s="197"/>
      <c r="G36" s="197">
        <v>0.11</v>
      </c>
      <c r="H36" s="197">
        <v>9.0000000000000011E-3</v>
      </c>
      <c r="I36" s="197">
        <v>0.08</v>
      </c>
      <c r="J36" s="197">
        <v>0.01</v>
      </c>
      <c r="K36" s="527"/>
      <c r="L36" s="528"/>
      <c r="M36" s="124" t="s">
        <v>42</v>
      </c>
      <c r="N36" s="156">
        <v>1.3129164858145102E-2</v>
      </c>
      <c r="O36" s="156">
        <v>1.475987156072082E-2</v>
      </c>
      <c r="P36" s="156">
        <v>1.5789216725291735E-2</v>
      </c>
      <c r="Q36" s="156">
        <v>1.6846841956392428E-2</v>
      </c>
    </row>
    <row r="37" spans="2:17">
      <c r="B37" s="524"/>
      <c r="C37" s="188">
        <f t="shared" si="5"/>
        <v>2045</v>
      </c>
      <c r="D37" s="197">
        <f>(D36+D38)/2</f>
        <v>0.39</v>
      </c>
      <c r="E37" s="197">
        <f t="shared" ref="E37" si="13">(E36+E38)/2</f>
        <v>0.40549999999999997</v>
      </c>
      <c r="F37" s="197">
        <f t="shared" ref="F37" si="14">(F36+F38)/2</f>
        <v>0</v>
      </c>
      <c r="G37" s="197">
        <f t="shared" ref="G37" si="15">(G36+G38)/2</f>
        <v>0.10500000000000001</v>
      </c>
      <c r="H37" s="197">
        <f t="shared" ref="H37" si="16">(H36+H38)/2</f>
        <v>9.5000000000000015E-3</v>
      </c>
      <c r="I37" s="197">
        <f t="shared" ref="I37" si="17">(I36+I38)/2</f>
        <v>0.08</v>
      </c>
      <c r="J37" s="197">
        <f t="shared" ref="J37" si="18">(J36+J38)/2</f>
        <v>0.01</v>
      </c>
      <c r="K37" s="527"/>
      <c r="L37" s="528"/>
      <c r="M37" s="124" t="s">
        <v>382</v>
      </c>
      <c r="N37" s="156">
        <v>0.29379407758562831</v>
      </c>
      <c r="O37" s="156">
        <v>0.34538143592032805</v>
      </c>
      <c r="P37" s="156">
        <v>0.36860611926763898</v>
      </c>
      <c r="Q37" s="156">
        <v>0.39575063948557637</v>
      </c>
    </row>
    <row r="38" spans="2:17">
      <c r="B38" s="524"/>
      <c r="C38" s="188">
        <f t="shared" si="5"/>
        <v>2050</v>
      </c>
      <c r="D38" s="197">
        <v>0.4</v>
      </c>
      <c r="E38" s="197">
        <v>0.4</v>
      </c>
      <c r="F38" s="197"/>
      <c r="G38" s="197">
        <v>0.1</v>
      </c>
      <c r="H38" s="197">
        <v>0.01</v>
      </c>
      <c r="I38" s="197">
        <v>0.08</v>
      </c>
      <c r="J38" s="197">
        <v>0.01</v>
      </c>
      <c r="K38" s="527"/>
      <c r="L38" s="528"/>
      <c r="M38" s="124"/>
    </row>
    <row r="39" spans="2:17">
      <c r="D39" s="198"/>
      <c r="E39" s="198"/>
      <c r="F39" s="198"/>
      <c r="G39" s="198"/>
      <c r="H39" s="198"/>
      <c r="I39" s="198"/>
      <c r="J39" s="198"/>
    </row>
    <row r="40" spans="2:17">
      <c r="B40" s="524" t="s">
        <v>136</v>
      </c>
      <c r="C40" s="196">
        <v>2020</v>
      </c>
      <c r="D40" s="198">
        <f>$C29*D32</f>
        <v>7.1270820625223914</v>
      </c>
      <c r="E40" s="198">
        <f t="shared" ref="E40:I40" si="19">$C29*E32</f>
        <v>11.165761897951747</v>
      </c>
      <c r="F40" s="198">
        <f t="shared" si="19"/>
        <v>0</v>
      </c>
      <c r="G40" s="198">
        <f t="shared" si="19"/>
        <v>3.533313756966868</v>
      </c>
      <c r="H40" s="198">
        <f t="shared" si="19"/>
        <v>0.14355334794427199</v>
      </c>
      <c r="I40" s="198">
        <f t="shared" si="19"/>
        <v>1.5504931364675845</v>
      </c>
      <c r="J40" s="198">
        <f t="shared" ref="J40" si="20">$C29*J32</f>
        <v>0.23756940208407973</v>
      </c>
    </row>
    <row r="41" spans="2:17">
      <c r="B41" s="524"/>
      <c r="C41" s="188">
        <f t="shared" ref="C41:C46" si="21">C40+5</f>
        <v>2025</v>
      </c>
      <c r="D41" s="198">
        <f>$D29*D33</f>
        <v>7.3509856884796392</v>
      </c>
      <c r="E41" s="198">
        <f t="shared" ref="E41:I41" si="22">$D29*E33</f>
        <v>10.03432095513325</v>
      </c>
      <c r="F41" s="198">
        <f t="shared" si="22"/>
        <v>0</v>
      </c>
      <c r="G41" s="198">
        <f t="shared" si="22"/>
        <v>3.142519824338819</v>
      </c>
      <c r="H41" s="198">
        <f t="shared" si="22"/>
        <v>0.15832338458085563</v>
      </c>
      <c r="I41" s="198">
        <f t="shared" si="22"/>
        <v>1.6377911542267183</v>
      </c>
      <c r="J41" s="198">
        <f t="shared" ref="J41" si="23">$D29*J33</f>
        <v>0.22549035854232025</v>
      </c>
    </row>
    <row r="42" spans="2:17">
      <c r="B42" s="524"/>
      <c r="C42" s="188">
        <f t="shared" si="21"/>
        <v>2030</v>
      </c>
      <c r="D42" s="198">
        <f>$E29*D34</f>
        <v>7.5020586495784025</v>
      </c>
      <c r="E42" s="198">
        <f t="shared" ref="E42:I42" si="24">$E29*E34</f>
        <v>8.9513199796105951</v>
      </c>
      <c r="F42" s="198">
        <f t="shared" si="24"/>
        <v>0</v>
      </c>
      <c r="G42" s="198">
        <f t="shared" si="24"/>
        <v>2.7706466603556605</v>
      </c>
      <c r="H42" s="198">
        <f t="shared" si="24"/>
        <v>0.17050133294496372</v>
      </c>
      <c r="I42" s="198">
        <f t="shared" si="24"/>
        <v>1.705013329449637</v>
      </c>
      <c r="J42" s="198">
        <f t="shared" ref="J42" si="25">$E29*J34</f>
        <v>0.21312666618120463</v>
      </c>
    </row>
    <row r="43" spans="2:17">
      <c r="B43" s="524"/>
      <c r="C43" s="188">
        <f t="shared" si="21"/>
        <v>2035</v>
      </c>
      <c r="D43" s="198">
        <f>$F29*D35</f>
        <v>7.669400129288503</v>
      </c>
      <c r="E43" s="198">
        <f t="shared" ref="E43:I43" si="26">$F29*E35</f>
        <v>8.7066550648070304</v>
      </c>
      <c r="F43" s="198">
        <f t="shared" si="26"/>
        <v>0</v>
      </c>
      <c r="G43" s="198">
        <f t="shared" si="26"/>
        <v>2.5145574194388534</v>
      </c>
      <c r="H43" s="198">
        <f t="shared" si="26"/>
        <v>0.17811448387691881</v>
      </c>
      <c r="I43" s="198">
        <f t="shared" si="26"/>
        <v>1.6763716129592356</v>
      </c>
      <c r="J43" s="198">
        <f t="shared" ref="J43" si="27">$F29*J35</f>
        <v>0.20954645161990446</v>
      </c>
    </row>
    <row r="44" spans="2:17">
      <c r="B44" s="524"/>
      <c r="C44" s="188">
        <f t="shared" si="21"/>
        <v>2040</v>
      </c>
      <c r="D44" s="198">
        <f>$G29*D36</f>
        <v>7.8236504995602232</v>
      </c>
      <c r="E44" s="198">
        <f t="shared" ref="E44:I44" si="28">$G29*E36</f>
        <v>8.4618956718927674</v>
      </c>
      <c r="F44" s="198">
        <f t="shared" si="28"/>
        <v>0</v>
      </c>
      <c r="G44" s="198">
        <f t="shared" si="28"/>
        <v>2.2647409340832225</v>
      </c>
      <c r="H44" s="198">
        <f t="shared" si="28"/>
        <v>0.18529698551590004</v>
      </c>
      <c r="I44" s="198">
        <f t="shared" si="28"/>
        <v>1.6470843156968891</v>
      </c>
      <c r="J44" s="198">
        <f t="shared" ref="J44" si="29">$G29*J36</f>
        <v>0.20588553946211113</v>
      </c>
    </row>
    <row r="45" spans="2:17">
      <c r="B45" s="524"/>
      <c r="C45" s="188">
        <f t="shared" si="21"/>
        <v>2045</v>
      </c>
      <c r="D45" s="198">
        <f>$H29*D37</f>
        <v>7.8100205942765299</v>
      </c>
      <c r="E45" s="198">
        <f t="shared" ref="E45:I45" si="30">$H29*E37</f>
        <v>8.1204188486644426</v>
      </c>
      <c r="F45" s="198">
        <f t="shared" si="30"/>
        <v>0</v>
      </c>
      <c r="G45" s="198">
        <f t="shared" si="30"/>
        <v>2.1026978523052198</v>
      </c>
      <c r="H45" s="198">
        <f t="shared" si="30"/>
        <v>0.19024409139904372</v>
      </c>
      <c r="I45" s="198">
        <f t="shared" si="30"/>
        <v>1.6020555065182627</v>
      </c>
      <c r="J45" s="198">
        <f t="shared" ref="J45" si="31">$H29*J37</f>
        <v>0.20025693831478283</v>
      </c>
    </row>
    <row r="46" spans="2:17">
      <c r="B46" s="524"/>
      <c r="C46" s="188">
        <f t="shared" si="21"/>
        <v>2050</v>
      </c>
      <c r="D46" s="198">
        <f>$I29*D38</f>
        <v>7.786829012595712</v>
      </c>
      <c r="E46" s="198">
        <f t="shared" ref="E46:I46" si="32">$I29*E38</f>
        <v>7.786829012595712</v>
      </c>
      <c r="F46" s="198">
        <f t="shared" si="32"/>
        <v>0</v>
      </c>
      <c r="G46" s="198">
        <f t="shared" si="32"/>
        <v>1.946707253148928</v>
      </c>
      <c r="H46" s="198">
        <f t="shared" si="32"/>
        <v>0.1946707253148928</v>
      </c>
      <c r="I46" s="198">
        <f t="shared" si="32"/>
        <v>1.5573658025191424</v>
      </c>
      <c r="J46" s="198">
        <f t="shared" ref="J46" si="33">$I29*J38</f>
        <v>0.1946707253148928</v>
      </c>
    </row>
    <row r="48" spans="2:17" ht="15.75" thickBot="1"/>
    <row r="49" spans="1:12">
      <c r="B49" s="505" t="s">
        <v>122</v>
      </c>
      <c r="C49" s="506"/>
      <c r="D49" s="506"/>
      <c r="E49" s="506"/>
      <c r="F49" s="506"/>
      <c r="G49" s="506"/>
      <c r="H49" s="506"/>
      <c r="I49" s="506"/>
      <c r="J49" s="506"/>
      <c r="K49" s="506"/>
      <c r="L49" s="507"/>
    </row>
    <row r="51" spans="1:12">
      <c r="A51" t="s">
        <v>340</v>
      </c>
      <c r="C51" s="188">
        <v>2020</v>
      </c>
      <c r="D51" s="188">
        <f t="shared" ref="D51:I51" si="34">C51+5</f>
        <v>2025</v>
      </c>
      <c r="E51" s="188">
        <f t="shared" si="34"/>
        <v>2030</v>
      </c>
      <c r="F51" s="188">
        <f t="shared" si="34"/>
        <v>2035</v>
      </c>
      <c r="G51" s="188">
        <f t="shared" si="34"/>
        <v>2040</v>
      </c>
      <c r="H51" s="188">
        <f t="shared" si="34"/>
        <v>2045</v>
      </c>
      <c r="I51" s="188">
        <f t="shared" si="34"/>
        <v>2050</v>
      </c>
    </row>
    <row r="52" spans="1:12">
      <c r="B52" s="188" t="s">
        <v>139</v>
      </c>
      <c r="C52" s="189">
        <f>C58*1000/C53</f>
        <v>11.917244653309741</v>
      </c>
      <c r="D52" s="189">
        <f>C52</f>
        <v>11.917244653309741</v>
      </c>
      <c r="E52" s="189">
        <f t="shared" ref="E52:I52" si="35">D52</f>
        <v>11.917244653309741</v>
      </c>
      <c r="F52" s="189">
        <f t="shared" si="35"/>
        <v>11.917244653309741</v>
      </c>
      <c r="G52" s="189">
        <f t="shared" si="35"/>
        <v>11.917244653309741</v>
      </c>
      <c r="H52" s="189">
        <f t="shared" si="35"/>
        <v>11.917244653309741</v>
      </c>
      <c r="I52" s="189">
        <f t="shared" si="35"/>
        <v>11.917244653309741</v>
      </c>
    </row>
    <row r="53" spans="1:12" ht="15.75">
      <c r="B53" s="190" t="s">
        <v>127</v>
      </c>
      <c r="C53" s="191">
        <f>C$24</f>
        <v>983.4370555157949</v>
      </c>
      <c r="D53" s="191">
        <f t="shared" ref="D53:I53" si="36">D$24</f>
        <v>993.22426593672935</v>
      </c>
      <c r="E53" s="191">
        <f t="shared" si="36"/>
        <v>1003.0114763576638</v>
      </c>
      <c r="F53" s="191">
        <f t="shared" si="36"/>
        <v>1010.801503387927</v>
      </c>
      <c r="G53" s="191">
        <f t="shared" si="36"/>
        <v>1018.5915304181902</v>
      </c>
      <c r="H53" s="191">
        <f t="shared" si="36"/>
        <v>1014.0241715364807</v>
      </c>
      <c r="I53" s="191">
        <f t="shared" si="36"/>
        <v>1009.4568126547711</v>
      </c>
    </row>
    <row r="54" spans="1:12" ht="15.75">
      <c r="B54" s="351"/>
      <c r="C54" s="352"/>
      <c r="D54" s="352"/>
      <c r="E54" s="352"/>
      <c r="F54" s="352"/>
      <c r="G54" s="352"/>
      <c r="H54" s="352"/>
      <c r="I54" s="352"/>
    </row>
    <row r="55" spans="1:12">
      <c r="A55" t="s">
        <v>341</v>
      </c>
      <c r="B55" s="188" t="s">
        <v>139</v>
      </c>
      <c r="C55" s="189">
        <f>C58*1000/C53</f>
        <v>11.917244653309741</v>
      </c>
      <c r="D55" s="255">
        <f>(C55+E55)/2</f>
        <v>10.049932076427464</v>
      </c>
      <c r="E55" s="255">
        <f>C55*(1-$G$17)</f>
        <v>8.1826194995451846</v>
      </c>
      <c r="F55" s="255">
        <f>(E55+G55)/2</f>
        <v>7.5175175875991425</v>
      </c>
      <c r="G55" s="255">
        <f>C55*(1-$H$17)</f>
        <v>6.8524156756531003</v>
      </c>
      <c r="H55" s="255">
        <f>(G55+I55)/2</f>
        <v>6.2565534429876131</v>
      </c>
      <c r="I55" s="255">
        <f>C55*(1-$I$17)</f>
        <v>5.6606912103221267</v>
      </c>
    </row>
    <row r="56" spans="1:12" ht="15.75">
      <c r="B56" s="190" t="s">
        <v>127</v>
      </c>
      <c r="C56" s="191">
        <f>C$24</f>
        <v>983.4370555157949</v>
      </c>
      <c r="D56" s="191">
        <f t="shared" ref="D56:I56" si="37">D$24</f>
        <v>993.22426593672935</v>
      </c>
      <c r="E56" s="191">
        <f t="shared" si="37"/>
        <v>1003.0114763576638</v>
      </c>
      <c r="F56" s="191">
        <f t="shared" si="37"/>
        <v>1010.801503387927</v>
      </c>
      <c r="G56" s="191">
        <f t="shared" si="37"/>
        <v>1018.5915304181902</v>
      </c>
      <c r="H56" s="191">
        <f t="shared" si="37"/>
        <v>1014.0241715364807</v>
      </c>
      <c r="I56" s="191">
        <f t="shared" si="37"/>
        <v>1009.4568126547711</v>
      </c>
    </row>
    <row r="58" spans="1:12">
      <c r="B58" s="193" t="s">
        <v>128</v>
      </c>
      <c r="C58" s="274">
        <f>'Init. énergie'!C124</f>
        <v>11.719859991712282</v>
      </c>
      <c r="D58" s="194">
        <f>(D52*D53*(1-$F$17)+D55*D56*$F$17)/1000</f>
        <v>11.123972230488238</v>
      </c>
      <c r="E58" s="194">
        <f t="shared" ref="E58:I58" si="38">(E52*E53*(1-$F$17)+E55*E56*$F$17)/1000</f>
        <v>10.514042070367722</v>
      </c>
      <c r="F58" s="194">
        <f t="shared" si="38"/>
        <v>10.337421625854933</v>
      </c>
      <c r="G58" s="194">
        <f t="shared" si="38"/>
        <v>10.156820178215183</v>
      </c>
      <c r="H58" s="194">
        <f t="shared" si="38"/>
        <v>9.8791479829863853</v>
      </c>
      <c r="I58" s="194">
        <f t="shared" si="38"/>
        <v>9.6035668952357707</v>
      </c>
    </row>
    <row r="61" spans="1:12">
      <c r="B61" s="188"/>
      <c r="C61" s="195" t="s">
        <v>18</v>
      </c>
      <c r="D61" s="188" t="s">
        <v>129</v>
      </c>
      <c r="E61" s="188" t="s">
        <v>76</v>
      </c>
      <c r="F61" s="188" t="s">
        <v>131</v>
      </c>
      <c r="G61" s="188" t="s">
        <v>132</v>
      </c>
      <c r="H61" s="188" t="s">
        <v>133</v>
      </c>
    </row>
    <row r="62" spans="1:12" ht="15" customHeight="1">
      <c r="B62" s="524" t="s">
        <v>138</v>
      </c>
      <c r="C62" s="196">
        <v>2020</v>
      </c>
      <c r="D62" s="197">
        <v>0.38145894795856289</v>
      </c>
      <c r="E62" s="197">
        <v>0.4908480359618167</v>
      </c>
      <c r="F62" s="197"/>
      <c r="G62" s="197">
        <v>0.121629632897873</v>
      </c>
      <c r="H62" s="197">
        <v>6.0633831817471636E-3</v>
      </c>
      <c r="I62" s="197"/>
      <c r="J62" s="197"/>
      <c r="K62" s="527" t="s">
        <v>383</v>
      </c>
      <c r="L62" s="528"/>
    </row>
    <row r="63" spans="1:12">
      <c r="B63" s="524"/>
      <c r="C63" s="188">
        <f t="shared" ref="C63:C68" si="39">C62+5</f>
        <v>2025</v>
      </c>
      <c r="D63" s="197">
        <v>0.39300000000000002</v>
      </c>
      <c r="E63" s="197">
        <v>0.49049999999999999</v>
      </c>
      <c r="F63" s="197"/>
      <c r="G63" s="197">
        <v>0.1105</v>
      </c>
      <c r="H63" s="197">
        <v>6.0000000000000001E-3</v>
      </c>
      <c r="I63" s="197"/>
      <c r="J63" s="197"/>
      <c r="K63" s="527"/>
      <c r="L63" s="528"/>
    </row>
    <row r="64" spans="1:12">
      <c r="B64" s="524"/>
      <c r="C64" s="188">
        <f t="shared" si="39"/>
        <v>2030</v>
      </c>
      <c r="D64" s="197">
        <v>0.40400000000000003</v>
      </c>
      <c r="E64" s="197">
        <v>0.49</v>
      </c>
      <c r="F64" s="197"/>
      <c r="G64" s="197">
        <v>0.1</v>
      </c>
      <c r="H64" s="197">
        <v>6.0000000000000001E-3</v>
      </c>
      <c r="I64" s="197"/>
      <c r="J64" s="197"/>
      <c r="K64" s="527"/>
      <c r="L64" s="528"/>
    </row>
    <row r="65" spans="2:12">
      <c r="B65" s="524"/>
      <c r="C65" s="188">
        <f t="shared" si="39"/>
        <v>2035</v>
      </c>
      <c r="D65" s="197">
        <v>0.40400000000000003</v>
      </c>
      <c r="E65" s="197">
        <v>0.49</v>
      </c>
      <c r="F65" s="197"/>
      <c r="G65" s="197">
        <v>0.1</v>
      </c>
      <c r="H65" s="197">
        <v>6.0000000000000001E-3</v>
      </c>
      <c r="I65" s="197"/>
      <c r="J65" s="197"/>
      <c r="K65" s="527"/>
      <c r="L65" s="528"/>
    </row>
    <row r="66" spans="2:12">
      <c r="B66" s="524"/>
      <c r="C66" s="188">
        <f t="shared" si="39"/>
        <v>2040</v>
      </c>
      <c r="D66" s="197">
        <v>0.40400000000000003</v>
      </c>
      <c r="E66" s="197">
        <v>0.49</v>
      </c>
      <c r="F66" s="197"/>
      <c r="G66" s="197">
        <v>0.1</v>
      </c>
      <c r="H66" s="197">
        <v>6.0000000000000001E-3</v>
      </c>
      <c r="I66" s="197"/>
      <c r="J66" s="197"/>
      <c r="K66" s="527"/>
      <c r="L66" s="528"/>
    </row>
    <row r="67" spans="2:12">
      <c r="B67" s="524"/>
      <c r="C67" s="188">
        <f t="shared" si="39"/>
        <v>2045</v>
      </c>
      <c r="D67" s="197">
        <v>0.40400000000000003</v>
      </c>
      <c r="E67" s="197">
        <v>0.49</v>
      </c>
      <c r="F67" s="197"/>
      <c r="G67" s="197">
        <v>0.1</v>
      </c>
      <c r="H67" s="197">
        <v>6.0000000000000001E-3</v>
      </c>
      <c r="I67" s="197"/>
      <c r="J67" s="197"/>
      <c r="K67" s="527"/>
      <c r="L67" s="528"/>
    </row>
    <row r="68" spans="2:12">
      <c r="B68" s="524"/>
      <c r="C68" s="188">
        <f t="shared" si="39"/>
        <v>2050</v>
      </c>
      <c r="D68" s="197">
        <v>0.40400000000000003</v>
      </c>
      <c r="E68" s="197">
        <v>0.49</v>
      </c>
      <c r="F68" s="197"/>
      <c r="G68" s="197">
        <v>0.1</v>
      </c>
      <c r="H68" s="197">
        <v>6.0000000000000001E-3</v>
      </c>
      <c r="I68" s="197"/>
      <c r="J68" s="197"/>
      <c r="K68" s="527"/>
      <c r="L68" s="528"/>
    </row>
    <row r="69" spans="2:12">
      <c r="J69" s="374"/>
      <c r="K69" s="375"/>
    </row>
    <row r="70" spans="2:12">
      <c r="B70" s="524" t="s">
        <v>137</v>
      </c>
      <c r="C70" s="196">
        <v>2020</v>
      </c>
      <c r="D70" s="198">
        <f>$C58*D62</f>
        <v>4.4706454626602188</v>
      </c>
      <c r="E70" s="198">
        <f t="shared" ref="E70:G70" si="40">$C58*E62</f>
        <v>5.7526702586794469</v>
      </c>
      <c r="F70" s="198">
        <f t="shared" si="40"/>
        <v>0</v>
      </c>
      <c r="G70" s="198">
        <f t="shared" si="40"/>
        <v>1.4254822684064337</v>
      </c>
      <c r="H70" s="198">
        <f>$C58*H62</f>
        <v>7.1062001966179705E-2</v>
      </c>
    </row>
    <row r="71" spans="2:12">
      <c r="B71" s="524"/>
      <c r="C71" s="188">
        <f t="shared" ref="C71:C76" si="41">C70+5</f>
        <v>2025</v>
      </c>
      <c r="D71" s="198">
        <f>$C58*D63</f>
        <v>4.6059049767429272</v>
      </c>
      <c r="E71" s="198">
        <f>$C58*E63</f>
        <v>5.748591325934874</v>
      </c>
      <c r="F71" s="198">
        <f>$C58*F63</f>
        <v>0</v>
      </c>
      <c r="G71" s="198">
        <f>$C58*G63</f>
        <v>1.2950445290842072</v>
      </c>
      <c r="H71" s="198">
        <f>$C58*H63</f>
        <v>7.0319159950273685E-2</v>
      </c>
    </row>
    <row r="72" spans="2:12">
      <c r="B72" s="524"/>
      <c r="C72" s="188">
        <f t="shared" si="41"/>
        <v>2030</v>
      </c>
      <c r="D72" s="198">
        <f>$D58*D64</f>
        <v>4.4940847811172482</v>
      </c>
      <c r="E72" s="198">
        <f>$D58*E64</f>
        <v>5.4507463929392364</v>
      </c>
      <c r="F72" s="198">
        <f>$D58*F64</f>
        <v>0</v>
      </c>
      <c r="G72" s="198">
        <f>$D58*G64</f>
        <v>1.1123972230488239</v>
      </c>
      <c r="H72" s="198">
        <f>$D58*H64</f>
        <v>6.6743833382929427E-2</v>
      </c>
    </row>
    <row r="73" spans="2:12">
      <c r="B73" s="524"/>
      <c r="C73" s="188">
        <f t="shared" si="41"/>
        <v>2035</v>
      </c>
      <c r="D73" s="198">
        <f>$E58*D65</f>
        <v>4.2476729964285598</v>
      </c>
      <c r="E73" s="198">
        <f>$E58*E65</f>
        <v>5.1518806144801834</v>
      </c>
      <c r="F73" s="198">
        <f>$E58*F65</f>
        <v>0</v>
      </c>
      <c r="G73" s="198">
        <f>$E58*G65</f>
        <v>1.0514042070367722</v>
      </c>
      <c r="H73" s="198">
        <f>$E58*H65</f>
        <v>6.3084252422206333E-2</v>
      </c>
    </row>
    <row r="74" spans="2:12">
      <c r="B74" s="524"/>
      <c r="C74" s="188">
        <f t="shared" si="41"/>
        <v>2040</v>
      </c>
      <c r="D74" s="198">
        <f>$F58*D66</f>
        <v>4.1763183368453936</v>
      </c>
      <c r="E74" s="198">
        <f>$F58*E66</f>
        <v>5.0653365966689172</v>
      </c>
      <c r="F74" s="198">
        <f>$F58*F66</f>
        <v>0</v>
      </c>
      <c r="G74" s="198">
        <f>$F58*G66</f>
        <v>1.0337421625854935</v>
      </c>
      <c r="H74" s="198">
        <f>$F58*H66</f>
        <v>6.20245297551296E-2</v>
      </c>
    </row>
    <row r="75" spans="2:12">
      <c r="B75" s="524"/>
      <c r="C75" s="188">
        <f t="shared" si="41"/>
        <v>2045</v>
      </c>
      <c r="D75" s="198">
        <f>$G58*D67</f>
        <v>4.1033553519989345</v>
      </c>
      <c r="E75" s="198">
        <f>$G58*E67</f>
        <v>4.9768418873254392</v>
      </c>
      <c r="F75" s="198">
        <f>$G58*F67</f>
        <v>0</v>
      </c>
      <c r="G75" s="198">
        <f>$G58*G67</f>
        <v>1.0156820178215182</v>
      </c>
      <c r="H75" s="198">
        <f>$G58*H67</f>
        <v>6.0940921069291096E-2</v>
      </c>
    </row>
    <row r="76" spans="2:12">
      <c r="B76" s="524"/>
      <c r="C76" s="188">
        <f t="shared" si="41"/>
        <v>2050</v>
      </c>
      <c r="D76" s="198">
        <f>$H58*D68</f>
        <v>3.9911757851265</v>
      </c>
      <c r="E76" s="198">
        <f>$H58*E68</f>
        <v>4.8407825116633285</v>
      </c>
      <c r="F76" s="198">
        <f>$H58*F68</f>
        <v>0</v>
      </c>
      <c r="G76" s="198">
        <f>$H58*G68</f>
        <v>0.9879147982986386</v>
      </c>
      <c r="H76" s="198">
        <f>$H58*H68</f>
        <v>5.9274887897918314E-2</v>
      </c>
    </row>
    <row r="78" spans="2:12" ht="15.75" thickBot="1"/>
    <row r="79" spans="2:12">
      <c r="B79" s="505" t="s">
        <v>123</v>
      </c>
      <c r="C79" s="506"/>
      <c r="D79" s="506"/>
      <c r="E79" s="506"/>
      <c r="F79" s="506"/>
      <c r="G79" s="506"/>
      <c r="H79" s="506"/>
      <c r="I79" s="506"/>
      <c r="J79" s="506"/>
      <c r="K79" s="506"/>
      <c r="L79" s="507"/>
    </row>
    <row r="81" spans="1:15">
      <c r="A81" t="s">
        <v>340</v>
      </c>
      <c r="C81" s="93">
        <v>2020</v>
      </c>
      <c r="D81" s="93">
        <f t="shared" ref="D81:I81" si="42">C81+5</f>
        <v>2025</v>
      </c>
      <c r="E81" s="93">
        <f t="shared" si="42"/>
        <v>2030</v>
      </c>
      <c r="F81" s="93">
        <f t="shared" si="42"/>
        <v>2035</v>
      </c>
      <c r="G81" s="93">
        <f t="shared" si="42"/>
        <v>2040</v>
      </c>
      <c r="H81" s="93">
        <f>G81+5</f>
        <v>2045</v>
      </c>
      <c r="I81" s="93">
        <f t="shared" si="42"/>
        <v>2050</v>
      </c>
    </row>
    <row r="82" spans="1:15">
      <c r="B82" s="188" t="s">
        <v>368</v>
      </c>
      <c r="C82" s="199">
        <f>1000*C91/C86</f>
        <v>71.486730295513496</v>
      </c>
      <c r="D82" s="199">
        <f>D85+D84</f>
        <v>71.19462678651314</v>
      </c>
      <c r="E82" s="199">
        <f t="shared" ref="E82:I82" si="43">E85+E84</f>
        <v>70.908223867335863</v>
      </c>
      <c r="F82" s="199">
        <f t="shared" si="43"/>
        <v>73.377641672846664</v>
      </c>
      <c r="G82" s="199">
        <f t="shared" si="43"/>
        <v>75.809288044216345</v>
      </c>
      <c r="H82" s="199">
        <f t="shared" si="43"/>
        <v>78.471349681780282</v>
      </c>
      <c r="I82" s="199">
        <f t="shared" si="43"/>
        <v>81.15750069238436</v>
      </c>
      <c r="J82" t="s">
        <v>373</v>
      </c>
    </row>
    <row r="83" spans="1:15">
      <c r="B83" s="350" t="s">
        <v>369</v>
      </c>
      <c r="C83" s="372">
        <v>14.966965816561107</v>
      </c>
      <c r="D83" s="220">
        <f>(C83+E83)/2</f>
        <v>14.825793449552352</v>
      </c>
      <c r="E83" s="372">
        <v>14.684621082543597</v>
      </c>
      <c r="F83" s="372">
        <f>$E$83+($I$83-$E$83)/20*5</f>
        <v>17.294762448721237</v>
      </c>
      <c r="G83" s="372">
        <f>$E$83+($I$83-$E$83)/20*10</f>
        <v>19.90490381489888</v>
      </c>
      <c r="H83" s="372">
        <f>$E$83+($I$83-$E$83)/20*15</f>
        <v>22.515045181076523</v>
      </c>
      <c r="I83" s="372">
        <v>25.125186547254163</v>
      </c>
      <c r="J83" t="s">
        <v>370</v>
      </c>
    </row>
    <row r="84" spans="1:15">
      <c r="B84" s="350" t="s">
        <v>371</v>
      </c>
      <c r="C84" s="199">
        <f>C83/C86*1000</f>
        <v>15.21903789634122</v>
      </c>
      <c r="D84" s="199">
        <f t="shared" ref="D84:I84" si="44">D83/D86*1000</f>
        <v>14.926934387340864</v>
      </c>
      <c r="E84" s="199">
        <f t="shared" si="44"/>
        <v>14.640531468163589</v>
      </c>
      <c r="F84" s="199">
        <f t="shared" si="44"/>
        <v>17.109949273674385</v>
      </c>
      <c r="G84" s="199">
        <f t="shared" si="44"/>
        <v>19.541595645044069</v>
      </c>
      <c r="H84" s="199">
        <f t="shared" si="44"/>
        <v>22.203657282608003</v>
      </c>
      <c r="I84" s="199">
        <f t="shared" si="44"/>
        <v>24.889808293212088</v>
      </c>
    </row>
    <row r="85" spans="1:15">
      <c r="B85" s="118" t="s">
        <v>374</v>
      </c>
      <c r="C85" s="199">
        <f>C82-C84</f>
        <v>56.267692399172276</v>
      </c>
      <c r="D85" s="199">
        <f>C85</f>
        <v>56.267692399172276</v>
      </c>
      <c r="E85" s="199">
        <f t="shared" ref="E85:H85" si="45">D85</f>
        <v>56.267692399172276</v>
      </c>
      <c r="F85" s="199">
        <f t="shared" si="45"/>
        <v>56.267692399172276</v>
      </c>
      <c r="G85" s="199">
        <f t="shared" si="45"/>
        <v>56.267692399172276</v>
      </c>
      <c r="H85" s="199">
        <f t="shared" si="45"/>
        <v>56.267692399172276</v>
      </c>
      <c r="I85" s="199">
        <f>H85</f>
        <v>56.267692399172276</v>
      </c>
      <c r="J85" t="s">
        <v>372</v>
      </c>
    </row>
    <row r="86" spans="1:15" ht="15.75">
      <c r="B86" s="190" t="s">
        <v>127</v>
      </c>
      <c r="C86" s="191">
        <f>C$24</f>
        <v>983.4370555157949</v>
      </c>
      <c r="D86" s="191">
        <f t="shared" ref="D86:I86" si="46">D$24</f>
        <v>993.22426593672935</v>
      </c>
      <c r="E86" s="191">
        <f t="shared" si="46"/>
        <v>1003.0114763576638</v>
      </c>
      <c r="F86" s="191">
        <f t="shared" si="46"/>
        <v>1010.801503387927</v>
      </c>
      <c r="G86" s="191">
        <f t="shared" si="46"/>
        <v>1018.5915304181902</v>
      </c>
      <c r="H86" s="191">
        <f t="shared" si="46"/>
        <v>1014.0241715364807</v>
      </c>
      <c r="I86" s="191">
        <f t="shared" si="46"/>
        <v>1009.4568126547711</v>
      </c>
    </row>
    <row r="87" spans="1:15" ht="15.75">
      <c r="B87" s="351"/>
      <c r="C87" s="352"/>
      <c r="D87" s="352"/>
      <c r="E87" s="352"/>
      <c r="F87" s="352"/>
      <c r="G87" s="352"/>
      <c r="H87" s="352"/>
      <c r="I87" s="352"/>
    </row>
    <row r="88" spans="1:15">
      <c r="A88" t="s">
        <v>341</v>
      </c>
      <c r="B88" s="188" t="s">
        <v>140</v>
      </c>
      <c r="C88" s="199">
        <f>C91*1000/C86</f>
        <v>71.486730295513496</v>
      </c>
      <c r="D88" s="199">
        <f>(C88+E88)/2</f>
        <v>60.285477451893264</v>
      </c>
      <c r="E88" s="199">
        <f>C88*(1-$G$17)</f>
        <v>49.084224608273033</v>
      </c>
      <c r="F88" s="199">
        <f>(E88+G88)/2</f>
        <v>45.094547264096647</v>
      </c>
      <c r="G88" s="199">
        <f>C88*(1-$H$17)</f>
        <v>41.104869919920255</v>
      </c>
      <c r="H88" s="199">
        <f>(G88+I88)/2</f>
        <v>37.530533405144581</v>
      </c>
      <c r="I88" s="199">
        <f>C88*(1-$I$17)</f>
        <v>33.956196890368908</v>
      </c>
      <c r="J88" t="s">
        <v>375</v>
      </c>
      <c r="K88" t="s">
        <v>375</v>
      </c>
      <c r="L88" t="s">
        <v>375</v>
      </c>
      <c r="M88" t="s">
        <v>375</v>
      </c>
      <c r="N88" t="s">
        <v>375</v>
      </c>
      <c r="O88" t="s">
        <v>375</v>
      </c>
    </row>
    <row r="89" spans="1:15" ht="15.75">
      <c r="B89" s="190" t="s">
        <v>127</v>
      </c>
      <c r="C89" s="191">
        <f>C$24</f>
        <v>983.4370555157949</v>
      </c>
      <c r="D89" s="191">
        <f t="shared" ref="D89:I89" si="47">D$24</f>
        <v>993.22426593672935</v>
      </c>
      <c r="E89" s="191">
        <f t="shared" si="47"/>
        <v>1003.0114763576638</v>
      </c>
      <c r="F89" s="191">
        <f t="shared" si="47"/>
        <v>1010.801503387927</v>
      </c>
      <c r="G89" s="191">
        <f t="shared" si="47"/>
        <v>1018.5915304181902</v>
      </c>
      <c r="H89" s="191">
        <f t="shared" si="47"/>
        <v>1014.0241715364807</v>
      </c>
      <c r="I89" s="191">
        <f t="shared" si="47"/>
        <v>1009.4568126547711</v>
      </c>
    </row>
    <row r="90" spans="1:15" ht="15.75">
      <c r="B90" s="351"/>
      <c r="C90" s="352"/>
      <c r="D90" s="352"/>
      <c r="E90" s="352"/>
      <c r="F90" s="352"/>
      <c r="G90" s="352"/>
      <c r="H90" s="352"/>
      <c r="I90" s="352"/>
    </row>
    <row r="91" spans="1:15">
      <c r="B91" s="193" t="s">
        <v>128</v>
      </c>
      <c r="C91" s="274">
        <f>'Init. énergie'!C130</f>
        <v>70.302699550271555</v>
      </c>
      <c r="D91" s="194">
        <f>(D82*D86*(1-$F$17)+D88*D89*$F$17)/1000</f>
        <v>66.549545714234213</v>
      </c>
      <c r="E91" s="194">
        <f>(E82*E86*(1-$F$17)+E88*E89*$F$17)/1000</f>
        <v>62.712157207195546</v>
      </c>
      <c r="F91" s="194">
        <f t="shared" ref="F91:I91" si="48">(F82*F86*(1-$F$17)+F88*F89*$F$17)/1000</f>
        <v>63.18704891593795</v>
      </c>
      <c r="G91" s="194">
        <f t="shared" si="48"/>
        <v>63.638060197188778</v>
      </c>
      <c r="H91" s="194">
        <f t="shared" si="48"/>
        <v>63.622598969044226</v>
      </c>
      <c r="I91" s="194">
        <f t="shared" si="48"/>
        <v>63.619681448833866</v>
      </c>
    </row>
    <row r="92" spans="1:15">
      <c r="C92" s="234"/>
      <c r="D92" s="234"/>
      <c r="E92" s="234"/>
      <c r="F92" s="234"/>
      <c r="G92" s="234"/>
      <c r="H92" s="234"/>
      <c r="I92" s="234"/>
    </row>
    <row r="94" spans="1:15" ht="15.75" thickBot="1"/>
    <row r="95" spans="1:15">
      <c r="B95" s="505" t="s">
        <v>124</v>
      </c>
      <c r="C95" s="506"/>
      <c r="D95" s="506"/>
      <c r="E95" s="506"/>
      <c r="F95" s="506"/>
      <c r="G95" s="506"/>
      <c r="H95" s="506"/>
      <c r="I95" s="506"/>
      <c r="J95" s="506"/>
      <c r="K95" s="506"/>
      <c r="L95" s="507"/>
    </row>
    <row r="97" spans="2:11">
      <c r="B97" t="s">
        <v>141</v>
      </c>
    </row>
    <row r="98" spans="2:11" ht="15.75" thickBot="1"/>
    <row r="99" spans="2:11">
      <c r="B99" s="200" t="s">
        <v>142</v>
      </c>
      <c r="C99" s="201"/>
      <c r="D99" s="202">
        <v>2006</v>
      </c>
      <c r="E99" s="202">
        <v>2015</v>
      </c>
      <c r="F99" s="202">
        <v>2020</v>
      </c>
      <c r="G99" s="202">
        <v>2030</v>
      </c>
      <c r="H99" s="202">
        <v>2040</v>
      </c>
      <c r="I99" s="203">
        <v>2050</v>
      </c>
      <c r="K99" s="317"/>
    </row>
    <row r="100" spans="2:11">
      <c r="B100" s="204" t="s">
        <v>143</v>
      </c>
      <c r="C100" s="205"/>
      <c r="D100" s="206"/>
      <c r="E100" s="206"/>
      <c r="F100" s="206">
        <v>3.19248740869187</v>
      </c>
      <c r="G100" s="206">
        <v>3.7012509422540707</v>
      </c>
      <c r="H100" s="206">
        <v>4.5388456863932838</v>
      </c>
      <c r="I100" s="207">
        <v>5.8188178236632151</v>
      </c>
      <c r="K100" s="317"/>
    </row>
    <row r="101" spans="2:11">
      <c r="B101" s="208" t="s">
        <v>144</v>
      </c>
      <c r="C101" s="209"/>
      <c r="D101" s="210"/>
      <c r="E101" s="210"/>
      <c r="F101" s="210">
        <v>0.90642131916452451</v>
      </c>
      <c r="G101" s="210">
        <v>1.1219830606989232</v>
      </c>
      <c r="H101" s="210">
        <v>1.5907874520846512</v>
      </c>
      <c r="I101" s="211">
        <v>2.2588052085248229</v>
      </c>
      <c r="K101" s="317"/>
    </row>
    <row r="102" spans="2:11">
      <c r="B102" s="204" t="s">
        <v>145</v>
      </c>
      <c r="C102" s="205"/>
      <c r="D102" s="206"/>
      <c r="E102" s="206"/>
      <c r="F102" s="206">
        <v>1.3712899722102905</v>
      </c>
      <c r="G102" s="206">
        <v>1.6506573519178986</v>
      </c>
      <c r="H102" s="206">
        <v>2.2783613217068468</v>
      </c>
      <c r="I102" s="207">
        <v>3.1627998799152346</v>
      </c>
      <c r="K102" s="317"/>
    </row>
    <row r="103" spans="2:11">
      <c r="B103" s="208" t="s">
        <v>146</v>
      </c>
      <c r="C103" s="209"/>
      <c r="D103" s="210"/>
      <c r="E103" s="210"/>
      <c r="F103" s="210">
        <v>0.1714143473755961</v>
      </c>
      <c r="G103" s="210">
        <v>0.21185355381548712</v>
      </c>
      <c r="H103" s="210">
        <v>0.30168489051731517</v>
      </c>
      <c r="I103" s="211">
        <v>0.46800067361955783</v>
      </c>
      <c r="K103" s="317"/>
    </row>
    <row r="104" spans="2:11">
      <c r="B104" s="204" t="s">
        <v>147</v>
      </c>
      <c r="C104" s="205"/>
      <c r="D104" s="206"/>
      <c r="E104" s="206"/>
      <c r="F104" s="206">
        <v>0.97008721791894292</v>
      </c>
      <c r="G104" s="206">
        <v>1.1682611182638962</v>
      </c>
      <c r="H104" s="206">
        <v>1.528401735355162</v>
      </c>
      <c r="I104" s="207">
        <v>2.1431920214697655</v>
      </c>
      <c r="K104" s="317"/>
    </row>
    <row r="105" spans="2:11">
      <c r="B105" s="208" t="s">
        <v>148</v>
      </c>
      <c r="C105" s="209"/>
      <c r="D105" s="210"/>
      <c r="E105" s="210"/>
      <c r="F105" s="210">
        <v>1.1908877510776446</v>
      </c>
      <c r="G105" s="210">
        <v>1.421496199448296</v>
      </c>
      <c r="H105" s="210">
        <v>1.9580654465611853</v>
      </c>
      <c r="I105" s="211">
        <v>2.7110076629395188</v>
      </c>
      <c r="K105" s="317"/>
    </row>
    <row r="106" spans="2:11">
      <c r="B106" s="204" t="s">
        <v>149</v>
      </c>
      <c r="C106" s="205"/>
      <c r="D106" s="206"/>
      <c r="E106" s="206"/>
      <c r="F106" s="206">
        <v>0.36110142911649884</v>
      </c>
      <c r="G106" s="206">
        <v>0.42632579143685012</v>
      </c>
      <c r="H106" s="206">
        <v>0.55321079790990946</v>
      </c>
      <c r="I106" s="207">
        <v>0.69518946018569572</v>
      </c>
      <c r="K106" s="317"/>
    </row>
    <row r="107" spans="2:11">
      <c r="B107" s="208" t="s">
        <v>150</v>
      </c>
      <c r="C107" s="209"/>
      <c r="D107" s="210"/>
      <c r="E107" s="210"/>
      <c r="F107" s="210">
        <v>2.2967304223455329</v>
      </c>
      <c r="G107" s="210">
        <v>2.742164537990984</v>
      </c>
      <c r="H107" s="210">
        <v>3.5601918964213954</v>
      </c>
      <c r="I107" s="211">
        <v>4.2111390160982527</v>
      </c>
      <c r="K107" s="317"/>
    </row>
    <row r="108" spans="2:11">
      <c r="B108" s="204" t="s">
        <v>151</v>
      </c>
      <c r="C108" s="205"/>
      <c r="D108" s="206"/>
      <c r="E108" s="206"/>
      <c r="F108" s="206">
        <v>0.21097527959120022</v>
      </c>
      <c r="G108" s="206">
        <v>0.19671906571240474</v>
      </c>
      <c r="H108" s="206">
        <v>0.22652737869154296</v>
      </c>
      <c r="I108" s="207">
        <v>0.26108457378643696</v>
      </c>
      <c r="K108" s="317"/>
    </row>
    <row r="109" spans="2:11">
      <c r="B109" s="208" t="s">
        <v>152</v>
      </c>
      <c r="C109" s="209"/>
      <c r="D109" s="210"/>
      <c r="E109" s="210"/>
      <c r="F109" s="210">
        <v>0.20162401689799292</v>
      </c>
      <c r="G109" s="210">
        <v>0.18834164357518612</v>
      </c>
      <c r="H109" s="210">
        <v>0.21727417487237202</v>
      </c>
      <c r="I109" s="211">
        <v>0.25086281562425317</v>
      </c>
      <c r="K109" s="317"/>
    </row>
    <row r="110" spans="2:11">
      <c r="B110" s="204" t="s">
        <v>153</v>
      </c>
      <c r="C110" s="205"/>
      <c r="D110" s="206"/>
      <c r="E110" s="206"/>
      <c r="F110" s="206">
        <v>0.1477063433194972</v>
      </c>
      <c r="G110" s="206">
        <v>0.13672587792240248</v>
      </c>
      <c r="H110" s="206">
        <v>0.15620801865485309</v>
      </c>
      <c r="I110" s="207">
        <v>0.17866323008920473</v>
      </c>
      <c r="K110" s="317"/>
    </row>
    <row r="111" spans="2:11">
      <c r="B111" s="208" t="s">
        <v>154</v>
      </c>
      <c r="C111" s="209"/>
      <c r="D111" s="210"/>
      <c r="E111" s="210"/>
      <c r="F111" s="210">
        <v>3.2094865616157889E-2</v>
      </c>
      <c r="G111" s="210">
        <v>3.0006335467055393E-2</v>
      </c>
      <c r="H111" s="210">
        <v>3.4654506909697014E-2</v>
      </c>
      <c r="I111" s="211">
        <v>4.0115681500898261E-2</v>
      </c>
      <c r="K111" s="317"/>
    </row>
    <row r="112" spans="2:11" ht="15.75" thickBot="1">
      <c r="B112" s="212" t="s">
        <v>155</v>
      </c>
      <c r="C112" s="213"/>
      <c r="D112" s="214"/>
      <c r="E112" s="214"/>
      <c r="F112" s="206">
        <v>0.44960618397765512</v>
      </c>
      <c r="G112" s="206">
        <v>0.41985305068738149</v>
      </c>
      <c r="H112" s="206">
        <v>0.48444694798897947</v>
      </c>
      <c r="I112" s="207">
        <v>0.55986841019279876</v>
      </c>
      <c r="K112" s="317"/>
    </row>
    <row r="113" spans="1:12" ht="15.75" thickBot="1">
      <c r="B113" s="525" t="s">
        <v>156</v>
      </c>
      <c r="C113" s="525"/>
      <c r="D113" s="215"/>
      <c r="E113" s="215"/>
      <c r="F113" s="215">
        <v>11.502426557303403</v>
      </c>
      <c r="G113" s="215">
        <v>13.415638529190833</v>
      </c>
      <c r="H113" s="215">
        <v>17.428660254067189</v>
      </c>
      <c r="I113" s="215">
        <v>22.759546457609648</v>
      </c>
      <c r="K113" s="317"/>
    </row>
    <row r="117" spans="1:12">
      <c r="B117" t="s">
        <v>157</v>
      </c>
      <c r="D117">
        <v>2020</v>
      </c>
      <c r="E117">
        <v>2030</v>
      </c>
      <c r="F117">
        <v>2040</v>
      </c>
      <c r="G117">
        <v>2050</v>
      </c>
    </row>
    <row r="118" spans="1:12">
      <c r="B118" t="s">
        <v>158</v>
      </c>
      <c r="D118" s="216">
        <f>SUM(F100:F107)</f>
        <v>10.460419867900901</v>
      </c>
      <c r="E118" s="216">
        <f>SUM(G100:G107)</f>
        <v>12.443992555826405</v>
      </c>
      <c r="F118" s="216">
        <f>SUM(H100:H107)</f>
        <v>16.309549226949748</v>
      </c>
      <c r="G118" s="216">
        <f>SUM(I100:I107)</f>
        <v>21.46895174641606</v>
      </c>
    </row>
    <row r="119" spans="1:12">
      <c r="B119" t="s">
        <v>159</v>
      </c>
      <c r="D119" s="216">
        <f>SUM(F108:F112)</f>
        <v>1.0420066894025033</v>
      </c>
      <c r="E119" s="216">
        <f>SUM(G108:G112)</f>
        <v>0.97164597336443026</v>
      </c>
      <c r="F119" s="216">
        <f>SUM(H108:H112)</f>
        <v>1.1191110271174445</v>
      </c>
      <c r="G119" s="216">
        <f>SUM(I108:I112)</f>
        <v>1.2905947111935918</v>
      </c>
    </row>
    <row r="123" spans="1:12" ht="15.75" thickBot="1"/>
    <row r="124" spans="1:12">
      <c r="B124" s="505" t="s">
        <v>125</v>
      </c>
      <c r="C124" s="506"/>
      <c r="D124" s="506"/>
      <c r="E124" s="506"/>
      <c r="F124" s="506"/>
      <c r="G124" s="506"/>
      <c r="H124" s="506"/>
      <c r="I124" s="506"/>
      <c r="J124" s="506"/>
      <c r="K124" s="506"/>
      <c r="L124" s="507"/>
    </row>
    <row r="126" spans="1:12">
      <c r="C126" t="s">
        <v>346</v>
      </c>
      <c r="E126" t="s">
        <v>380</v>
      </c>
    </row>
    <row r="127" spans="1:12">
      <c r="B127" s="217" t="s">
        <v>387</v>
      </c>
      <c r="C127" s="317"/>
      <c r="D127" s="317"/>
      <c r="E127" s="317"/>
      <c r="F127" s="317"/>
      <c r="G127" s="317"/>
      <c r="H127" s="317"/>
      <c r="I127" s="317"/>
    </row>
    <row r="128" spans="1:12">
      <c r="A128" s="377" t="s">
        <v>388</v>
      </c>
      <c r="B128" t="s">
        <v>160</v>
      </c>
      <c r="C128" s="196">
        <v>2020</v>
      </c>
      <c r="D128" s="196">
        <f t="shared" ref="D128:I128" si="49">C128+5</f>
        <v>2025</v>
      </c>
      <c r="E128" s="196">
        <f t="shared" si="49"/>
        <v>2030</v>
      </c>
      <c r="F128" s="196">
        <f t="shared" si="49"/>
        <v>2035</v>
      </c>
      <c r="G128" s="196">
        <f t="shared" si="49"/>
        <v>2040</v>
      </c>
      <c r="H128" s="196">
        <f>G128+5</f>
        <v>2045</v>
      </c>
      <c r="I128" s="196">
        <f t="shared" si="49"/>
        <v>2050</v>
      </c>
    </row>
    <row r="129" spans="1:11">
      <c r="A129" t="s">
        <v>389</v>
      </c>
      <c r="B129" s="196" t="s">
        <v>161</v>
      </c>
      <c r="C129" s="218">
        <f>J142/1000</f>
        <v>6.5</v>
      </c>
      <c r="D129" s="218">
        <v>6</v>
      </c>
      <c r="E129" s="218">
        <v>5.5</v>
      </c>
      <c r="F129" s="218">
        <f>(E129+G129)/2</f>
        <v>5.2</v>
      </c>
      <c r="G129" s="218">
        <f>(E129+I129)/2</f>
        <v>4.9000000000000004</v>
      </c>
      <c r="H129" s="218">
        <f>(G129+I129)/2</f>
        <v>4.5999999999999996</v>
      </c>
      <c r="I129" s="218">
        <v>4.3</v>
      </c>
      <c r="J129" t="s">
        <v>162</v>
      </c>
    </row>
    <row r="130" spans="1:11">
      <c r="A130" t="s">
        <v>390</v>
      </c>
      <c r="B130" s="196" t="s">
        <v>365</v>
      </c>
      <c r="C130" s="369">
        <v>13.33205756481984</v>
      </c>
      <c r="D130" s="369">
        <v>16.127773129796928</v>
      </c>
      <c r="E130" s="369">
        <v>24.267126489336025</v>
      </c>
      <c r="F130" s="369">
        <v>31.169732520544873</v>
      </c>
      <c r="G130" s="369">
        <v>42.240485232978187</v>
      </c>
      <c r="H130" s="369">
        <v>55.211905119142692</v>
      </c>
      <c r="I130" s="369">
        <v>67.760539796698666</v>
      </c>
      <c r="J130" s="370" t="s">
        <v>366</v>
      </c>
      <c r="K130" s="353"/>
    </row>
    <row r="131" spans="1:11">
      <c r="A131" t="s">
        <v>391</v>
      </c>
      <c r="B131" s="196" t="s">
        <v>164</v>
      </c>
      <c r="C131" s="218">
        <f>J143/1000</f>
        <v>7.7</v>
      </c>
      <c r="D131" s="218">
        <f>(C131+E131)/2</f>
        <v>7.9728037086535082</v>
      </c>
      <c r="E131" s="220">
        <f>C143</f>
        <v>8.2456074173070153</v>
      </c>
      <c r="F131" s="218">
        <f>(E131+G131)/2</f>
        <v>8.3784858457929232</v>
      </c>
      <c r="G131" s="218">
        <f>D143</f>
        <v>8.5113642742788294</v>
      </c>
      <c r="H131" s="218">
        <f>(G131+I131)/2</f>
        <v>8.6487214099618903</v>
      </c>
      <c r="I131" s="218">
        <f>E143</f>
        <v>8.7860785456449531</v>
      </c>
      <c r="J131" s="219" t="s">
        <v>165</v>
      </c>
    </row>
    <row r="132" spans="1:11">
      <c r="A132" t="s">
        <v>392</v>
      </c>
      <c r="B132" s="196" t="s">
        <v>166</v>
      </c>
      <c r="C132" s="218">
        <f>J147/1000</f>
        <v>4</v>
      </c>
      <c r="D132" s="218">
        <f>(C132+E132)/2</f>
        <v>4.0346342856217676</v>
      </c>
      <c r="E132" s="218">
        <f>C149</f>
        <v>4.0692685712435352</v>
      </c>
      <c r="F132" s="218">
        <f>(E132+G132)/2</f>
        <v>4.0867528240911781</v>
      </c>
      <c r="G132" s="218">
        <f>D149</f>
        <v>4.1042370769388201</v>
      </c>
      <c r="H132" s="218">
        <f>(G132+I132)/2</f>
        <v>4.1035259019219819</v>
      </c>
      <c r="I132" s="218">
        <f>E149</f>
        <v>4.1028147269051445</v>
      </c>
      <c r="J132" t="s">
        <v>167</v>
      </c>
    </row>
    <row r="133" spans="1:11">
      <c r="A133" t="s">
        <v>389</v>
      </c>
      <c r="B133" s="196" t="s">
        <v>168</v>
      </c>
      <c r="C133" s="218">
        <f>(J144+J146)/1000</f>
        <v>3.5659999999999998</v>
      </c>
      <c r="D133" s="218">
        <v>6.4</v>
      </c>
      <c r="E133" s="218">
        <v>6.5</v>
      </c>
      <c r="F133" s="218">
        <v>6.6</v>
      </c>
      <c r="G133" s="218">
        <v>6.7</v>
      </c>
      <c r="H133" s="218">
        <v>6.8</v>
      </c>
      <c r="I133" s="218">
        <v>6.9</v>
      </c>
      <c r="J133" t="s">
        <v>169</v>
      </c>
    </row>
    <row r="134" spans="1:11">
      <c r="A134" t="s">
        <v>392</v>
      </c>
      <c r="B134" s="196" t="s">
        <v>170</v>
      </c>
      <c r="C134" s="218">
        <f>J148/1000</f>
        <v>6.3630000000000004</v>
      </c>
      <c r="D134" s="218">
        <f>(C134+E134)/2</f>
        <v>6.4180944898528276</v>
      </c>
      <c r="E134" s="218">
        <f>C154</f>
        <v>6.4731889797056548</v>
      </c>
      <c r="F134" s="218">
        <f>(E134+G134)/2</f>
        <v>6.5010020549230418</v>
      </c>
      <c r="G134" s="218">
        <f>D154</f>
        <v>6.5288151301404289</v>
      </c>
      <c r="H134" s="218">
        <f>(G134+I134)/2</f>
        <v>6.5276838284823935</v>
      </c>
      <c r="I134" s="218">
        <f>E154</f>
        <v>6.5265525268243589</v>
      </c>
      <c r="J134" t="s">
        <v>167</v>
      </c>
    </row>
    <row r="135" spans="1:11">
      <c r="A135" t="s">
        <v>389</v>
      </c>
      <c r="B135" s="196" t="s">
        <v>171</v>
      </c>
      <c r="C135" s="218">
        <f>J145/1000</f>
        <v>1.3640000000000001</v>
      </c>
      <c r="D135" s="218">
        <f>C135</f>
        <v>1.3640000000000001</v>
      </c>
      <c r="E135" s="218">
        <f t="shared" ref="E135:I135" si="50">D135</f>
        <v>1.3640000000000001</v>
      </c>
      <c r="F135" s="218">
        <f t="shared" si="50"/>
        <v>1.3640000000000001</v>
      </c>
      <c r="G135" s="218">
        <f t="shared" si="50"/>
        <v>1.3640000000000001</v>
      </c>
      <c r="H135" s="218">
        <f t="shared" si="50"/>
        <v>1.3640000000000001</v>
      </c>
      <c r="I135" s="218">
        <f t="shared" si="50"/>
        <v>1.3640000000000001</v>
      </c>
      <c r="J135" t="s">
        <v>172</v>
      </c>
    </row>
    <row r="136" spans="1:11">
      <c r="B136" t="s">
        <v>173</v>
      </c>
      <c r="C136" s="220"/>
    </row>
    <row r="137" spans="1:11">
      <c r="B137" s="217" t="s">
        <v>17</v>
      </c>
      <c r="C137" s="221">
        <f>SUM(C129:C136)</f>
        <v>42.825057564819836</v>
      </c>
      <c r="D137" s="221">
        <f t="shared" ref="D137:H137" si="51">SUM(D129:D136)</f>
        <v>48.317305613925029</v>
      </c>
      <c r="E137" s="221">
        <f t="shared" si="51"/>
        <v>56.419191457592227</v>
      </c>
      <c r="F137" s="221">
        <f t="shared" si="51"/>
        <v>63.299973245352014</v>
      </c>
      <c r="G137" s="221">
        <f>SUM(G129:G136)</f>
        <v>74.348901714336264</v>
      </c>
      <c r="H137" s="221">
        <f t="shared" si="51"/>
        <v>87.255836259508968</v>
      </c>
      <c r="I137" s="221">
        <f>SUM(I129:I136)</f>
        <v>99.739985596073126</v>
      </c>
      <c r="J137" s="356">
        <f>I137/C137-1</f>
        <v>1.3290099597672946</v>
      </c>
    </row>
    <row r="139" spans="1:11">
      <c r="A139" s="357" t="s">
        <v>348</v>
      </c>
    </row>
    <row r="140" spans="1:11">
      <c r="A140" s="93"/>
      <c r="B140" s="93">
        <v>2020</v>
      </c>
      <c r="C140" s="93">
        <v>2030</v>
      </c>
      <c r="D140" s="93">
        <v>2040</v>
      </c>
      <c r="E140" s="93">
        <v>2050</v>
      </c>
    </row>
    <row r="141" spans="1:11">
      <c r="A141" s="93" t="s">
        <v>347</v>
      </c>
      <c r="B141" s="371">
        <v>12945546.199999999</v>
      </c>
      <c r="C141" s="371">
        <v>13862843.086728653</v>
      </c>
      <c r="D141" s="371">
        <v>14309644.082818968</v>
      </c>
      <c r="E141" s="371">
        <v>14771504.64019163</v>
      </c>
      <c r="F141" t="s">
        <v>367</v>
      </c>
      <c r="H141" t="s">
        <v>357</v>
      </c>
    </row>
    <row r="142" spans="1:11">
      <c r="A142" s="93" t="s">
        <v>358</v>
      </c>
      <c r="B142" s="358">
        <f>C131/B141</f>
        <v>5.9479915957505143E-7</v>
      </c>
      <c r="C142" s="93"/>
      <c r="D142" s="93"/>
      <c r="E142" s="93"/>
      <c r="H142" s="354" t="s">
        <v>161</v>
      </c>
      <c r="I142" s="355">
        <v>6500</v>
      </c>
      <c r="J142" s="355">
        <f>I142</f>
        <v>6500</v>
      </c>
    </row>
    <row r="143" spans="1:11">
      <c r="A143" s="93" t="s">
        <v>348</v>
      </c>
      <c r="B143" s="93"/>
      <c r="C143" s="359">
        <f>$B$142*C141</f>
        <v>8.2456074173070153</v>
      </c>
      <c r="D143" s="359">
        <f>$B$142*D141</f>
        <v>8.5113642742788294</v>
      </c>
      <c r="E143" s="359">
        <f>$B$142*E141</f>
        <v>8.7860785456449531</v>
      </c>
      <c r="H143" s="354" t="s">
        <v>351</v>
      </c>
      <c r="I143" s="355">
        <v>8193</v>
      </c>
      <c r="J143" s="355">
        <v>7700</v>
      </c>
    </row>
    <row r="144" spans="1:11">
      <c r="H144" s="354" t="s">
        <v>352</v>
      </c>
      <c r="I144" s="355">
        <v>1270</v>
      </c>
      <c r="J144" s="355">
        <f>I144</f>
        <v>1270</v>
      </c>
    </row>
    <row r="145" spans="1:40">
      <c r="A145" s="357" t="s">
        <v>166</v>
      </c>
      <c r="H145" s="354" t="s">
        <v>353</v>
      </c>
      <c r="I145" s="355">
        <v>1364</v>
      </c>
      <c r="J145" s="355">
        <f>I145</f>
        <v>1364</v>
      </c>
    </row>
    <row r="146" spans="1:40">
      <c r="A146" s="93"/>
      <c r="B146" s="93">
        <v>2020</v>
      </c>
      <c r="C146" s="93">
        <v>2030</v>
      </c>
      <c r="D146" s="93">
        <v>2040</v>
      </c>
      <c r="E146" s="93">
        <v>2050</v>
      </c>
      <c r="H146" s="354" t="s">
        <v>354</v>
      </c>
      <c r="I146" s="355">
        <v>2296</v>
      </c>
      <c r="J146" s="355">
        <f>I146</f>
        <v>2296</v>
      </c>
    </row>
    <row r="147" spans="1:40">
      <c r="A147" s="93" t="s">
        <v>349</v>
      </c>
      <c r="B147" s="359">
        <v>65.320191375337856</v>
      </c>
      <c r="C147" s="359">
        <v>66.451350457818847</v>
      </c>
      <c r="D147" s="359">
        <v>67.022387828850242</v>
      </c>
      <c r="E147" s="359">
        <v>66.999160784749634</v>
      </c>
      <c r="H147" s="354" t="s">
        <v>355</v>
      </c>
      <c r="I147" s="355">
        <v>3817</v>
      </c>
      <c r="J147" s="355">
        <v>4000</v>
      </c>
    </row>
    <row r="148" spans="1:40">
      <c r="A148" s="93" t="s">
        <v>358</v>
      </c>
      <c r="B148" s="93">
        <f>C132/B147</f>
        <v>6.123680772788169E-2</v>
      </c>
      <c r="C148" s="93"/>
      <c r="D148" s="93"/>
      <c r="E148" s="93"/>
      <c r="H148" s="354" t="s">
        <v>356</v>
      </c>
      <c r="I148" s="355">
        <v>6363</v>
      </c>
      <c r="J148" s="355">
        <f>I148</f>
        <v>6363</v>
      </c>
    </row>
    <row r="149" spans="1:40">
      <c r="A149" s="93" t="s">
        <v>166</v>
      </c>
      <c r="B149" s="93"/>
      <c r="C149" s="359">
        <f>$B$148*C147</f>
        <v>4.0692685712435352</v>
      </c>
      <c r="D149" s="359">
        <f>$B$148*D147</f>
        <v>4.1042370769388201</v>
      </c>
      <c r="E149" s="359">
        <f>$B$148*E147</f>
        <v>4.1028147269051445</v>
      </c>
      <c r="H149" s="354" t="s">
        <v>163</v>
      </c>
      <c r="I149" s="355">
        <f>J149</f>
        <v>0</v>
      </c>
      <c r="J149" s="355">
        <f>K149</f>
        <v>0</v>
      </c>
    </row>
    <row r="150" spans="1:40">
      <c r="B150" s="220"/>
    </row>
    <row r="151" spans="1:40">
      <c r="A151" s="357" t="s">
        <v>350</v>
      </c>
    </row>
    <row r="152" spans="1:40">
      <c r="A152" s="93"/>
      <c r="B152" s="93">
        <v>2020</v>
      </c>
      <c r="C152" s="93">
        <v>2030</v>
      </c>
      <c r="D152" s="93">
        <v>2040</v>
      </c>
      <c r="E152" s="93">
        <v>2050</v>
      </c>
      <c r="H152" s="360"/>
      <c r="I152" s="360"/>
      <c r="J152" s="360"/>
      <c r="K152" s="360"/>
      <c r="L152" s="360"/>
      <c r="M152" s="360"/>
      <c r="N152" s="360"/>
      <c r="O152" s="360"/>
      <c r="P152" s="360"/>
      <c r="Q152" s="360"/>
      <c r="R152" s="360"/>
      <c r="S152" s="360"/>
      <c r="T152" s="360"/>
      <c r="U152" s="360"/>
      <c r="V152" s="360"/>
      <c r="W152" s="360"/>
      <c r="X152" s="360"/>
      <c r="Y152" s="360"/>
      <c r="Z152" s="360"/>
      <c r="AA152" s="360"/>
      <c r="AB152" s="360"/>
      <c r="AC152" s="360"/>
      <c r="AD152" s="360"/>
      <c r="AE152" s="360"/>
      <c r="AF152" s="360"/>
      <c r="AG152" s="360"/>
      <c r="AH152" s="360"/>
      <c r="AI152" s="360"/>
      <c r="AJ152" s="360"/>
      <c r="AK152" s="360"/>
      <c r="AL152" s="360"/>
      <c r="AM152" s="360"/>
      <c r="AN152" s="360"/>
    </row>
    <row r="153" spans="1:40">
      <c r="A153" s="93" t="s">
        <v>358</v>
      </c>
      <c r="B153" s="93">
        <f>C134/B147</f>
        <v>9.7412451893127805E-2</v>
      </c>
      <c r="C153" s="93"/>
      <c r="D153" s="93"/>
      <c r="E153" s="93"/>
    </row>
    <row r="154" spans="1:40">
      <c r="A154" s="93" t="s">
        <v>359</v>
      </c>
      <c r="B154" s="93"/>
      <c r="C154" s="359">
        <f>$B$153*C147</f>
        <v>6.4731889797056548</v>
      </c>
      <c r="D154" s="359">
        <f>$B$153*D147</f>
        <v>6.5288151301404289</v>
      </c>
      <c r="E154" s="359">
        <f>$B$153*E147</f>
        <v>6.5265525268243589</v>
      </c>
    </row>
  </sheetData>
  <mergeCells count="15">
    <mergeCell ref="K32:L38"/>
    <mergeCell ref="B124:L124"/>
    <mergeCell ref="B79:L79"/>
    <mergeCell ref="B95:L95"/>
    <mergeCell ref="A1:M1"/>
    <mergeCell ref="B19:L19"/>
    <mergeCell ref="B32:B38"/>
    <mergeCell ref="B40:B46"/>
    <mergeCell ref="B62:B68"/>
    <mergeCell ref="B70:B76"/>
    <mergeCell ref="B113:C113"/>
    <mergeCell ref="C3:H3"/>
    <mergeCell ref="B49:L49"/>
    <mergeCell ref="C13:H13"/>
    <mergeCell ref="K62:L68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C2"/>
  <sheetViews>
    <sheetView zoomScaleNormal="100" workbookViewId="0">
      <selection activeCell="B41" sqref="B41"/>
    </sheetView>
  </sheetViews>
  <sheetFormatPr baseColWidth="10" defaultRowHeight="15"/>
  <sheetData>
    <row r="2" spans="3:3">
      <c r="C2" t="s">
        <v>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FC3BD01BCA347AF146D1331670E52" ma:contentTypeVersion="11" ma:contentTypeDescription="Crée un document." ma:contentTypeScope="" ma:versionID="838a3b530ac448d2a084e46382c3b214">
  <xsd:schema xmlns:xsd="http://www.w3.org/2001/XMLSchema" xmlns:xs="http://www.w3.org/2001/XMLSchema" xmlns:p="http://schemas.microsoft.com/office/2006/metadata/properties" xmlns:ns2="57b07b31-5b0a-4088-a810-7d347523ea75" xmlns:ns3="4949664f-4b47-4c35-a82e-d1e31b98dc67" targetNamespace="http://schemas.microsoft.com/office/2006/metadata/properties" ma:root="true" ma:fieldsID="7242b9b9ccb9c7c305a3d910b5c4d2f2" ns2:_="" ns3:_="">
    <xsd:import namespace="57b07b31-5b0a-4088-a810-7d347523ea75"/>
    <xsd:import namespace="4949664f-4b47-4c35-a82e-d1e31b98dc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07b31-5b0a-4088-a810-7d347523ea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9664f-4b47-4c35-a82e-d1e31b98dc6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F43DB2-DC5C-457C-93D0-B05CAC1845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72BD32-32D0-492C-B124-D113A55EBAD2}">
  <ds:schemaRefs>
    <ds:schemaRef ds:uri="57b07b31-5b0a-4088-a810-7d347523ea75"/>
    <ds:schemaRef ds:uri="4949664f-4b47-4c35-a82e-d1e31b98dc67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BAB31D6-5F8C-4BB7-A688-A846A8265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b07b31-5b0a-4088-a810-7d347523ea75"/>
    <ds:schemaRef ds:uri="4949664f-4b47-4c35-a82e-d1e31b98dc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Plages nommées</vt:lpstr>
      </vt:variant>
      <vt:variant>
        <vt:i4>14</vt:i4>
      </vt:variant>
    </vt:vector>
  </HeadingPairs>
  <TitlesOfParts>
    <vt:vector size="37" baseType="lpstr">
      <vt:lpstr>Feuil1</vt:lpstr>
      <vt:lpstr>Tableau de bord</vt:lpstr>
      <vt:lpstr>Résultats</vt:lpstr>
      <vt:lpstr>Résultats - post traitement</vt:lpstr>
      <vt:lpstr>Init. parc</vt:lpstr>
      <vt:lpstr>Bureaux - AME</vt:lpstr>
      <vt:lpstr>CaHoREs - AME</vt:lpstr>
      <vt:lpstr>Commerce - AME</vt:lpstr>
      <vt:lpstr>Enseignement - AME</vt:lpstr>
      <vt:lpstr>Santé social - AME</vt:lpstr>
      <vt:lpstr>Sport Loisir Culture - AME</vt:lpstr>
      <vt:lpstr>Transport - AME</vt:lpstr>
      <vt:lpstr>Init. énergie</vt:lpstr>
      <vt:lpstr>Bureaux - AMS</vt:lpstr>
      <vt:lpstr>CaHoREs - AMS</vt:lpstr>
      <vt:lpstr>Commerce - AMS</vt:lpstr>
      <vt:lpstr>Enseignement - AMS</vt:lpstr>
      <vt:lpstr>Santé social - AMS</vt:lpstr>
      <vt:lpstr>Sport Loisir Culture - AMS</vt:lpstr>
      <vt:lpstr>Transport - AMS</vt:lpstr>
      <vt:lpstr>Hors chauffage - AMS</vt:lpstr>
      <vt:lpstr>Hors chauffage - AME</vt:lpstr>
      <vt:lpstr>Sources</vt:lpstr>
      <vt:lpstr>'Bureaux - AME'!Zone_d_impression</vt:lpstr>
      <vt:lpstr>'Bureaux - AMS'!Zone_d_impression</vt:lpstr>
      <vt:lpstr>'CaHoREs - AME'!Zone_d_impression</vt:lpstr>
      <vt:lpstr>'CaHoREs - AMS'!Zone_d_impression</vt:lpstr>
      <vt:lpstr>'Commerce - AME'!Zone_d_impression</vt:lpstr>
      <vt:lpstr>'Commerce - AMS'!Zone_d_impression</vt:lpstr>
      <vt:lpstr>'Enseignement - AME'!Zone_d_impression</vt:lpstr>
      <vt:lpstr>'Enseignement - AMS'!Zone_d_impression</vt:lpstr>
      <vt:lpstr>'Santé social - AME'!Zone_d_impression</vt:lpstr>
      <vt:lpstr>'Santé social - AMS'!Zone_d_impression</vt:lpstr>
      <vt:lpstr>'Sport Loisir Culture - AME'!Zone_d_impression</vt:lpstr>
      <vt:lpstr>'Sport Loisir Culture - AMS'!Zone_d_impression</vt:lpstr>
      <vt:lpstr>'Transport - AME'!Zone_d_impression</vt:lpstr>
      <vt:lpstr>'Transport - AMS'!Zone_d_impression</vt:lpstr>
    </vt:vector>
  </TitlesOfParts>
  <Manager/>
  <Company>ADEME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GASPARD Albane</dc:creator>
  <cp:keywords/>
  <dc:description/>
  <cp:lastModifiedBy>NAGY Manon</cp:lastModifiedBy>
  <cp:revision/>
  <dcterms:created xsi:type="dcterms:W3CDTF">2020-04-03T09:01:37Z</dcterms:created>
  <dcterms:modified xsi:type="dcterms:W3CDTF">2025-01-21T14:34:11Z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0x010100533FC3BD01BCA347AF146D1331670E52</vt:lpwstr>
  </property>
</Properties>
</file>