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4"/>
  </bookViews>
  <sheets>
    <sheet name="CCMS_CIVIL_EXCEPTIONS_EXP" r:id="rId7" sheetId="5"/>
    <sheet name="CCMS_DEBT_SUMMARY_C_EXP" r:id="rId6" sheetId="4"/>
    <sheet name="FIXED_CASES_EXP" r:id="rId5" sheetId="3"/>
    <sheet name="CCMS_CASE_TOTALS_TRUE" r:id="rId4" sheetId="2"/>
    <sheet name="CCMS_DEBT_SUMMARY_B_EXP" r:id="rId3" sheetId="1"/>
    <sheet name="MAIN" r:id="rId8" sheetId="6"/>
    <sheet name="MAIN WOFF MIG ERROR" r:id="rId9" sheetId="7"/>
    <sheet name="Reconciliation" r:id="rId10" sheetId="8"/>
    <sheet name="Age Profile" r:id="rId11" sheetId="9"/>
    <sheet name="Civil Movement Report" r:id="rId12" sheetId="10"/>
    <sheet name="All Debts by Type Summary" r:id="rId13" sheetId="11"/>
    <sheet name="Correctly linked Civil Cases" r:id="rId14" sheetId="12"/>
    <sheet name="Civil Debt Exceptions" r:id="rId15" sheetId="13"/>
    <sheet name="Third Party Cash Receipt Income" r:id="rId16" sheetId="14"/>
  </sheets>
</workbook>
</file>

<file path=xl/sharedStrings.xml><?xml version="1.0" encoding="utf-8"?>
<sst xmlns="http://schemas.openxmlformats.org/spreadsheetml/2006/main" count="394" uniqueCount="119">
  <si>
    <t>CCMS Third party report</t>
  </si>
  <si>
    <t>Total outstanding</t>
  </si>
  <si>
    <t>LAA Debt</t>
  </si>
  <si>
    <t>Third Party Debt</t>
  </si>
  <si>
    <t>Debt Type</t>
  </si>
  <si>
    <t>Total</t>
  </si>
  <si>
    <t>Principal Debt</t>
  </si>
  <si>
    <t>Interest (late charges)</t>
  </si>
  <si>
    <t>Contributions</t>
  </si>
  <si>
    <t>Costs</t>
  </si>
  <si>
    <t>Damages</t>
  </si>
  <si>
    <t>Revocation</t>
  </si>
  <si>
    <t>Statutory Charge - Interest Bearing</t>
  </si>
  <si>
    <t>Statutory Charge - Secured</t>
  </si>
  <si>
    <t>Statutory Charge - Unsecured</t>
  </si>
  <si>
    <t>CHECKSUM</t>
  </si>
  <si>
    <t>CHECKSUM M P</t>
  </si>
  <si>
    <t>CHECKSUM M C</t>
  </si>
  <si>
    <t>Volume</t>
  </si>
  <si>
    <t>Max final bill date</t>
  </si>
  <si>
    <t>All CCMS Debt Balances</t>
  </si>
  <si>
    <t>Does not include unapplied income or credit memo's</t>
  </si>
  <si>
    <t>Civil</t>
  </si>
  <si>
    <t>Crime Higher</t>
  </si>
  <si>
    <t>Other</t>
  </si>
  <si>
    <t>Provider</t>
  </si>
  <si>
    <t>Staff Debt</t>
  </si>
  <si>
    <t>Principal</t>
  </si>
  <si>
    <t>Interest</t>
  </si>
  <si>
    <t>Civil Balances Reported Here</t>
  </si>
  <si>
    <t>Correctly linked Debts</t>
  </si>
  <si>
    <t>Migrated in error</t>
  </si>
  <si>
    <t>Not linked to a case</t>
  </si>
  <si>
    <t>Variance in Civil Balances</t>
  </si>
  <si>
    <t>All debt aging is derived from the date each civil case's funding completed (final bill date).</t>
  </si>
  <si>
    <t>Statutory Charge Bearing</t>
  </si>
  <si>
    <t>Statutory Charge Non-bearing</t>
  </si>
  <si>
    <t>0-30 days</t>
  </si>
  <si>
    <t xml:space="preserve"> </t>
  </si>
  <si>
    <t>31-60 days</t>
  </si>
  <si>
    <t>60-90 days</t>
  </si>
  <si>
    <t>Under 1 Year</t>
  </si>
  <si>
    <t>1- 3years</t>
  </si>
  <si>
    <t>3-5 Years</t>
  </si>
  <si>
    <t>5-10 Years</t>
  </si>
  <si>
    <t>10-15 Years</t>
  </si>
  <si>
    <t>15-20 Years</t>
  </si>
  <si>
    <t>20+ Years</t>
  </si>
  <si>
    <t>Principal Value</t>
  </si>
  <si>
    <t>LAA Principal Debt</t>
  </si>
  <si>
    <t>Transaction Type</t>
  </si>
  <si>
    <t>Statutory charge</t>
  </si>
  <si>
    <t>LAA Debt invoices</t>
  </si>
  <si>
    <t>LAA Adjustment: Other Increasing Debt</t>
  </si>
  <si>
    <t>LAA Adjustments: Other Lowering Debt</t>
  </si>
  <si>
    <t>LAA Adjustments: Writeoff Debt</t>
  </si>
  <si>
    <t>LAA Adjustments: Writedown Debt</t>
  </si>
  <si>
    <t>LAA Cash receipts: Debt</t>
  </si>
  <si>
    <t>LAA Credit memo: Debt</t>
  </si>
  <si>
    <t>Balance Principal</t>
  </si>
  <si>
    <t>Third Party Principal Debt</t>
  </si>
  <si>
    <t>Third Debt invoices</t>
  </si>
  <si>
    <t>Third Adjustment: Other Increasing Debt</t>
  </si>
  <si>
    <t>Third Adjustments:Other Lowering Debt</t>
  </si>
  <si>
    <t>Third Adjustments: Writeoff Debt</t>
  </si>
  <si>
    <t>Third Adjustments: Writedown Debt</t>
  </si>
  <si>
    <t>Third Cash receipts: Debt</t>
  </si>
  <si>
    <t>Third Credit memo: Debt</t>
  </si>
  <si>
    <t>Late Charges</t>
  </si>
  <si>
    <t>LAA Charges</t>
  </si>
  <si>
    <t>LAA Adjustment Charges</t>
  </si>
  <si>
    <t>LAA Adjustments: Writeoff Charge</t>
  </si>
  <si>
    <t>LAA Adjustments: Writedown Charge</t>
  </si>
  <si>
    <t>LAA Cash receipts: Charge</t>
  </si>
  <si>
    <t>LAA Credit memo: Late Charge</t>
  </si>
  <si>
    <t>Balance Charges</t>
  </si>
  <si>
    <t>Third Charges</t>
  </si>
  <si>
    <t>Third Adjustment Charges</t>
  </si>
  <si>
    <t>Third Adjustments: Writeoff Charge</t>
  </si>
  <si>
    <t>Third Adjustments: Writedown Charge</t>
  </si>
  <si>
    <t>Third Cash receipts: Charge</t>
  </si>
  <si>
    <t>Third Credit memo: Late Charge</t>
  </si>
  <si>
    <t>All CCMS debts by scheme</t>
  </si>
  <si>
    <t>Total Civil</t>
  </si>
  <si>
    <t>Debt invoices</t>
  </si>
  <si>
    <t>Adjustment Charges</t>
  </si>
  <si>
    <t>Adjustment: Other Increasing debt</t>
  </si>
  <si>
    <t>Adjustments: Other Lowering debt</t>
  </si>
  <si>
    <t>Adjustments: Writeoff Charge</t>
  </si>
  <si>
    <t>Adjustments: Writeoff Debt</t>
  </si>
  <si>
    <t>Adjustments: Writedown Charge</t>
  </si>
  <si>
    <t>Adjustments: Writedown Debt</t>
  </si>
  <si>
    <t>Cash receipts: Charge</t>
  </si>
  <si>
    <t>Cash receipts: Debt</t>
  </si>
  <si>
    <t>Credit memo: Late Charge</t>
  </si>
  <si>
    <t>Credit memo: Debt</t>
  </si>
  <si>
    <t>Movement Summaries</t>
  </si>
  <si>
    <t>1) Debt invoices</t>
  </si>
  <si>
    <t>2) Adjustment: Other Increasing Debt</t>
  </si>
  <si>
    <t>3) Adjustments: Other Lowering Debt</t>
  </si>
  <si>
    <t>4) Adjustments: Writeoff Debt</t>
  </si>
  <si>
    <t>5) Adjustments: Writedown Debt</t>
  </si>
  <si>
    <t>6) Cash receipts: Debt</t>
  </si>
  <si>
    <t>7) Credit memo: Debt</t>
  </si>
  <si>
    <t>8) Adjustment Charges</t>
  </si>
  <si>
    <t>9) Adjustments: Writeoff Charge</t>
  </si>
  <si>
    <t>10) Adjustments: Writedown Charge</t>
  </si>
  <si>
    <t>11) Cash receipts: Charge</t>
  </si>
  <si>
    <t>12) Credit memo: Late Charge</t>
  </si>
  <si>
    <t xml:space="preserve">Debt transactions linked to Civil Cases </t>
  </si>
  <si>
    <t>Debt Transactions</t>
  </si>
  <si>
    <t>Principal Checksums</t>
  </si>
  <si>
    <t>CHECKSUM2</t>
  </si>
  <si>
    <t>Migrated in Error</t>
  </si>
  <si>
    <t>Not Linked to Civil Case</t>
  </si>
  <si>
    <t>Total third party cash receipt income</t>
  </si>
  <si>
    <t>Total on cases with no final bill</t>
  </si>
  <si>
    <t>Total on cases with a final bill</t>
  </si>
  <si>
    <t>Volume of cases with a final bill and third party income</t>
  </si>
</sst>
</file>

<file path=xl/styles.xml><?xml version="1.0" encoding="utf-8"?>
<styleSheet xmlns="http://schemas.openxmlformats.org/spreadsheetml/2006/main">
  <numFmts count="5">
    <numFmt numFmtId="164" formatCode="dd-mmm-yy"/>
    <numFmt numFmtId="165" formatCode="dd/mm/yyyy;@"/>
    <numFmt numFmtId="166" formatCode="_(&quot;£&quot;* #,##0.00_);_(&quot;£&quot;* \(#,##0.00\);_(&quot;£&quot;* &quot;-&quot;??_);_(@_)"/>
    <numFmt numFmtId="167" formatCode="_(* #,##0_);_(* \(#,##0\);_(* &quot;-&quot;??_);_(@_)"/>
    <numFmt numFmtId="168" formatCode="_-[$£-809]* #,##0.00_-;\-[$£-809]* #,##0.00_-;_-[$£-809]* &quot;-&quot;??_-;_-@_-"/>
  </numFmts>
  <fonts count="38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</fonts>
  <fills count="3">
    <fill>
      <patternFill patternType="none"/>
    </fill>
    <fill>
      <patternFill patternType="darkGray"/>
    </fill>
    <fill xmlns:main="http://schemas.openxmlformats.org/spreadsheetml/2006/main">
      <main: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164" fontId="0" fillId="0" borderId="0" xfId="0" applyNumberForma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164" fontId="0" fillId="0" borderId="0" xfId="0" applyNumberForma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164" fontId="0" fillId="0" borderId="0" xfId="0" applyNumberForma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164" fontId="0" fillId="0" borderId="0" xfId="0" applyNumberForma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164" fontId="0" fillId="0" borderId="0" xfId="0" applyNumberFormat="true"/>
    <xf numFmtId="0" fontId="129" fillId="0" borderId="0" xfId="0" applyFont="true"/>
    <xf numFmtId="164" fontId="0" fillId="0" borderId="0" xfId="0" applyNumberForma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  <xf numFmtId="0" fontId="230" fillId="0" borderId="0" xfId="0" applyFont="true"/>
    <xf numFmtId="0" fontId="231" fillId="0" borderId="0" xfId="0" applyFont="true"/>
    <xf numFmtId="0" fontId="232" fillId="0" borderId="0" xfId="0" applyFont="true"/>
    <xf numFmtId="0" fontId="233" fillId="0" borderId="0" xfId="0" applyFont="true"/>
    <xf numFmtId="0" fontId="234" fillId="0" borderId="0" xfId="0" applyFont="true"/>
    <xf numFmtId="0" fontId="235" fillId="0" borderId="0" xfId="0" applyFont="true"/>
    <xf numFmtId="0" fontId="236" fillId="0" borderId="0" xfId="0" applyFont="true"/>
    <xf numFmtId="0" fontId="237" fillId="0" borderId="0" xfId="0" applyFont="true"/>
    <xf numFmtId="0" fontId="238" fillId="0" borderId="0" xfId="0" applyFont="true"/>
    <xf numFmtId="0" fontId="239" fillId="0" borderId="0" xfId="0" applyFont="true"/>
    <xf numFmtId="0" fontId="240" fillId="0" borderId="0" xfId="0" applyFont="true"/>
    <xf numFmtId="0" fontId="241" fillId="0" borderId="0" xfId="0" applyFont="true"/>
    <xf numFmtId="0" fontId="242" fillId="0" borderId="0" xfId="0" applyFont="true"/>
    <xf numFmtId="0" fontId="243" fillId="0" borderId="0" xfId="0" applyFont="true"/>
    <xf numFmtId="0" fontId="244" fillId="0" borderId="0" xfId="0" applyFont="true"/>
    <xf numFmtId="0" fontId="245" fillId="0" borderId="0" xfId="0" applyFont="true"/>
    <xf numFmtId="0" fontId="246" fillId="0" borderId="0" xfId="0" applyFont="true"/>
    <xf numFmtId="0" fontId="247" fillId="0" borderId="0" xfId="0" applyFont="true"/>
    <xf numFmtId="0" fontId="248" fillId="0" borderId="0" xfId="0" applyFont="true"/>
    <xf numFmtId="0" fontId="249" fillId="0" borderId="0" xfId="0" applyFont="true"/>
    <xf numFmtId="0" fontId="250" fillId="0" borderId="0" xfId="0" applyFont="true"/>
    <xf numFmtId="0" fontId="251" fillId="0" borderId="0" xfId="0" applyFont="true"/>
    <xf numFmtId="0" fontId="252" fillId="0" borderId="0" xfId="0" applyFont="true"/>
    <xf numFmtId="0" fontId="253" fillId="0" borderId="0" xfId="0" applyFont="true"/>
    <xf numFmtId="0" fontId="254" fillId="0" borderId="0" xfId="0" applyFont="true"/>
    <xf numFmtId="0" fontId="255" fillId="0" borderId="0" xfId="0" applyFont="true"/>
    <xf numFmtId="0" fontId="256" fillId="0" borderId="0" xfId="0" applyFont="true"/>
    <xf numFmtId="0" fontId="257" fillId="0" borderId="0" xfId="0" applyFont="true"/>
    <xf numFmtId="0" fontId="258" fillId="0" borderId="0" xfId="0" applyFont="true"/>
    <xf numFmtId="0" fontId="259" fillId="0" borderId="0" xfId="0" applyFont="true"/>
    <xf numFmtId="0" fontId="260" fillId="0" borderId="0" xfId="0" applyFont="true"/>
    <xf numFmtId="0" fontId="261" fillId="0" borderId="0" xfId="0" applyFont="true"/>
    <xf numFmtId="0" fontId="262" fillId="0" borderId="0" xfId="0" applyFont="true"/>
    <xf numFmtId="0" fontId="263" fillId="0" borderId="0" xfId="0" applyFont="true"/>
    <xf numFmtId="0" fontId="264" fillId="0" borderId="0" xfId="0" applyFont="true"/>
    <xf numFmtId="0" fontId="265" fillId="0" borderId="0" xfId="0" applyFont="true"/>
    <xf numFmtId="0" fontId="266" fillId="0" borderId="0" xfId="0" applyFont="true"/>
    <xf numFmtId="0" fontId="267" fillId="0" borderId="0" xfId="0" applyFont="true"/>
    <xf numFmtId="0" fontId="268" fillId="0" borderId="0" xfId="0" applyFont="true"/>
    <xf numFmtId="0" fontId="269" fillId="0" borderId="0" xfId="0" applyFont="true"/>
    <xf numFmtId="0" fontId="270" fillId="0" borderId="0" xfId="0" applyFont="true"/>
    <xf numFmtId="0" fontId="271" fillId="0" borderId="0" xfId="0" applyFont="true"/>
    <xf numFmtId="0" fontId="272" fillId="0" borderId="0" xfId="0" applyFont="true"/>
    <xf numFmtId="0" fontId="273" fillId="0" borderId="0" xfId="0" applyFont="true"/>
    <xf numFmtId="0" fontId="274" fillId="0" borderId="0" xfId="0" applyFont="true"/>
    <xf numFmtId="0" fontId="275" fillId="0" borderId="0" xfId="0" applyFont="true"/>
    <xf numFmtId="0" fontId="276" fillId="0" borderId="0" xfId="0" applyFont="true"/>
    <xf numFmtId="0" fontId="277" fillId="0" borderId="0" xfId="0" applyFont="true"/>
    <xf numFmtId="0" fontId="278" fillId="0" borderId="0" xfId="0" applyFont="true"/>
    <xf numFmtId="0" fontId="279" fillId="0" borderId="0" xfId="0" applyFont="true"/>
    <xf numFmtId="0" fontId="280" fillId="0" borderId="0" xfId="0" applyFont="true"/>
    <xf numFmtId="0" fontId="281" fillId="0" borderId="0" xfId="0" applyFont="true"/>
    <xf numFmtId="0" fontId="282" fillId="0" borderId="0" xfId="0" applyFont="true"/>
    <xf numFmtId="0" fontId="283" fillId="0" borderId="0" xfId="0" applyFont="true"/>
    <xf numFmtId="0" fontId="284" fillId="0" borderId="0" xfId="0" applyFont="true"/>
    <xf numFmtId="0" fontId="285" fillId="0" borderId="0" xfId="0" applyFont="true"/>
    <xf numFmtId="0" fontId="286" fillId="0" borderId="0" xfId="0" applyFont="true"/>
    <xf numFmtId="0" fontId="287" fillId="0" borderId="0" xfId="0" applyFont="true"/>
    <xf numFmtId="0" fontId="288" fillId="0" borderId="0" xfId="0" applyFont="true"/>
    <xf numFmtId="0" fontId="289" fillId="0" borderId="0" xfId="0" applyFont="true"/>
    <xf numFmtId="0" fontId="290" fillId="0" borderId="0" xfId="0" applyFont="true"/>
    <xf numFmtId="0" fontId="291" fillId="0" borderId="0" xfId="0" applyFont="true"/>
    <xf numFmtId="0" fontId="292" fillId="0" borderId="0" xfId="0" applyFont="true"/>
    <xf numFmtId="0" fontId="293" fillId="0" borderId="0" xfId="0" applyFont="true"/>
    <xf numFmtId="0" fontId="294" fillId="0" borderId="0" xfId="0" applyFont="true"/>
    <xf numFmtId="0" fontId="295" fillId="0" borderId="0" xfId="0" applyFont="true"/>
    <xf numFmtId="0" fontId="296" fillId="0" borderId="0" xfId="0" applyFont="true"/>
    <xf numFmtId="0" fontId="297" fillId="0" borderId="0" xfId="0" applyFont="true"/>
    <xf numFmtId="0" fontId="298" fillId="0" borderId="0" xfId="0" applyFont="true"/>
    <xf numFmtId="0" fontId="299" fillId="0" borderId="0" xfId="0" applyFont="true"/>
    <xf numFmtId="0" fontId="300" fillId="0" borderId="0" xfId="0" applyFont="true"/>
    <xf numFmtId="0" fontId="301" fillId="0" borderId="0" xfId="0" applyFont="true"/>
    <xf numFmtId="0" fontId="302" fillId="0" borderId="0" xfId="0" applyFont="true"/>
    <xf numFmtId="0" fontId="303" fillId="0" borderId="0" xfId="0" applyFont="true"/>
    <xf numFmtId="0" fontId="304" fillId="0" borderId="0" xfId="0" applyFont="true"/>
    <xf numFmtId="0" fontId="305" fillId="0" borderId="0" xfId="0" applyFont="true"/>
    <xf numFmtId="0" fontId="306" fillId="0" borderId="0" xfId="0" applyFont="true"/>
    <xf numFmtId="0" fontId="307" fillId="0" borderId="0" xfId="0" applyFont="true"/>
    <xf numFmtId="0" fontId="308" fillId="0" borderId="0" xfId="0" applyFont="true"/>
    <xf numFmtId="0" fontId="309" fillId="0" borderId="0" xfId="0" applyFont="true"/>
    <xf numFmtId="0" fontId="310" fillId="0" borderId="0" xfId="0" applyFont="true"/>
    <xf numFmtId="0" fontId="311" fillId="0" borderId="0" xfId="0" applyFont="true"/>
    <xf numFmtId="0" fontId="312" fillId="0" borderId="0" xfId="0" applyFont="true"/>
    <xf numFmtId="0" fontId="313" fillId="0" borderId="0" xfId="0" applyFont="true"/>
    <xf numFmtId="0" fontId="314" fillId="0" borderId="0" xfId="0" applyFont="true"/>
    <xf numFmtId="0" fontId="315" fillId="0" borderId="0" xfId="0" applyFont="true"/>
    <xf numFmtId="0" fontId="316" fillId="0" borderId="0" xfId="0" applyFont="true"/>
    <xf numFmtId="0" fontId="317" fillId="0" borderId="0" xfId="0" applyFont="true"/>
    <xf numFmtId="0" fontId="318" fillId="0" borderId="0" xfId="0" applyFont="true"/>
    <xf numFmtId="0" fontId="319" fillId="0" borderId="0" xfId="0" applyFont="true"/>
    <xf numFmtId="0" fontId="320" fillId="0" borderId="0" xfId="0" applyFont="true"/>
    <xf numFmtId="0" fontId="321" fillId="0" borderId="0" xfId="0" applyFont="true"/>
    <xf numFmtId="0" fontId="322" fillId="0" borderId="0" xfId="0" applyFont="true"/>
    <xf numFmtId="0" fontId="323" fillId="0" borderId="0" xfId="0" applyFont="true"/>
    <xf numFmtId="0" fontId="324" fillId="0" borderId="0" xfId="0" applyFont="true"/>
    <xf numFmtId="0" fontId="325" fillId="0" borderId="0" xfId="0" applyFont="true"/>
    <xf numFmtId="0" fontId="326" fillId="0" borderId="0" xfId="0" applyFont="true"/>
    <xf numFmtId="0" fontId="327" fillId="0" borderId="0" xfId="0" applyFont="true"/>
    <xf numFmtId="0" fontId="328" fillId="0" borderId="0" xfId="0" applyFont="true"/>
    <xf numFmtId="0" fontId="329" fillId="0" borderId="0" xfId="0" applyFont="true"/>
    <xf numFmtId="0" fontId="330" fillId="0" borderId="0" xfId="0" applyFont="true"/>
    <xf numFmtId="0" fontId="331" fillId="0" borderId="0" xfId="0" applyFont="true"/>
    <xf numFmtId="0" fontId="332" fillId="0" borderId="0" xfId="0" applyFont="true"/>
    <xf numFmtId="0" fontId="333" fillId="0" borderId="0" xfId="0" applyFont="true"/>
    <xf numFmtId="0" fontId="334" fillId="0" borderId="0" xfId="0" applyFont="true"/>
    <xf numFmtId="0" fontId="335" fillId="0" borderId="0" xfId="0" applyFont="true"/>
    <xf numFmtId="0" fontId="336" fillId="0" borderId="0" xfId="0" applyFont="true"/>
    <xf numFmtId="0" fontId="337" fillId="0" borderId="0" xfId="0" applyFont="true"/>
    <xf numFmtId="0" fontId="338" fillId="0" borderId="0" xfId="0" applyFont="true"/>
    <xf numFmtId="0" fontId="339" fillId="0" borderId="0" xfId="0" applyFont="true"/>
    <xf numFmtId="0" fontId="340" fillId="0" borderId="0" xfId="0" applyFont="true"/>
    <xf numFmtId="0" fontId="341" fillId="0" borderId="0" xfId="0" applyFont="true"/>
    <xf numFmtId="0" fontId="342" fillId="0" borderId="0" xfId="0" applyFont="true"/>
    <xf numFmtId="0" fontId="343" fillId="0" borderId="0" xfId="0" applyFont="true"/>
    <xf numFmtId="0" fontId="344" fillId="0" borderId="0" xfId="0" applyFont="true"/>
    <xf numFmtId="0" fontId="345" fillId="0" borderId="0" xfId="0" applyFont="true"/>
    <xf numFmtId="0" fontId="346" fillId="0" borderId="0" xfId="0" applyFont="true"/>
    <xf numFmtId="0" fontId="347" fillId="0" borderId="0" xfId="0" applyFont="true"/>
    <xf numFmtId="0" fontId="348" fillId="0" borderId="0" xfId="0" applyFont="true"/>
    <xf numFmtId="0" fontId="349" fillId="0" borderId="0" xfId="0" applyFont="true"/>
    <xf numFmtId="0" fontId="350" fillId="0" borderId="0" xfId="0" applyFont="true"/>
    <xf numFmtId="0" fontId="351" fillId="0" borderId="0" xfId="0" applyFont="true"/>
    <xf numFmtId="0" fontId="352" fillId="0" borderId="0" xfId="0" applyFont="true"/>
    <xf numFmtId="0" fontId="353" fillId="2" borderId="0" pivotButton="0" quotePrefix="0" xfId="0" applyFill="true" applyBorder="true" applyNumberFormat="true" applyFont="true"/>
    <xf numFmtId="165" fontId="354" fillId="2" borderId="0" pivotButton="0" quotePrefix="0" xfId="2" applyFill="true" applyBorder="true" applyNumberFormat="true" applyFont="true"/>
    <xf numFmtId="165" fontId="355" fillId="2" borderId="0" pivotButton="0" quotePrefix="0" xfId="0" applyFill="true" applyBorder="true" applyNumberFormat="true" applyFont="true"/>
    <xf numFmtId="166" fontId="356" fillId="2" borderId="0" pivotButton="0" quotePrefix="0" xfId="2" applyFill="true" applyBorder="true" applyNumberFormat="true" applyFont="true"/>
    <xf numFmtId="14" fontId="357" fillId="2" borderId="0" pivotButton="0" quotePrefix="0" xfId="2" applyFill="true" applyBorder="true" applyNumberFormat="true" applyFont="true"/>
    <xf numFmtId="0" fontId="358" fillId="2" borderId="0" pivotButton="0" quotePrefix="0" xfId="0" applyFill="true" applyBorder="true" applyNumberFormat="true" applyFont="true"/>
    <xf numFmtId="166" fontId="359" fillId="2" borderId="0" pivotButton="0" quotePrefix="0" xfId="2" applyFill="true" applyBorder="true" applyNumberFormat="true" applyFont="true"/>
    <xf numFmtId="14" fontId="360" fillId="2" borderId="0" pivotButton="0" quotePrefix="0" xfId="2" applyFill="true" applyBorder="true" applyNumberFormat="true" applyFont="true"/>
    <xf numFmtId="0" fontId="361" fillId="2" borderId="0" pivotButton="0" quotePrefix="0" xfId="0" applyFill="true" applyBorder="true" applyNumberFormat="true" applyFont="true"/>
    <xf numFmtId="166" fontId="362" fillId="2" borderId="0" pivotButton="0" quotePrefix="0" xfId="2" applyFill="true" applyBorder="true" applyNumberFormat="true" applyFont="true"/>
    <xf numFmtId="14" fontId="363" fillId="2" borderId="0" pivotButton="0" quotePrefix="0" xfId="2" applyFill="true" applyBorder="true" applyNumberFormat="true" applyFont="true"/>
    <xf numFmtId="43" fontId="364" fillId="2" borderId="0" pivotButton="0" quotePrefix="0" xfId="1" applyFill="true" applyBorder="true" applyNumberFormat="true" applyFont="true"/>
    <xf numFmtId="167" fontId="365" fillId="2" borderId="0" pivotButton="0" quotePrefix="0" xfId="1" applyFill="true" applyBorder="true" applyNumberFormat="true" applyFont="true"/>
    <xf numFmtId="43" fontId="366" fillId="2" borderId="0" pivotButton="0" quotePrefix="0" xfId="1" applyFill="true" applyBorder="true" applyNumberFormat="true" applyFont="true"/>
    <xf numFmtId="0" fontId="367" fillId="2" borderId="0" pivotButton="0" quotePrefix="0" xfId="0" applyFill="true" applyBorder="true" applyNumberFormat="true" applyFont="true"/>
    <xf numFmtId="168" fontId="368" fillId="2" borderId="0" pivotButton="0" quotePrefix="0" xfId="0" applyFill="true" applyBorder="true" applyNumberFormat="true" applyFont="true"/>
    <xf numFmtId="0" fontId="369" fillId="2" borderId="0" pivotButton="0" quotePrefix="0" xfId="0" applyFill="true" applyBorder="true" applyNumberFormat="true" applyFont="true"/>
    <xf numFmtId="168" fontId="370" fillId="2" borderId="0" pivotButton="0" quotePrefix="0" xfId="0" applyFill="true" applyBorder="true" applyNumberFormat="true" applyFont="true"/>
    <xf numFmtId="0" fontId="371" fillId="2" borderId="0" pivotButton="0" quotePrefix="0" xfId="0" applyFill="true" applyBorder="true" applyNumberFormat="true" applyFont="true"/>
    <xf numFmtId="168" fontId="372" fillId="2" borderId="0" pivotButton="0" quotePrefix="0" xfId="0" applyFill="true" applyBorder="true" applyNumberFormat="true" applyFont="true"/>
    <xf numFmtId="0" fontId="373" fillId="2" borderId="0" pivotButton="0" quotePrefix="0" xfId="0" applyFill="true" applyBorder="true" applyNumberFormat="true" applyFont="true"/>
    <xf numFmtId="168" fontId="374" fillId="2" borderId="0" pivotButton="0" quotePrefix="0" xfId="0" applyFill="true" applyBorder="true" applyNumberFormat="true" applyFont="true"/>
    <xf numFmtId="0" fontId="375" fillId="2" borderId="0" pivotButton="0" quotePrefix="0" xfId="0" applyFill="true" applyBorder="true" applyNumberFormat="true" applyFont="true"/>
    <xf numFmtId="168" fontId="376" fillId="2" borderId="0" pivotButton="0" quotePrefix="0" xfId="0" applyFill="true" applyBorder="true" applyNumberFormat="true" applyFont="true"/>
    <xf numFmtId="0" fontId="377" fillId="2" borderId="0" pivotButton="0" quotePrefix="0" xfId="0" applyFill="true" applyBorder="true" applyNumberFormat="true" applyFont="true"/>
    <xf numFmtId="168" fontId="378" fillId="2" borderId="0" pivotButton="0" quotePrefix="0" xfId="0" applyFill="true" applyBorder="true" applyNumberFormat="true" applyFont="true"/>
    <xf numFmtId="0" fontId="379" fillId="2" borderId="0" pivotButton="0" quotePrefix="0" xfId="0" applyFill="true" applyBorder="true" applyNumberFormat="true" applyFont="true"/>
    <xf numFmtId="168" fontId="380" fillId="2" borderId="0" pivotButton="0" quotePrefix="0" xfId="0" applyFill="true" applyBorder="true" applyNumberFormat="true" applyFont="true"/>
    <xf numFmtId="0" fontId="381" fillId="2" borderId="0" pivotButton="0" quotePrefix="0" xfId="0" applyFill="true" applyBorder="true" applyNumberFormat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1"/>
  <sheetViews>
    <sheetView workbookViewId="0" tabSelected="true"/>
  </sheetViews>
  <sheetFormatPr defaultRowHeight="15.0"/>
  <cols>
    <col min="1" max="1" width="69.66796875" customWidth="true"/>
    <col min="2" max="2" width="5.5" customWidth="true"/>
    <col min="3" max="3" width="11.828125" customWidth="true"/>
    <col min="4" max="4" width="11.16796875" customWidth="true"/>
    <col min="5" max="5" width="11.5" customWidth="true"/>
    <col min="6" max="6" width="14.5" customWidth="true"/>
    <col min="7" max="7" width="12.5" customWidth="true"/>
    <col min="8" max="8" width="17.16796875" customWidth="true"/>
    <col min="9" max="9" width="15.328125" customWidth="true"/>
    <col min="10" max="10" width="11.828125" customWidth="true"/>
    <col min="11" max="11" width="11.66796875" customWidth="true"/>
    <col min="12" max="12" width="13.16796875" customWidth="true"/>
    <col min="13" max="13" width="16.0" customWidth="true"/>
    <col min="14" max="14" width="19.0" customWidth="true"/>
  </cols>
  <sheetData>
    <row r="1">
      <c r="A1" t="inlineStr">
        <is>
          <t>DEBT_TYPE</t>
        </is>
      </c>
      <c r="B1" t="inlineStr">
        <is>
          <t>CLASS</t>
        </is>
      </c>
      <c r="C1" t="inlineStr">
        <is>
          <t>DEBT</t>
        </is>
      </c>
      <c r="D1" t="inlineStr">
        <is>
          <t>CM_DEBT CM_CHARGE</t>
        </is>
      </c>
      <c r="E1" t="inlineStr">
        <is>
          <t>CM_UNAPPLIED</t>
        </is>
      </c>
      <c r="F1" t="inlineStr">
        <is>
          <t>ADJUST_DEBT</t>
        </is>
      </c>
      <c r="G1" t="inlineStr">
        <is>
          <t>ADJUST_DEBT_GRE</t>
        </is>
      </c>
      <c r="H1" t="inlineStr">
        <is>
          <t>ADJUST_DEBT_LOW</t>
        </is>
      </c>
      <c r="I1" t="inlineStr">
        <is>
          <t>ADJUST_CHARGE</t>
        </is>
      </c>
      <c r="J1" t="inlineStr">
        <is>
          <t>WO_DEBT WO_CHARGE</t>
        </is>
      </c>
      <c r="K1" t="inlineStr">
        <is>
          <t>WD_DEBT WD_CHARGE</t>
        </is>
      </c>
      <c r="L1" t="inlineStr">
        <is>
          <t>INCOME_DEBT</t>
        </is>
      </c>
      <c r="M1" t="inlineStr">
        <is>
          <t>INCOME_CHARGE</t>
        </is>
      </c>
      <c r="N1" t="inlineStr">
        <is>
          <t>INCOME_UNAPPLIED</t>
        </is>
      </c>
    </row>
    <row r="2">
      <c r="A2" t="n">
        <v>1.0</v>
      </c>
      <c r="B2" t="inlineStr">
        <is>
          <t>Wile E. Coyote</t>
        </is>
      </c>
      <c r="C2" t="inlineStr">
        <is>
          <t>Genius (Self-Proclaimed)</t>
        </is>
      </c>
      <c r="D2" t="inlineStr">
        <is>
          <t>Meep meep? Wait, that's his...</t>
        </is>
      </c>
      <c r="E2" t="n">
        <v>127.0</v>
      </c>
      <c r="F2" t="n">
        <v>45245.60555555556</v>
      </c>
      <c r="G2" t="b">
        <v>1</v>
      </c>
      <c r="H2" t="inlineStr">
        <is>
          <t>Wile E. Coyote</t>
        </is>
      </c>
      <c r="I2" t="b">
        <v>1</v>
      </c>
      <c r="J2" t="n">
        <v>0.0</v>
      </c>
      <c r="K2" t="n">
        <v>999.0</v>
      </c>
      <c r="L2" t="b">
        <v>1</v>
      </c>
      <c r="M2" t="inlineStr">
        <is>
          <t>Road Runner</t>
        </is>
      </c>
      <c r="N2" t="inlineStr">
        <is>
          <t/>
        </is>
      </c>
    </row>
    <row r="3">
      <c r="A3" t="n">
        <v>2.0</v>
      </c>
      <c r="B3" t="inlineStr">
        <is>
          <t>Road Runner</t>
        </is>
      </c>
      <c r="C3" t="inlineStr">
        <is>
          <t>Acceleratii Incredibus</t>
        </is>
      </c>
      <c r="D3" t="inlineStr">
        <is>
          <t>Meep meep!</t>
        </is>
      </c>
      <c r="E3" t="n">
        <v>0.0</v>
      </c>
      <c r="F3" t="inlineStr">
        <is>
          <t/>
        </is>
      </c>
      <c r="G3" t="b">
        <v>0</v>
      </c>
      <c r="H3" t="inlineStr">
        <is>
          <t>High</t>
        </is>
      </c>
      <c r="I3" t="b">
        <v>0</v>
      </c>
      <c r="J3" t="n">
        <v>42.0</v>
      </c>
      <c r="K3" t="n">
        <v>0.0</v>
      </c>
      <c r="L3" t="b">
        <v>0</v>
      </c>
      <c r="M3" t="inlineStr">
        <is>
          <t>Wile E. Coyote</t>
        </is>
      </c>
      <c r="N3" t="inlineStr">
        <is>
          <t/>
        </is>
      </c>
    </row>
    <row r="4">
      <c r="A4" t="n">
        <v>3.0</v>
      </c>
      <c r="B4" t="inlineStr">
        <is>
          <t>Bugs Bunny</t>
        </is>
      </c>
      <c r="C4" t="inlineStr">
        <is>
          <t>Toon</t>
        </is>
      </c>
      <c r="D4" t="inlineStr">
        <is>
          <t>What's up, Doc?</t>
        </is>
      </c>
      <c r="E4" t="n">
        <v>3.0</v>
      </c>
      <c r="F4" t="inlineStr">
        <is>
          <t/>
        </is>
      </c>
      <c r="G4" t="b">
        <v>0</v>
      </c>
      <c r="H4" t="inlineStr">
        <is>
          <t>High</t>
        </is>
      </c>
      <c r="I4" t="b">
        <v>1</v>
      </c>
      <c r="J4" t="n">
        <v>0.0</v>
      </c>
      <c r="K4" t="n">
        <v>0.0</v>
      </c>
      <c r="L4" t="b">
        <v>0</v>
      </c>
      <c r="M4" t="inlineStr">
        <is>
          <t>Elmer Fudd</t>
        </is>
      </c>
      <c r="N4" t="inlineStr">
        <is>
          <t/>
        </is>
      </c>
    </row>
    <row r="5">
      <c r="A5" t="n">
        <v>4.0</v>
      </c>
      <c r="B5" t="inlineStr">
        <is>
          <t>Daffy Duck</t>
        </is>
      </c>
      <c r="C5" t="inlineStr">
        <is>
          <t>Toon</t>
        </is>
      </c>
      <c r="D5" t="inlineStr">
        <is>
          <t>You're despicable!</t>
        </is>
      </c>
      <c r="E5" t="n">
        <v>0.0</v>
      </c>
      <c r="F5" t="n">
        <v>45245.625</v>
      </c>
      <c r="G5" t="b">
        <v>1</v>
      </c>
      <c r="H5" t="inlineStr">
        <is>
          <t>High</t>
        </is>
      </c>
      <c r="I5" t="b">
        <v>0</v>
      </c>
      <c r="J5" t="n">
        <v>0.0</v>
      </c>
      <c r="K5" t="n">
        <v>0.0</v>
      </c>
      <c r="L5" t="b">
        <v>1</v>
      </c>
      <c r="M5" t="inlineStr">
        <is>
          <t>Bugs Bunny</t>
        </is>
      </c>
      <c r="N5" t="inlineStr">
        <is>
          <t/>
        </is>
      </c>
    </row>
    <row r="6">
      <c r="A6" t="n">
        <v>5.0</v>
      </c>
      <c r="B6" t="inlineStr">
        <is>
          <t>Tasmanian Devil</t>
        </is>
      </c>
      <c r="C6" t="inlineStr">
        <is>
          <t>Tornado With Fur</t>
        </is>
      </c>
      <c r="D6" t="inlineStr">
        <is>
          <t>That's all, folks!</t>
        </is>
      </c>
      <c r="E6" t="n">
        <v>0.0</v>
      </c>
      <c r="F6" t="n">
        <v>45245.00069444445</v>
      </c>
      <c r="G6" t="b">
        <v>0</v>
      </c>
      <c r="H6" t="inlineStr">
        <is>
          <t>High</t>
        </is>
      </c>
      <c r="I6" t="b">
        <v>0</v>
      </c>
      <c r="J6" t="n">
        <v>100.0</v>
      </c>
      <c r="K6" t="n">
        <v>0.0</v>
      </c>
      <c r="L6" t="b">
        <v>0</v>
      </c>
      <c r="M6" t="inlineStr">
        <is>
          <t/>
        </is>
      </c>
      <c r="N6" t="inlineStr">
        <is>
          <t/>
        </is>
      </c>
    </row>
    <row r="7">
      <c r="A7" t="n">
        <v>6.0</v>
      </c>
      <c r="B7" t="inlineStr">
        <is>
          <t>Sylvester</t>
        </is>
      </c>
      <c r="C7" t="inlineStr">
        <is>
          <t>Toon</t>
        </is>
      </c>
      <c r="D7" t="inlineStr">
        <is>
          <t>Sufferin' succotash!</t>
        </is>
      </c>
      <c r="E7" t="n">
        <v>7.0</v>
      </c>
      <c r="F7" t="inlineStr">
        <is>
          <t/>
        </is>
      </c>
      <c r="G7" t="b">
        <v>0</v>
      </c>
      <c r="H7" t="inlineStr">
        <is>
          <t>High</t>
        </is>
      </c>
      <c r="I7" t="b">
        <v>0</v>
      </c>
      <c r="J7" t="n">
        <v>0.0</v>
      </c>
      <c r="K7" t="n">
        <v>0.0</v>
      </c>
      <c r="L7" t="b">
        <v>0</v>
      </c>
      <c r="M7" t="inlineStr">
        <is>
          <t>Tweety Bird</t>
        </is>
      </c>
      <c r="N7" t="inlineStr">
        <is>
          <t/>
        </is>
      </c>
    </row>
    <row r="8">
      <c r="A8" t="n">
        <v>7.0</v>
      </c>
      <c r="B8" t="inlineStr">
        <is>
          <t>Marvin the Martian</t>
        </is>
      </c>
      <c r="C8" t="inlineStr">
        <is>
          <t>Martian</t>
        </is>
      </c>
      <c r="D8" t="inlineStr">
        <is>
          <t>Where's the kaboom?</t>
        </is>
      </c>
      <c r="E8" t="n">
        <v>0.0</v>
      </c>
      <c r="F8" t="n">
        <v>45245.680555555555</v>
      </c>
      <c r="G8" t="b">
        <v>0</v>
      </c>
      <c r="H8" t="inlineStr">
        <is>
          <t>Medium</t>
        </is>
      </c>
      <c r="I8" t="b">
        <v>0</v>
      </c>
      <c r="J8" t="n">
        <v>0.0</v>
      </c>
      <c r="K8" t="n">
        <v>0.0</v>
      </c>
      <c r="L8" t="b">
        <v>0</v>
      </c>
      <c r="M8" t="inlineStr">
        <is>
          <t/>
        </is>
      </c>
      <c r="N8" t="inlineStr">
        <is>
          <t/>
        </is>
      </c>
    </row>
    <row r="9">
      <c r="A9" t="n">
        <v>8.0</v>
      </c>
      <c r="B9" t="inlineStr">
        <is>
          <t>Porky Pig</t>
        </is>
      </c>
      <c r="C9" t="inlineStr">
        <is>
          <t>Toon</t>
        </is>
      </c>
      <c r="D9" t="inlineStr">
        <is>
          <t>Th-th-th-that's all folks!</t>
        </is>
      </c>
      <c r="E9" t="n">
        <v>0.0</v>
      </c>
      <c r="F9" t="inlineStr">
        <is>
          <t/>
        </is>
      </c>
      <c r="G9" t="b">
        <v>0</v>
      </c>
      <c r="H9" t="inlineStr">
        <is>
          <t>High</t>
        </is>
      </c>
      <c r="I9" t="b">
        <v>0</v>
      </c>
      <c r="J9" t="n">
        <v>0.0</v>
      </c>
      <c r="K9" t="n">
        <v>0.0</v>
      </c>
      <c r="L9" t="b">
        <v>0</v>
      </c>
      <c r="M9" t="inlineStr">
        <is>
          <t/>
        </is>
      </c>
      <c r="N9" t="inlineStr">
        <is>
          <t/>
        </is>
      </c>
    </row>
    <row r="10">
      <c r="A10" t="n">
        <v>9.0</v>
      </c>
      <c r="B10" t="inlineStr">
        <is>
          <t>Tweety Bird</t>
        </is>
      </c>
      <c r="C10" t="inlineStr">
        <is>
          <t>Toon</t>
        </is>
      </c>
      <c r="D10" t="inlineStr">
        <is>
          <t>I tawt I taw a puddy tat!</t>
        </is>
      </c>
      <c r="E10" t="n">
        <v>2.0</v>
      </c>
      <c r="F10" t="inlineStr">
        <is>
          <t/>
        </is>
      </c>
      <c r="G10" t="b">
        <v>0</v>
      </c>
      <c r="H10" t="inlineStr">
        <is>
          <t>High</t>
        </is>
      </c>
      <c r="I10" t="b">
        <v>0</v>
      </c>
      <c r="J10" t="n">
        <v>0.0</v>
      </c>
      <c r="K10" t="n">
        <v>0.0</v>
      </c>
      <c r="L10" t="b">
        <v>0</v>
      </c>
      <c r="M10" t="inlineStr">
        <is>
          <t>Sylvester</t>
        </is>
      </c>
      <c r="N10" t="inlineStr">
        <is>
          <t/>
        </is>
      </c>
    </row>
    <row r="11">
      <c r="A11" t="n">
        <v>10.0</v>
      </c>
      <c r="B11" t="inlineStr">
        <is>
          <t>Elmer Fudd</t>
        </is>
      </c>
      <c r="C11" t="inlineStr">
        <is>
          <t>Toon</t>
        </is>
      </c>
      <c r="D11" t="inlineStr">
        <is>
          <t>Be vewy vewy quiet...</t>
        </is>
      </c>
      <c r="E11" t="n">
        <v>0.0</v>
      </c>
      <c r="F11" t="inlineStr">
        <is>
          <t/>
        </is>
      </c>
      <c r="G11" t="b">
        <v>1</v>
      </c>
      <c r="H11" t="inlineStr">
        <is>
          <t>High</t>
        </is>
      </c>
      <c r="I11" t="b">
        <v>0</v>
      </c>
      <c r="J11" t="n">
        <v>0.0</v>
      </c>
      <c r="K11" t="n">
        <v>0.0</v>
      </c>
      <c r="L11" t="b">
        <v>0</v>
      </c>
      <c r="M11" t="inlineStr">
        <is>
          <t>Bugs Bunny</t>
        </is>
      </c>
      <c r="N11" t="inlineStr">
        <is>
          <t/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pageSetUpPr autoPageBreaks="false"/>
  </sheetPr>
  <dimension ref="B1:M55"/>
  <sheetViews>
    <sheetView workbookViewId="0"/>
  </sheetViews>
  <sheetFormatPr defaultRowHeight="15.0"/>
  <cols>
    <col min="1" max="1" width="8.0" customWidth="true"/>
    <col min="2" max="2" width="36.42578125" customWidth="true"/>
  </cols>
  <sheetData>
    <row r="1" ht="15.0" customHeight="true" hidden="false">
      <c r="B1" s="379" t="s">
        <v>6</v>
      </c>
    </row>
    <row r="3" ht="15.0" customHeight="true" hidden="false">
      <c r="B3" s="379" t="s">
        <v>49</v>
      </c>
    </row>
    <row r="5" ht="15.0" customHeight="true" hidden="false">
      <c r="B5" s="379" t="s">
        <v>50</v>
      </c>
      <c r="C5" s="380" t="s">
        <v>8</v>
      </c>
      <c r="D5" s="380" t="s">
        <v>9</v>
      </c>
      <c r="E5" s="380" t="s">
        <v>10</v>
      </c>
      <c r="F5" s="380" t="s">
        <v>11</v>
      </c>
      <c r="G5" s="380" t="s">
        <v>51</v>
      </c>
      <c r="I5" s="380" t="s">
        <v>5</v>
      </c>
    </row>
    <row r="6" ht="15.0" customHeight="true" hidden="false">
      <c r="B6" s="379" t="s">
        <v>52</v>
      </c>
      <c r="C6" s="380">
        <f>'Correctly linked Civil Cases'!C27</f>
      </c>
      <c r="D6" s="380">
        <f>'Correctly linked Civil Cases'!D27</f>
      </c>
      <c r="E6" s="380">
        <f>'Correctly linked Civil Cases'!E27</f>
      </c>
      <c r="F6" s="380">
        <f>'Correctly linked Civil Cases'!F27</f>
      </c>
      <c r="G6" s="380">
        <f>'Correctly linked Civil Cases'!G27</f>
      </c>
      <c r="I6" s="380">
        <f>SUM(C6:H6)</f>
      </c>
    </row>
    <row r="7" ht="15.0" customHeight="true" hidden="false">
      <c r="B7" s="379" t="s">
        <v>53</v>
      </c>
      <c r="C7" s="380">
        <f>'Correctly linked Civil Cases'!C28</f>
      </c>
      <c r="D7" s="380">
        <f>'Correctly linked Civil Cases'!D28</f>
      </c>
      <c r="E7" s="380">
        <f>'Correctly linked Civil Cases'!E28</f>
      </c>
      <c r="F7" s="380">
        <f>'Correctly linked Civil Cases'!F28</f>
      </c>
      <c r="G7" s="380">
        <f>'Correctly linked Civil Cases'!G28</f>
      </c>
      <c r="I7" s="380">
        <f>SUM(C7:H7)</f>
      </c>
    </row>
    <row r="8" ht="15.0" customHeight="true" hidden="false">
      <c r="B8" s="379" t="s">
        <v>54</v>
      </c>
      <c r="C8" s="380">
        <f>'Correctly linked Civil Cases'!C29</f>
      </c>
      <c r="D8" s="380">
        <f>'Correctly linked Civil Cases'!D29</f>
      </c>
      <c r="E8" s="380">
        <f>'Correctly linked Civil Cases'!E29</f>
      </c>
      <c r="F8" s="380">
        <f>'Correctly linked Civil Cases'!F29</f>
      </c>
      <c r="G8" s="380">
        <f>'Correctly linked Civil Cases'!G29</f>
      </c>
      <c r="I8" s="380">
        <f>SUM(C8:H8)</f>
      </c>
    </row>
    <row r="9" ht="15.0" customHeight="true" hidden="false">
      <c r="B9" s="379" t="s">
        <v>55</v>
      </c>
      <c r="C9" s="380">
        <f>'Correctly linked Civil Cases'!C30</f>
      </c>
      <c r="D9" s="380">
        <f>'Correctly linked Civil Cases'!D30</f>
      </c>
      <c r="E9" s="380">
        <f>'Correctly linked Civil Cases'!E30</f>
      </c>
      <c r="F9" s="380">
        <f>'Correctly linked Civil Cases'!F30</f>
      </c>
      <c r="G9" s="380">
        <f>'Correctly linked Civil Cases'!G30</f>
      </c>
      <c r="I9" s="380">
        <f>SUM(C9:H9)</f>
      </c>
    </row>
    <row r="10" ht="15.0" customHeight="true" hidden="false">
      <c r="B10" s="379" t="s">
        <v>56</v>
      </c>
      <c r="C10" s="380">
        <f>'Correctly linked Civil Cases'!C31</f>
      </c>
      <c r="D10" s="380">
        <f>'Correctly linked Civil Cases'!D31</f>
      </c>
      <c r="E10" s="380">
        <f>'Correctly linked Civil Cases'!E31</f>
      </c>
      <c r="F10" s="380">
        <f>'Correctly linked Civil Cases'!F31</f>
      </c>
      <c r="G10" s="380">
        <f>'Correctly linked Civil Cases'!G31</f>
      </c>
      <c r="I10" s="380">
        <f>SUM(C10:H10)</f>
      </c>
    </row>
    <row r="11" ht="15.0" customHeight="true" hidden="false">
      <c r="B11" s="379" t="s">
        <v>57</v>
      </c>
      <c r="C11" s="380">
        <f>'Correctly linked Civil Cases'!C32</f>
      </c>
      <c r="D11" s="380">
        <f>'Correctly linked Civil Cases'!D32</f>
      </c>
      <c r="E11" s="380">
        <f>'Correctly linked Civil Cases'!E32</f>
      </c>
      <c r="F11" s="380">
        <f>'Correctly linked Civil Cases'!F32</f>
      </c>
      <c r="G11" s="380">
        <f>'Correctly linked Civil Cases'!G32</f>
      </c>
      <c r="I11" s="380">
        <f>SUM(C11:H11)</f>
      </c>
    </row>
    <row r="12" ht="15.0" customHeight="true" hidden="false">
      <c r="B12" s="379" t="s">
        <v>58</v>
      </c>
      <c r="C12" s="380">
        <f>'Correctly linked Civil Cases'!C33</f>
      </c>
      <c r="D12" s="380">
        <f>'Correctly linked Civil Cases'!D33</f>
      </c>
      <c r="E12" s="380">
        <f>'Correctly linked Civil Cases'!E33</f>
      </c>
      <c r="F12" s="380">
        <f>'Correctly linked Civil Cases'!F33</f>
      </c>
      <c r="G12" s="380">
        <f>'Correctly linked Civil Cases'!G33</f>
      </c>
      <c r="I12" s="380">
        <f>SUM(C12:H12)</f>
      </c>
    </row>
    <row r="14" ht="15.0" customHeight="true" hidden="false">
      <c r="B14" s="379" t="s">
        <v>59</v>
      </c>
      <c r="C14" s="380">
        <f>C6-SUM(C7:C12)</f>
      </c>
      <c r="D14" s="380">
        <f>D6-SUM(D7:D12)</f>
      </c>
      <c r="E14" s="380">
        <f>E6-SUM(E7:E12)</f>
      </c>
      <c r="F14" s="380">
        <f>F6-SUM(F7:F12)</f>
      </c>
      <c r="G14" s="380">
        <f>G6-SUM(G7:G12)</f>
      </c>
      <c r="I14" s="380">
        <f>I6-SUM(I7:I12)</f>
      </c>
    </row>
    <row r="15" ht="15.0" customHeight="true" hidden="false">
      <c r="B15" s="379" t="s">
        <v>15</v>
      </c>
      <c r="C15" s="380">
        <f>'Correctly linked Civil Cases'!C35-C14</f>
      </c>
      <c r="D15" s="380">
        <f>'Correctly linked Civil Cases'!D35-D14</f>
      </c>
      <c r="E15" s="380">
        <f>'Correctly linked Civil Cases'!E35-E14</f>
      </c>
      <c r="F15" s="380">
        <f>'Correctly linked Civil Cases'!F35-F14</f>
      </c>
      <c r="G15" s="380">
        <f>'Correctly linked Civil Cases'!G35-G14</f>
      </c>
      <c r="I15" s="380">
        <f>'Correctly linked Civil Cases'!I35-I14</f>
      </c>
    </row>
    <row r="17" ht="15.0" customHeight="true" hidden="false">
      <c r="B17" s="379" t="s">
        <v>60</v>
      </c>
    </row>
    <row r="19" ht="15.0" customHeight="true" hidden="false">
      <c r="B19" s="379" t="s">
        <v>50</v>
      </c>
      <c r="C19" s="380" t="s">
        <v>8</v>
      </c>
      <c r="D19" s="380" t="s">
        <v>9</v>
      </c>
      <c r="E19" s="380" t="s">
        <v>10</v>
      </c>
      <c r="F19" s="380" t="s">
        <v>11</v>
      </c>
      <c r="G19" s="380" t="s">
        <v>51</v>
      </c>
      <c r="I19" s="380" t="s">
        <v>5</v>
      </c>
    </row>
    <row r="20" ht="15.0" customHeight="true" hidden="false">
      <c r="B20" s="379" t="s">
        <v>61</v>
      </c>
      <c r="C20" s="380">
        <f>'Correctly linked Civil Cases'!C41+'Civil Debt Exceptions'!C8+'Civil Debt Exceptions'!C28</f>
      </c>
      <c r="D20" s="380">
        <f>'Correctly linked Civil Cases'!D41+'Civil Debt Exceptions'!D8+'Civil Debt Exceptions'!D28</f>
      </c>
      <c r="E20" s="380">
        <f>'Correctly linked Civil Cases'!E41+'Civil Debt Exceptions'!E8+'Civil Debt Exceptions'!E28</f>
      </c>
      <c r="F20" s="380">
        <f>'Correctly linked Civil Cases'!F41+'Civil Debt Exceptions'!F8+'Civil Debt Exceptions'!F28</f>
      </c>
      <c r="G20" s="380">
        <f>'Correctly linked Civil Cases'!G41+'Civil Debt Exceptions'!G8+'Civil Debt Exceptions'!G28</f>
      </c>
      <c r="I20" s="380">
        <f>SUM(C20:G20)</f>
      </c>
    </row>
    <row r="21" ht="15.0" customHeight="true" hidden="false">
      <c r="B21" s="379" t="s">
        <v>62</v>
      </c>
      <c r="C21" s="380">
        <f>'Correctly linked Civil Cases'!C42+'Civil Debt Exceptions'!C10+'Civil Debt Exceptions'!C30</f>
      </c>
      <c r="D21" s="380">
        <f>'Correctly linked Civil Cases'!D42+'Civil Debt Exceptions'!D10+'Civil Debt Exceptions'!D30</f>
      </c>
      <c r="E21" s="380">
        <f>'Correctly linked Civil Cases'!E42+'Civil Debt Exceptions'!E10+'Civil Debt Exceptions'!E30</f>
      </c>
      <c r="F21" s="380">
        <f>'Correctly linked Civil Cases'!F42+'Civil Debt Exceptions'!F10+'Civil Debt Exceptions'!F30</f>
      </c>
      <c r="G21" s="380">
        <f>'Correctly linked Civil Cases'!G42+'Civil Debt Exceptions'!G10+'Civil Debt Exceptions'!G30</f>
      </c>
      <c r="I21" s="380">
        <f>SUM(C21:G21)</f>
      </c>
    </row>
    <row r="22" ht="15.0" customHeight="true" hidden="false">
      <c r="B22" s="379" t="s">
        <v>63</v>
      </c>
      <c r="C22" s="380">
        <f>'Correctly linked Civil Cases'!C43+'Civil Debt Exceptions'!C11+'Civil Debt Exceptions'!C31</f>
      </c>
      <c r="D22" s="380">
        <f>'Correctly linked Civil Cases'!D43+'Civil Debt Exceptions'!D11+'Civil Debt Exceptions'!D31</f>
      </c>
      <c r="E22" s="380">
        <f>'Correctly linked Civil Cases'!E43+'Civil Debt Exceptions'!E11+'Civil Debt Exceptions'!E31</f>
      </c>
      <c r="F22" s="380">
        <f>'Correctly linked Civil Cases'!F43+'Civil Debt Exceptions'!F11+'Civil Debt Exceptions'!F31</f>
      </c>
      <c r="G22" s="380">
        <f>'Correctly linked Civil Cases'!G43+'Civil Debt Exceptions'!G11+'Civil Debt Exceptions'!G31</f>
      </c>
      <c r="I22" s="380">
        <f>SUM(C22:G22)</f>
      </c>
    </row>
    <row r="23" ht="15.0" customHeight="true" hidden="false">
      <c r="B23" s="379" t="s">
        <v>64</v>
      </c>
      <c r="C23" s="380">
        <f>'Correctly linked Civil Cases'!C44+'Civil Debt Exceptions'!C13+'Civil Debt Exceptions'!C33</f>
      </c>
      <c r="D23" s="380">
        <f>'Correctly linked Civil Cases'!D44+'Civil Debt Exceptions'!D13+'Civil Debt Exceptions'!D33</f>
      </c>
      <c r="E23" s="380">
        <f>'Correctly linked Civil Cases'!E44+'Civil Debt Exceptions'!E13+'Civil Debt Exceptions'!E33</f>
      </c>
      <c r="F23" s="380">
        <f>'Correctly linked Civil Cases'!F44+'Civil Debt Exceptions'!F13+'Civil Debt Exceptions'!F33</f>
      </c>
      <c r="G23" s="380">
        <f>'Correctly linked Civil Cases'!G44+'Civil Debt Exceptions'!G13+'Civil Debt Exceptions'!G33</f>
      </c>
      <c r="I23" s="380">
        <f>SUM(C23:G23)</f>
      </c>
    </row>
    <row r="24" ht="15.0" customHeight="true" hidden="false">
      <c r="B24" s="379" t="s">
        <v>65</v>
      </c>
      <c r="C24" s="380">
        <f>'Correctly linked Civil Cases'!C45+'Civil Debt Exceptions'!C15+'Civil Debt Exceptions'!C35</f>
      </c>
      <c r="D24" s="380">
        <f>'Correctly linked Civil Cases'!D45+'Civil Debt Exceptions'!D15+'Civil Debt Exceptions'!D35</f>
      </c>
      <c r="E24" s="380">
        <f>'Correctly linked Civil Cases'!E45+'Civil Debt Exceptions'!E15+'Civil Debt Exceptions'!E35</f>
      </c>
      <c r="F24" s="380">
        <f>'Correctly linked Civil Cases'!F45+'Civil Debt Exceptions'!F15+'Civil Debt Exceptions'!F35</f>
      </c>
      <c r="G24" s="380">
        <f>'Correctly linked Civil Cases'!G45+'Civil Debt Exceptions'!G15+'Civil Debt Exceptions'!G35</f>
      </c>
      <c r="I24" s="380">
        <f>SUM(C24:G24)</f>
      </c>
    </row>
    <row r="25" ht="15.0" customHeight="true" hidden="false">
      <c r="B25" s="379" t="s">
        <v>66</v>
      </c>
      <c r="C25" s="380">
        <f>'Correctly linked Civil Cases'!C46+'Civil Debt Exceptions'!C17+'Civil Debt Exceptions'!C37</f>
      </c>
      <c r="D25" s="380">
        <f>'Correctly linked Civil Cases'!D46+'Civil Debt Exceptions'!D17+'Civil Debt Exceptions'!D37</f>
      </c>
      <c r="E25" s="380">
        <f>'Correctly linked Civil Cases'!E46+'Civil Debt Exceptions'!E17+'Civil Debt Exceptions'!E37</f>
      </c>
      <c r="F25" s="380">
        <f>'Correctly linked Civil Cases'!F46+'Civil Debt Exceptions'!F17+'Civil Debt Exceptions'!F37</f>
      </c>
      <c r="G25" s="380">
        <f>'Correctly linked Civil Cases'!G46+'Civil Debt Exceptions'!G17+'Civil Debt Exceptions'!G37</f>
      </c>
      <c r="I25" s="380">
        <f>SUM(C25:G25)</f>
      </c>
    </row>
    <row r="26" ht="15.0" customHeight="true" hidden="false">
      <c r="B26" s="379" t="s">
        <v>67</v>
      </c>
      <c r="C26" s="380">
        <f>'Correctly linked Civil Cases'!C47+'Civil Debt Exceptions'!C19+'Civil Debt Exceptions'!C39</f>
      </c>
      <c r="D26" s="380">
        <f>'Correctly linked Civil Cases'!D47+'Civil Debt Exceptions'!D19+'Civil Debt Exceptions'!D39</f>
      </c>
      <c r="E26" s="380">
        <f>'Correctly linked Civil Cases'!E47+'Civil Debt Exceptions'!E19+'Civil Debt Exceptions'!E39</f>
      </c>
      <c r="F26" s="380">
        <f>'Correctly linked Civil Cases'!F47+'Civil Debt Exceptions'!F19+'Civil Debt Exceptions'!F39</f>
      </c>
      <c r="G26" s="380">
        <f>'Correctly linked Civil Cases'!G47+'Civil Debt Exceptions'!G19+'Civil Debt Exceptions'!G39</f>
      </c>
      <c r="I26" s="380">
        <f>SUM(C26:G26)</f>
      </c>
    </row>
    <row r="28" ht="15.0" customHeight="true" hidden="false">
      <c r="B28" s="379" t="s">
        <v>59</v>
      </c>
      <c r="C28" s="380">
        <f>C20-SUM(C21:C26)</f>
      </c>
      <c r="D28" s="380">
        <f>D20-SUM(D21:D26)</f>
      </c>
      <c r="E28" s="380">
        <f>E20-SUM(E21:E26)</f>
      </c>
      <c r="F28" s="380">
        <f>F20-SUM(F21:F26)</f>
      </c>
      <c r="G28" s="380">
        <f>G20-SUM(G21:G26)</f>
      </c>
      <c r="I28" s="380">
        <f>I20-SUM(I21:I26)</f>
      </c>
      <c r="K28" s="380">
        <f>I28+I14</f>
      </c>
      <c r="L28" s="380">
        <f>'All Debts by Type Summary'!C17</f>
      </c>
      <c r="M28" s="380">
        <f>K28-L28</f>
      </c>
    </row>
    <row r="29" ht="15.0" customHeight="true" hidden="false">
      <c r="B29" s="379" t="s">
        <v>15</v>
      </c>
      <c r="C29" s="380">
        <f>'Correctly linked Civil Cases'!C49+'Civil Debt Exceptions'!C41+'Civil Debt Exceptions'!C21-C28</f>
      </c>
      <c r="D29" s="380">
        <f>'Correctly linked Civil Cases'!D49+'Civil Debt Exceptions'!D41+'Civil Debt Exceptions'!D21-D28</f>
      </c>
      <c r="E29" s="380">
        <f>'Correctly linked Civil Cases'!E49+'Civil Debt Exceptions'!E41+'Civil Debt Exceptions'!E21-E28</f>
      </c>
      <c r="F29" s="380">
        <f>'Correctly linked Civil Cases'!F49+'Civil Debt Exceptions'!F41+'Civil Debt Exceptions'!F21-F28</f>
      </c>
      <c r="G29" s="380">
        <f>'Correctly linked Civil Cases'!G49+'Civil Debt Exceptions'!G41+'Civil Debt Exceptions'!G21-G28</f>
      </c>
      <c r="I29" s="380">
        <f>'Correctly linked Civil Cases'!I49+'Civil Debt Exceptions'!I41+'Civil Debt Exceptions'!I21-I28</f>
      </c>
    </row>
    <row r="31" ht="15.0" customHeight="true" hidden="false">
      <c r="B31" s="379" t="s">
        <v>68</v>
      </c>
    </row>
    <row r="33" ht="15.0" customHeight="true" hidden="false">
      <c r="B33" s="379" t="s">
        <v>69</v>
      </c>
    </row>
    <row r="35" ht="15.0" customHeight="true" hidden="false">
      <c r="B35" s="379" t="s">
        <v>50</v>
      </c>
      <c r="C35" s="380" t="s">
        <v>8</v>
      </c>
      <c r="D35" s="380" t="s">
        <v>9</v>
      </c>
      <c r="E35" s="380" t="s">
        <v>10</v>
      </c>
      <c r="F35" s="380" t="s">
        <v>11</v>
      </c>
      <c r="G35" s="380" t="s">
        <v>51</v>
      </c>
      <c r="I35" s="380" t="s">
        <v>5</v>
      </c>
    </row>
    <row r="36" ht="15.0" customHeight="true" hidden="false">
      <c r="B36" s="379" t="s">
        <v>70</v>
      </c>
      <c r="C36" s="380">
        <f>'Correctly linked Civil Cases'!C8</f>
      </c>
      <c r="D36" s="380">
        <f>'Correctly linked Civil Cases'!D8</f>
      </c>
      <c r="E36" s="380">
        <f>'Correctly linked Civil Cases'!E8</f>
      </c>
      <c r="F36" s="380">
        <f>'Correctly linked Civil Cases'!F8</f>
      </c>
      <c r="G36" s="380">
        <f>'Correctly linked Civil Cases'!G8</f>
      </c>
      <c r="I36" s="380">
        <f>SUM(C36:G36)</f>
      </c>
    </row>
    <row r="37" ht="15.0" customHeight="true" hidden="false">
      <c r="B37" s="379" t="s">
        <v>71</v>
      </c>
      <c r="C37" s="380">
        <f>'Correctly linked Civil Cases'!C11</f>
      </c>
      <c r="D37" s="380">
        <f>'Correctly linked Civil Cases'!D11</f>
      </c>
      <c r="E37" s="380">
        <f>'Correctly linked Civil Cases'!E11</f>
      </c>
      <c r="F37" s="380">
        <f>'Correctly linked Civil Cases'!F11</f>
      </c>
      <c r="G37" s="380">
        <f>'Correctly linked Civil Cases'!G11</f>
      </c>
      <c r="I37" s="380">
        <f>SUM(C37:G37)</f>
      </c>
    </row>
    <row r="38" ht="15.0" customHeight="true" hidden="false">
      <c r="B38" s="379" t="s">
        <v>72</v>
      </c>
      <c r="C38" s="380">
        <f>'Correctly linked Civil Cases'!C13</f>
      </c>
      <c r="D38" s="380">
        <f>'Correctly linked Civil Cases'!D13</f>
      </c>
      <c r="E38" s="380">
        <f>'Correctly linked Civil Cases'!E13</f>
      </c>
      <c r="F38" s="380">
        <f>'Correctly linked Civil Cases'!F13</f>
      </c>
      <c r="G38" s="380">
        <f>'Correctly linked Civil Cases'!G13</f>
      </c>
      <c r="I38" s="380">
        <f>SUM(C38:G38)</f>
      </c>
    </row>
    <row r="39" ht="15.0" customHeight="true" hidden="false">
      <c r="B39" s="379" t="s">
        <v>73</v>
      </c>
      <c r="C39" s="380">
        <f>'Correctly linked Civil Cases'!C15</f>
      </c>
      <c r="D39" s="380">
        <f>'Correctly linked Civil Cases'!D15</f>
      </c>
      <c r="E39" s="380">
        <f>'Correctly linked Civil Cases'!E15</f>
      </c>
      <c r="F39" s="380">
        <f>'Correctly linked Civil Cases'!F15</f>
      </c>
      <c r="G39" s="380">
        <f>'Correctly linked Civil Cases'!G15</f>
      </c>
      <c r="I39" s="380">
        <f>SUM(C39:G39)</f>
      </c>
    </row>
    <row r="40" ht="15.0" customHeight="true" hidden="false">
      <c r="B40" s="379" t="s">
        <v>74</v>
      </c>
      <c r="C40" s="380">
        <f>'Correctly linked Civil Cases'!C17</f>
      </c>
      <c r="D40" s="380">
        <f>'Correctly linked Civil Cases'!D17</f>
      </c>
      <c r="E40" s="380">
        <f>'Correctly linked Civil Cases'!E17</f>
      </c>
      <c r="F40" s="380">
        <f>'Correctly linked Civil Cases'!F17</f>
      </c>
      <c r="G40" s="380">
        <f>'Correctly linked Civil Cases'!G17</f>
      </c>
      <c r="I40" s="380">
        <f>SUM(C40:G40)</f>
      </c>
    </row>
    <row r="42" ht="15.0" customHeight="true" hidden="false">
      <c r="B42" s="379" t="s">
        <v>75</v>
      </c>
      <c r="C42" s="380">
        <f>-C36-SUM(C37:C40)</f>
      </c>
      <c r="D42" s="380">
        <f>-D36-SUM(D37:D40)</f>
      </c>
      <c r="E42" s="380">
        <f>-E36-SUM(E37:E40)</f>
      </c>
      <c r="F42" s="380">
        <f>-F36-SUM(F37:F40)</f>
      </c>
      <c r="G42" s="380">
        <f>-G36-SUM(G37:G40)</f>
      </c>
      <c r="I42" s="380">
        <f>-I36-SUM(I37:I40)</f>
      </c>
    </row>
    <row r="43" ht="15.0" customHeight="true" hidden="false">
      <c r="B43" s="379" t="s">
        <v>15</v>
      </c>
      <c r="C43" s="380">
        <f>'Correctly linked Civil Cases'!C22-C42</f>
      </c>
      <c r="D43" s="380">
        <f>'Correctly linked Civil Cases'!D22-D42</f>
      </c>
      <c r="E43" s="380">
        <f>'Correctly linked Civil Cases'!E22-E42</f>
      </c>
      <c r="F43" s="380">
        <f>'Correctly linked Civil Cases'!F22-F42</f>
      </c>
      <c r="G43" s="380">
        <f>'Correctly linked Civil Cases'!G22-G42</f>
      </c>
      <c r="I43" s="380">
        <f>'Correctly linked Civil Cases'!I22-I42</f>
      </c>
    </row>
    <row r="45" ht="15.0" customHeight="true" hidden="false">
      <c r="B45" s="379" t="s">
        <v>76</v>
      </c>
    </row>
    <row r="47" ht="15.0" customHeight="true" hidden="false">
      <c r="B47" s="379" t="s">
        <v>50</v>
      </c>
      <c r="C47" s="380" t="s">
        <v>8</v>
      </c>
      <c r="D47" s="380" t="s">
        <v>9</v>
      </c>
      <c r="E47" s="380" t="s">
        <v>10</v>
      </c>
      <c r="F47" s="380" t="s">
        <v>11</v>
      </c>
      <c r="G47" s="380" t="s">
        <v>51</v>
      </c>
      <c r="I47" s="380" t="s">
        <v>5</v>
      </c>
    </row>
    <row r="48" ht="15.0" customHeight="true" hidden="false">
      <c r="B48" s="379" t="s">
        <v>77</v>
      </c>
      <c r="C48" s="380">
        <f>'Civil Debt Exceptions'!C9+'Civil Debt Exceptions'!C29</f>
      </c>
      <c r="D48" s="380">
        <f>'Civil Debt Exceptions'!D9+'Civil Debt Exceptions'!D29</f>
      </c>
      <c r="E48" s="380">
        <f>'Civil Debt Exceptions'!E9+'Civil Debt Exceptions'!E29</f>
      </c>
      <c r="F48" s="380">
        <f>'Civil Debt Exceptions'!F9+'Civil Debt Exceptions'!F29</f>
      </c>
      <c r="G48" s="380">
        <f>'Civil Debt Exceptions'!G9+'Civil Debt Exceptions'!G29</f>
      </c>
      <c r="I48" s="380">
        <f>SUM(C48:G48)</f>
      </c>
    </row>
    <row r="49" ht="15.0" customHeight="true" hidden="false">
      <c r="B49" s="379" t="s">
        <v>78</v>
      </c>
      <c r="C49" s="380">
        <f>'Civil Debt Exceptions'!C12+'Civil Debt Exceptions'!C32</f>
      </c>
      <c r="D49" s="380">
        <f>'Civil Debt Exceptions'!D12+'Civil Debt Exceptions'!D32</f>
      </c>
      <c r="E49" s="380">
        <f>'Civil Debt Exceptions'!E12+'Civil Debt Exceptions'!E32</f>
      </c>
      <c r="F49" s="380">
        <f>'Civil Debt Exceptions'!F12+'Civil Debt Exceptions'!F32</f>
      </c>
      <c r="G49" s="380">
        <f>'Civil Debt Exceptions'!G12+'Civil Debt Exceptions'!G32</f>
      </c>
      <c r="I49" s="380">
        <f>SUM(C49:G49)</f>
      </c>
    </row>
    <row r="50" ht="15.0" customHeight="true" hidden="false">
      <c r="B50" s="379" t="s">
        <v>79</v>
      </c>
      <c r="C50" s="380">
        <f>+'Civil Debt Exceptions'!C14+'Civil Debt Exceptions'!C34</f>
      </c>
      <c r="D50" s="380">
        <f>+'Civil Debt Exceptions'!D14+'Civil Debt Exceptions'!D34</f>
      </c>
      <c r="E50" s="380">
        <f>+'Civil Debt Exceptions'!E14+'Civil Debt Exceptions'!E34</f>
      </c>
      <c r="F50" s="380">
        <f>+'Civil Debt Exceptions'!F14+'Civil Debt Exceptions'!F34</f>
      </c>
      <c r="G50" s="380">
        <f>+'Civil Debt Exceptions'!G14+'Civil Debt Exceptions'!G34</f>
      </c>
      <c r="I50" s="380">
        <f>SUM(C50:G50)</f>
      </c>
    </row>
    <row r="51" ht="15.0" customHeight="true" hidden="false">
      <c r="B51" s="379" t="s">
        <v>80</v>
      </c>
      <c r="C51" s="380">
        <f>+'Civil Debt Exceptions'!C16+'Civil Debt Exceptions'!C36</f>
      </c>
      <c r="D51" s="380">
        <f>+'Civil Debt Exceptions'!D16+'Civil Debt Exceptions'!D36</f>
      </c>
      <c r="E51" s="380">
        <f>+'Civil Debt Exceptions'!E16+'Civil Debt Exceptions'!E36</f>
      </c>
      <c r="F51" s="380">
        <f>+'Civil Debt Exceptions'!F16+'Civil Debt Exceptions'!F36</f>
      </c>
      <c r="G51" s="380">
        <f>+'Civil Debt Exceptions'!G16+'Civil Debt Exceptions'!G36</f>
      </c>
      <c r="I51" s="380">
        <f>SUM(C51:G51)</f>
      </c>
    </row>
    <row r="52" ht="15.0" customHeight="true" hidden="false">
      <c r="B52" s="379" t="s">
        <v>81</v>
      </c>
      <c r="C52" s="380">
        <f>+'Civil Debt Exceptions'!C18+'Civil Debt Exceptions'!C38</f>
      </c>
      <c r="D52" s="380">
        <f>+'Civil Debt Exceptions'!D18+'Civil Debt Exceptions'!D38</f>
      </c>
      <c r="E52" s="380">
        <f>+'Civil Debt Exceptions'!E18+'Civil Debt Exceptions'!E38</f>
      </c>
      <c r="F52" s="380">
        <f>+'Civil Debt Exceptions'!F18+'Civil Debt Exceptions'!F38</f>
      </c>
      <c r="G52" s="380">
        <f>+'Civil Debt Exceptions'!G18+'Civil Debt Exceptions'!G38</f>
      </c>
      <c r="I52" s="380">
        <f>SUM(C52:G52)</f>
      </c>
    </row>
    <row r="54" ht="15.0" customHeight="true" hidden="false">
      <c r="B54" s="379" t="s">
        <v>75</v>
      </c>
      <c r="C54" s="380">
        <f>-C48-SUM(C49:C52)</f>
      </c>
      <c r="D54" s="380">
        <f>-D48-SUM(D49:D52)</f>
      </c>
      <c r="E54" s="380">
        <f>-E48-SUM(E49:E52)</f>
      </c>
      <c r="F54" s="380">
        <f>-F48-SUM(F49:F52)</f>
      </c>
      <c r="G54" s="380">
        <f>-G48-SUM(G49:G52)</f>
      </c>
      <c r="I54" s="380">
        <f>-I48-SUM(I49:I52)</f>
      </c>
    </row>
    <row r="55" ht="15.0" customHeight="true" hidden="false">
      <c r="B55" s="379" t="s">
        <v>15</v>
      </c>
      <c r="C55" s="380">
        <f>'Civil Debt Exceptions'!C23+'Civil Debt Exceptions'!C43-C54</f>
      </c>
      <c r="D55" s="380">
        <f>'Civil Debt Exceptions'!D23+'Civil Debt Exceptions'!D43-D54</f>
      </c>
      <c r="E55" s="380">
        <f>'Civil Debt Exceptions'!E23+'Civil Debt Exceptions'!E43-E54</f>
      </c>
      <c r="F55" s="380">
        <f>'Civil Debt Exceptions'!F23+'Civil Debt Exceptions'!F43-F54</f>
      </c>
      <c r="G55" s="380">
        <f>'Civil Debt Exceptions'!G23+'Civil Debt Exceptions'!G43-G54</f>
      </c>
      <c r="I55" s="380">
        <f>'Civil Debt Exceptions'!I23+'Civil Debt Exceptions'!I43-I54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pageSetUpPr autoPageBreaks="false"/>
  </sheetPr>
  <dimension ref="B1:Q43"/>
  <sheetViews>
    <sheetView workbookViewId="0"/>
  </sheetViews>
  <sheetFormatPr defaultRowHeight="15.0"/>
  <cols>
    <col min="1" max="1" width="5.28515625" customWidth="true"/>
    <col min="2" max="2" width="34.7109375" customWidth="true"/>
  </cols>
  <sheetData>
    <row r="1" ht="15.0" customHeight="true" hidden="false">
      <c r="B1" s="381" t="s">
        <v>82</v>
      </c>
    </row>
    <row r="3" ht="15.0" customHeight="true" hidden="false">
      <c r="B3" s="381" t="s">
        <v>50</v>
      </c>
      <c r="C3" s="382" t="s">
        <v>22</v>
      </c>
      <c r="D3" s="382" t="s">
        <v>23</v>
      </c>
      <c r="E3" s="382" t="s">
        <v>24</v>
      </c>
      <c r="F3" s="382" t="s">
        <v>25</v>
      </c>
      <c r="G3" s="382" t="s">
        <v>26</v>
      </c>
      <c r="I3" s="382" t="s">
        <v>5</v>
      </c>
      <c r="K3" s="382" t="s">
        <v>8</v>
      </c>
      <c r="L3" s="382" t="s">
        <v>9</v>
      </c>
      <c r="M3" s="382" t="s">
        <v>10</v>
      </c>
      <c r="N3" s="382" t="s">
        <v>11</v>
      </c>
      <c r="O3" s="382" t="s">
        <v>51</v>
      </c>
      <c r="Q3" s="382" t="s">
        <v>83</v>
      </c>
    </row>
    <row r="4" ht="15.0" customHeight="true" hidden="false">
      <c r="B4" s="381" t="s">
        <v>84</v>
      </c>
      <c r="C4" s="382">
        <f>SUMIF(CCMS_DEBT_SUMMARY_C_EXP!$A:$A,$C$3,CCMS_DEBT_SUMMARY_C_EXP!$G:$G)</f>
      </c>
      <c r="D4" s="382">
        <f>SUMIF(CCMS_DEBT_SUMMARY_C_EXP!$A:$A,$D$3,CCMS_DEBT_SUMMARY_C_EXP!$G:$G)</f>
      </c>
      <c r="E4" s="382">
        <f>SUMIF(CCMS_DEBT_SUMMARY_C_EXP!$A:$A,$E$3,CCMS_DEBT_SUMMARY_C_EXP!$G:$G)</f>
      </c>
      <c r="F4" s="382">
        <f>SUMIF(CCMS_DEBT_SUMMARY_C_EXP!$A:$A,$F$3,CCMS_DEBT_SUMMARY_C_EXP!$G:$G)</f>
      </c>
      <c r="G4" s="382">
        <f>SUMIF(CCMS_DEBT_SUMMARY_C_EXP!$A:$A,$G$3,CCMS_DEBT_SUMMARY_C_EXP!$G:$G)</f>
      </c>
      <c r="I4" s="382">
        <f>SUM(C4:H4)</f>
      </c>
      <c r="K4" s="382">
        <f>SUMIF(CCMS_DEBT_SUMMARY_C_EXP!$C:$C,K$3,CCMS_DEBT_SUMMARY_C_EXP!$G:$G)</f>
      </c>
      <c r="L4" s="382">
        <f>SUMIF(CCMS_DEBT_SUMMARY_C_EXP!$C:$C,L$3,CCMS_DEBT_SUMMARY_C_EXP!$G:$G)</f>
      </c>
      <c r="M4" s="382">
        <f>SUMIF(CCMS_DEBT_SUMMARY_C_EXP!$C:$C,M$3,CCMS_DEBT_SUMMARY_C_EXP!$G:$G)</f>
      </c>
      <c r="N4" s="382">
        <f>SUMIF(CCMS_DEBT_SUMMARY_C_EXP!$C:$C,N$3,CCMS_DEBT_SUMMARY_C_EXP!$G:$G)</f>
      </c>
      <c r="O4" s="382">
        <f>SUMIF(CCMS_DEBT_SUMMARY_C_EXP!$C:$C,O$3,CCMS_DEBT_SUMMARY_C_EXP!$G:$G)</f>
      </c>
      <c r="Q4" s="382">
        <f>SUM(K4:P4)</f>
      </c>
    </row>
    <row r="5" ht="15.0" customHeight="true" hidden="false">
      <c r="B5" s="381" t="s">
        <v>85</v>
      </c>
      <c r="C5" s="382">
        <f>SUMIF(CCMS_DEBT_SUMMARY_C_EXP!$A:$A,$C$3,CCMS_DEBT_SUMMARY_C_EXP!$N:$N)*-1</f>
      </c>
      <c r="D5" s="382">
        <f>SUMIF(CCMS_DEBT_SUMMARY_C_EXP!$A:$A,$D$3,CCMS_DEBT_SUMMARY_C_EXP!$N:$N)*-1</f>
      </c>
      <c r="E5" s="382">
        <f>SUMIF(CCMS_DEBT_SUMMARY_C_EXP!$A:$A,$E$3,CCMS_DEBT_SUMMARY_C_EXP!$N:$N)*-1</f>
      </c>
      <c r="F5" s="382">
        <f>SUMIF(CCMS_DEBT_SUMMARY_C_EXP!$A:$A,$F$3,CCMS_DEBT_SUMMARY_C_EXP!$N:$N)*-1</f>
      </c>
      <c r="G5" s="382">
        <f>SUMIF(CCMS_DEBT_SUMMARY_C_EXP!$A:$A,$G$3,CCMS_DEBT_SUMMARY_C_EXP!$N:$N)*-1</f>
      </c>
      <c r="I5" s="382">
        <f>SUM(C5:H5)</f>
      </c>
      <c r="K5" s="382">
        <f>SUMIF(CCMS_DEBT_SUMMARY_C_EXP!$C:$C,K$3,CCMS_DEBT_SUMMARY_C_EXP!$N:$N)*-1</f>
      </c>
      <c r="L5" s="382">
        <f>SUMIF(CCMS_DEBT_SUMMARY_C_EXP!$C:$C,L$3,CCMS_DEBT_SUMMARY_C_EXP!$N:$N)*-1</f>
      </c>
      <c r="M5" s="382">
        <f>SUMIF(CCMS_DEBT_SUMMARY_C_EXP!$C:$C,M$3,CCMS_DEBT_SUMMARY_C_EXP!$N:$N)*-1</f>
      </c>
      <c r="N5" s="382">
        <f>SUMIF(CCMS_DEBT_SUMMARY_C_EXP!$C:$C,N$3,CCMS_DEBT_SUMMARY_C_EXP!$N:$N)*-1</f>
      </c>
      <c r="O5" s="382">
        <f>SUMIF(CCMS_DEBT_SUMMARY_C_EXP!$C:$C,O$3,CCMS_DEBT_SUMMARY_C_EXP!$N:$N)*-1</f>
      </c>
      <c r="Q5" s="382">
        <f>SUM(K5:P5)</f>
      </c>
    </row>
    <row r="6" ht="15.0" customHeight="true" hidden="false">
      <c r="B6" s="381" t="s">
        <v>86</v>
      </c>
      <c r="C6" s="382">
        <f>SUMIF(CCMS_DEBT_SUMMARY_C_EXP!$A:$A,C$3,CCMS_DEBT_SUMMARY_C_EXP!$L:$L)*-1</f>
      </c>
      <c r="D6" s="382">
        <f>SUMIF(CCMS_DEBT_SUMMARY_C_EXP!$A:$A,D$3,CCMS_DEBT_SUMMARY_C_EXP!$L:$KL)*-1</f>
      </c>
      <c r="E6" s="382">
        <f>SUMIF(CCMS_DEBT_SUMMARY_C_EXP!$A:$A,E$3,CCMS_DEBT_SUMMARY_C_EXP!$L:$KL)*-1</f>
      </c>
      <c r="F6" s="382">
        <f>SUMIF(CCMS_DEBT_SUMMARY_C_EXP!$A:$A,F$3,CCMS_DEBT_SUMMARY_C_EXP!$L:$KL)*-1</f>
      </c>
      <c r="G6" s="382">
        <f>SUMIF(CCMS_DEBT_SUMMARY_C_EXP!$A:$A,G$3,CCMS_DEBT_SUMMARY_C_EXP!$L:$KL)*-1</f>
      </c>
      <c r="I6" s="382">
        <f>SUM(C6:H6)</f>
      </c>
      <c r="K6" s="382">
        <f>SUMIF(CCMS_DEBT_SUMMARY_C_EXP!$C:$C,K$3,CCMS_DEBT_SUMMARY_C_EXP!$L:$L)*-1</f>
      </c>
      <c r="L6" s="382">
        <f>SUMIF(CCMS_DEBT_SUMMARY_C_EXP!$C:$C,L$3,CCMS_DEBT_SUMMARY_C_EXP!$L:$L)*-1</f>
      </c>
      <c r="M6" s="382">
        <f>SUMIF(CCMS_DEBT_SUMMARY_C_EXP!$C:$C,M$3,CCMS_DEBT_SUMMARY_C_EXP!$L:$L)*-1</f>
      </c>
      <c r="N6" s="382">
        <f>SUMIF(CCMS_DEBT_SUMMARY_C_EXP!$C:$C,N$3,CCMS_DEBT_SUMMARY_C_EXP!$L:$L)*-1</f>
      </c>
      <c r="O6" s="382">
        <f>SUMIF(CCMS_DEBT_SUMMARY_C_EXP!$C:$C,O$3,CCMS_DEBT_SUMMARY_C_EXP!$L:$L)*-1</f>
      </c>
      <c r="Q6" s="382">
        <f>SUM(K6:P6)</f>
      </c>
    </row>
    <row r="7" ht="15.0" customHeight="true" hidden="false">
      <c r="B7" s="381" t="s">
        <v>87</v>
      </c>
      <c r="C7" s="382">
        <f>SUMIF(CCMS_DEBT_SUMMARY_C_EXP!$A:$A,C$3,CCMS_DEBT_SUMMARY_C_EXP!$M:$M)*-1</f>
      </c>
      <c r="D7" s="382">
        <f>SUMIF(CCMS_DEBT_SUMMARY_C_EXP!$A:$A,D$3,CCMS_DEBT_SUMMARY_C_EXP!$M:$M)*-1</f>
      </c>
      <c r="E7" s="382">
        <f>SUMIF(CCMS_DEBT_SUMMARY_C_EXP!$A:$A,E$3,CCMS_DEBT_SUMMARY_C_EXP!$M:$M)*-1</f>
      </c>
      <c r="F7" s="382">
        <f>SUMIF(CCMS_DEBT_SUMMARY_C_EXP!$A:$A,F$3,CCMS_DEBT_SUMMARY_C_EXP!$M:$M)*-1</f>
      </c>
      <c r="G7" s="382">
        <f>SUMIF(CCMS_DEBT_SUMMARY_C_EXP!$A:$A,G$3,CCMS_DEBT_SUMMARY_C_EXP!$M:$M)*-1</f>
      </c>
      <c r="I7" s="382">
        <f>SUM(C7:H7)</f>
      </c>
      <c r="K7" s="382">
        <f>SUMIF(CCMS_DEBT_SUMMARY_C_EXP!$C:$C,K$3,CCMS_DEBT_SUMMARY_C_EXP!$M:$M)*-1</f>
      </c>
      <c r="L7" s="382">
        <f>SUMIF(CCMS_DEBT_SUMMARY_C_EXP!$C:$C,L$3,CCMS_DEBT_SUMMARY_C_EXP!$M:$M)*-1</f>
      </c>
      <c r="M7" s="382">
        <f>SUMIF(CCMS_DEBT_SUMMARY_C_EXP!$C:$C,M$3,CCMS_DEBT_SUMMARY_C_EXP!$M:$M)*-1</f>
      </c>
      <c r="N7" s="382">
        <f>SUMIF(CCMS_DEBT_SUMMARY_C_EXP!$C:$C,N$3,CCMS_DEBT_SUMMARY_C_EXP!$M:$M)*-1</f>
      </c>
      <c r="O7" s="382">
        <f>SUMIF(CCMS_DEBT_SUMMARY_C_EXP!$C:$C,O$3,CCMS_DEBT_SUMMARY_C_EXP!$M:$M)*-1</f>
      </c>
      <c r="Q7" s="382">
        <f>SUM(K7:P7)</f>
      </c>
    </row>
    <row r="8" ht="15.0" customHeight="true" hidden="false">
      <c r="B8" s="381" t="s">
        <v>88</v>
      </c>
      <c r="C8" s="382">
        <f>SUMIF(CCMS_DEBT_SUMMARY_C_EXP!$A:$A,$C$3,CCMS_DEBT_SUMMARY_C_EXP!$R:$R)*-1</f>
      </c>
      <c r="D8" s="382">
        <f>SUMIF(CCMS_DEBT_SUMMARY_C_EXP!$A:$A,$D$3,CCMS_DEBT_SUMMARY_C_EXP!$R:$R)*-1</f>
      </c>
      <c r="E8" s="382">
        <f>SUMIF(CCMS_DEBT_SUMMARY_C_EXP!$A:$A,$E$3,CCMS_DEBT_SUMMARY_C_EXP!$R:$R)*-1</f>
      </c>
      <c r="F8" s="382">
        <f>SUMIF(CCMS_DEBT_SUMMARY_C_EXP!$A:$A,$F$3,CCMS_DEBT_SUMMARY_C_EXP!$R:$R)*-1</f>
      </c>
      <c r="G8" s="382">
        <f>SUMIF(CCMS_DEBT_SUMMARY_C_EXP!$A:$A,$G$3,CCMS_DEBT_SUMMARY_C_EXP!$R:$R)*-1</f>
      </c>
      <c r="I8" s="382">
        <f>SUM(C8:H8)</f>
      </c>
      <c r="K8" s="382">
        <f>SUMIF(CCMS_DEBT_SUMMARY_C_EXP!$C:$C,K$3,CCMS_DEBT_SUMMARY_C_EXP!$R:$R)*-1</f>
      </c>
      <c r="L8" s="382">
        <f>SUMIF(CCMS_DEBT_SUMMARY_C_EXP!$C:$C,L$3,CCMS_DEBT_SUMMARY_C_EXP!$R:$R)*-1</f>
      </c>
      <c r="M8" s="382">
        <f>SUMIF(CCMS_DEBT_SUMMARY_C_EXP!$C:$C,M$3,CCMS_DEBT_SUMMARY_C_EXP!$R:$R)*-1</f>
      </c>
      <c r="N8" s="382">
        <f>SUMIF(CCMS_DEBT_SUMMARY_C_EXP!$C:$C,N$3,CCMS_DEBT_SUMMARY_C_EXP!$R:$R)*-1</f>
      </c>
      <c r="O8" s="382">
        <f>SUMIF(CCMS_DEBT_SUMMARY_C_EXP!$C:$C,O$3,CCMS_DEBT_SUMMARY_C_EXP!$R:$R)*-1</f>
      </c>
      <c r="Q8" s="382">
        <f>SUM(K8:P8)</f>
      </c>
    </row>
    <row r="9" ht="15.0" customHeight="true" hidden="false">
      <c r="B9" s="381" t="s">
        <v>89</v>
      </c>
      <c r="C9" s="382">
        <f>SUMIF(CCMS_DEBT_SUMMARY_C_EXP!$A:$A,$C$3,CCMS_DEBT_SUMMARY_C_EXP!$Q:$Q)*-1</f>
      </c>
      <c r="D9" s="382">
        <f>SUMIF(CCMS_DEBT_SUMMARY_C_EXP!$A:$A,$D$3,CCMS_DEBT_SUMMARY_C_EXP!$Q:$Q)*-1</f>
      </c>
      <c r="E9" s="382">
        <f>SUMIF(CCMS_DEBT_SUMMARY_C_EXP!$A:$A,$E$3,CCMS_DEBT_SUMMARY_C_EXP!$Q:$Q)*-1</f>
      </c>
      <c r="F9" s="382">
        <f>SUMIF(CCMS_DEBT_SUMMARY_C_EXP!$A:$A,$F$3,CCMS_DEBT_SUMMARY_C_EXP!$Q:$Q)*-1</f>
      </c>
      <c r="G9" s="382">
        <f>SUMIF(CCMS_DEBT_SUMMARY_C_EXP!$A:$A,$G$3,CCMS_DEBT_SUMMARY_C_EXP!$Q:$Q)*-1</f>
      </c>
      <c r="I9" s="382">
        <f>SUM(C9:H9)</f>
      </c>
      <c r="K9" s="382">
        <f>SUMIF(CCMS_DEBT_SUMMARY_C_EXP!$C:$C,K$3,CCMS_DEBT_SUMMARY_C_EXP!$Q:$Q)*-1</f>
      </c>
      <c r="L9" s="382">
        <f>SUMIF(CCMS_DEBT_SUMMARY_C_EXP!$C:$C,L$3,CCMS_DEBT_SUMMARY_C_EXP!$Q:$Q)*-1</f>
      </c>
      <c r="M9" s="382">
        <f>SUMIF(CCMS_DEBT_SUMMARY_C_EXP!$C:$C,M$3,CCMS_DEBT_SUMMARY_C_EXP!$Q:$Q)*-1</f>
      </c>
      <c r="N9" s="382">
        <f>SUMIF(CCMS_DEBT_SUMMARY_C_EXP!$C:$C,N$3,CCMS_DEBT_SUMMARY_C_EXP!$Q:$Q)*-1</f>
      </c>
      <c r="O9" s="382">
        <f>SUMIF(CCMS_DEBT_SUMMARY_C_EXP!$C:$C,O$3,CCMS_DEBT_SUMMARY_C_EXP!$Q:$Q)*-1</f>
      </c>
      <c r="Q9" s="382">
        <f>SUM(K9:P9)</f>
      </c>
    </row>
    <row r="10" ht="15.0" customHeight="true" hidden="false">
      <c r="B10" s="381" t="s">
        <v>90</v>
      </c>
      <c r="C10" s="382">
        <f>SUMIF(CCMS_DEBT_SUMMARY_C_EXP!$A:$A,$C$3,CCMS_DEBT_SUMMARY_C_EXP!$P:$P)*-1</f>
      </c>
      <c r="D10" s="382">
        <f>SUMIF(CCMS_DEBT_SUMMARY_C_EXP!$A:$A,$D$3,CCMS_DEBT_SUMMARY_C_EXP!$P:$P)*-1</f>
      </c>
      <c r="E10" s="382">
        <f>SUMIF(CCMS_DEBT_SUMMARY_C_EXP!$A:$A,$E$3,CCMS_DEBT_SUMMARY_C_EXP!$P:$P)*-1</f>
      </c>
      <c r="F10" s="382">
        <f>SUMIF(CCMS_DEBT_SUMMARY_C_EXP!$A:$A,$F$3,CCMS_DEBT_SUMMARY_C_EXP!$P:$P)*-1</f>
      </c>
      <c r="G10" s="382">
        <f>SUMIF(CCMS_DEBT_SUMMARY_C_EXP!$A:$A,$G$3,CCMS_DEBT_SUMMARY_C_EXP!$P:$P)*-1</f>
      </c>
      <c r="I10" s="382">
        <f>SUM(C10:H10)</f>
      </c>
      <c r="K10" s="382">
        <f>SUMIF(CCMS_DEBT_SUMMARY_C_EXP!$C:$C,K$3,CCMS_DEBT_SUMMARY_C_EXP!$P:$P)*-1</f>
      </c>
      <c r="L10" s="382">
        <f>SUMIF(CCMS_DEBT_SUMMARY_C_EXP!$C:$C,L$3,CCMS_DEBT_SUMMARY_C_EXP!$P:$P)*-1</f>
      </c>
      <c r="M10" s="382">
        <f>SUMIF(CCMS_DEBT_SUMMARY_C_EXP!$C:$C,M$3,CCMS_DEBT_SUMMARY_C_EXP!$P:$P)*-1</f>
      </c>
      <c r="N10" s="382">
        <f>SUMIF(CCMS_DEBT_SUMMARY_C_EXP!$C:$C,N$3,CCMS_DEBT_SUMMARY_C_EXP!$P:$P)*-1</f>
      </c>
      <c r="O10" s="382">
        <f>SUMIF(CCMS_DEBT_SUMMARY_C_EXP!$C:$C,O$3,CCMS_DEBT_SUMMARY_C_EXP!$P:$P)*-1</f>
      </c>
      <c r="Q10" s="382">
        <f>SUM(K10:P10)</f>
      </c>
    </row>
    <row r="11" ht="15.0" customHeight="true" hidden="false">
      <c r="B11" s="381" t="s">
        <v>91</v>
      </c>
      <c r="C11" s="382">
        <f>SUMIF(CCMS_DEBT_SUMMARY_C_EXP!$A:$A,$C$3,CCMS_DEBT_SUMMARY_C_EXP!$O:$O)*-1</f>
      </c>
      <c r="D11" s="382">
        <f>SUMIF(CCMS_DEBT_SUMMARY_C_EXP!$A:$A,$D$3,CCMS_DEBT_SUMMARY_C_EXP!$O:$O)*-1</f>
      </c>
      <c r="E11" s="382">
        <f>SUMIF(CCMS_DEBT_SUMMARY_C_EXP!$A:$A,$E$3,CCMS_DEBT_SUMMARY_C_EXP!$O:$O)*-1</f>
      </c>
      <c r="F11" s="382">
        <f>SUMIF(CCMS_DEBT_SUMMARY_C_EXP!$A:$A,$F$3,CCMS_DEBT_SUMMARY_C_EXP!$O:$O)*-1</f>
      </c>
      <c r="G11" s="382">
        <f>SUMIF(CCMS_DEBT_SUMMARY_C_EXP!$A:$A,$G$3,CCMS_DEBT_SUMMARY_C_EXP!$O:$O)*-1</f>
      </c>
      <c r="I11" s="382">
        <f>SUM(C11:H11)</f>
      </c>
      <c r="K11" s="382">
        <f>SUMIF(CCMS_DEBT_SUMMARY_C_EXP!$C:$C,K$3,CCMS_DEBT_SUMMARY_C_EXP!$O:$O)*-1</f>
      </c>
      <c r="L11" s="382">
        <f>SUMIF(CCMS_DEBT_SUMMARY_C_EXP!$C:$C,L$3,CCMS_DEBT_SUMMARY_C_EXP!$O:$O)*-1</f>
      </c>
      <c r="M11" s="382">
        <f>SUMIF(CCMS_DEBT_SUMMARY_C_EXP!$C:$C,M$3,CCMS_DEBT_SUMMARY_C_EXP!$O:$O)*-1</f>
      </c>
      <c r="N11" s="382">
        <f>SUMIF(CCMS_DEBT_SUMMARY_C_EXP!$C:$C,N$3,CCMS_DEBT_SUMMARY_C_EXP!$O:$O)*-1</f>
      </c>
      <c r="O11" s="382">
        <f>SUMIF(CCMS_DEBT_SUMMARY_C_EXP!$C:$C,O$3,CCMS_DEBT_SUMMARY_C_EXP!$O:$O)*-1</f>
      </c>
      <c r="Q11" s="382">
        <f>SUM(K11:P11)</f>
      </c>
    </row>
    <row r="12" ht="15.0" customHeight="true" hidden="false">
      <c r="B12" s="381" t="s">
        <v>92</v>
      </c>
      <c r="C12" s="382">
        <f>SUMIF(CCMS_DEBT_SUMMARY_C_EXP!$A:$A,$C$3,CCMS_DEBT_SUMMARY_C_EXP!$T:$T)</f>
      </c>
      <c r="D12" s="382">
        <f>SUMIF(CCMS_DEBT_SUMMARY_C_EXP!$A:$A,$D$3,CCMS_DEBT_SUMMARY_C_EXP!$T:$T)</f>
      </c>
      <c r="E12" s="382">
        <f>SUMIF(CCMS_DEBT_SUMMARY_C_EXP!$A:$A,$E$3,CCMS_DEBT_SUMMARY_C_EXP!$T:$T)</f>
      </c>
      <c r="F12" s="382">
        <f>SUMIF(CCMS_DEBT_SUMMARY_C_EXP!$A:$A,$F$3,CCMS_DEBT_SUMMARY_C_EXP!$T:$T)</f>
      </c>
      <c r="G12" s="382">
        <f>SUMIF(CCMS_DEBT_SUMMARY_C_EXP!$A:$A,$G$3,CCMS_DEBT_SUMMARY_C_EXP!$T:$T)</f>
      </c>
      <c r="I12" s="382">
        <f>SUM(C12:H12)</f>
      </c>
      <c r="K12" s="382">
        <f>SUMIF(CCMS_DEBT_SUMMARY_C_EXP!$C:$C,K$3,CCMS_DEBT_SUMMARY_C_EXP!$T:$T)</f>
      </c>
      <c r="L12" s="382">
        <f>SUMIF(CCMS_DEBT_SUMMARY_C_EXP!$C:$C,L$3,CCMS_DEBT_SUMMARY_C_EXP!$T:$T)</f>
      </c>
      <c r="M12" s="382">
        <f>SUMIF(CCMS_DEBT_SUMMARY_C_EXP!$C:$C,M$3,CCMS_DEBT_SUMMARY_C_EXP!$T:$T)</f>
      </c>
      <c r="N12" s="382">
        <f>SUMIF(CCMS_DEBT_SUMMARY_C_EXP!$C:$C,N$3,CCMS_DEBT_SUMMARY_C_EXP!$T:$T)</f>
      </c>
      <c r="O12" s="382">
        <f>SUMIF(CCMS_DEBT_SUMMARY_C_EXP!$C:$C,O$3,CCMS_DEBT_SUMMARY_C_EXP!$T:$T)</f>
      </c>
      <c r="Q12" s="382">
        <f>SUM(K12:P12)</f>
      </c>
    </row>
    <row r="13" ht="15.0" customHeight="true" hidden="false">
      <c r="B13" s="381" t="s">
        <v>93</v>
      </c>
      <c r="C13" s="382">
        <f>SUMIF(CCMS_DEBT_SUMMARY_C_EXP!$A:$A,$C$3,CCMS_DEBT_SUMMARY_C_EXP!$S:$S)</f>
      </c>
      <c r="D13" s="382">
        <f>SUMIF(CCMS_DEBT_SUMMARY_C_EXP!$A:$A,$D$3,CCMS_DEBT_SUMMARY_C_EXP!$S:$S)</f>
      </c>
      <c r="E13" s="382">
        <f>SUMIF(CCMS_DEBT_SUMMARY_C_EXP!$A:$A,$E$3,CCMS_DEBT_SUMMARY_C_EXP!$S:$S)</f>
      </c>
      <c r="F13" s="382">
        <f>SUMIF(CCMS_DEBT_SUMMARY_C_EXP!$A:$A,$F$3,CCMS_DEBT_SUMMARY_C_EXP!$S:$S)</f>
      </c>
      <c r="G13" s="382">
        <f>SUMIF(CCMS_DEBT_SUMMARY_C_EXP!$A:$A,$G$3,CCMS_DEBT_SUMMARY_C_EXP!$S:$S)</f>
      </c>
      <c r="I13" s="382">
        <f>SUM(C13:H13)</f>
      </c>
      <c r="K13" s="382">
        <f>SUMIF(CCMS_DEBT_SUMMARY_C_EXP!$C:$C,K$3,CCMS_DEBT_SUMMARY_C_EXP!$S:$S)</f>
      </c>
      <c r="L13" s="382">
        <f>SUMIF(CCMS_DEBT_SUMMARY_C_EXP!$C:$C,L$3,CCMS_DEBT_SUMMARY_C_EXP!$S:$S)</f>
      </c>
      <c r="M13" s="382">
        <f>SUMIF(CCMS_DEBT_SUMMARY_C_EXP!$C:$C,M$3,CCMS_DEBT_SUMMARY_C_EXP!$S:$S)</f>
      </c>
      <c r="N13" s="382">
        <f>SUMIF(CCMS_DEBT_SUMMARY_C_EXP!$C:$C,N$3,CCMS_DEBT_SUMMARY_C_EXP!$S:$S)</f>
      </c>
      <c r="O13" s="382">
        <f>SUMIF(CCMS_DEBT_SUMMARY_C_EXP!$C:$C,O$3,CCMS_DEBT_SUMMARY_C_EXP!$S:$S)</f>
      </c>
      <c r="Q13" s="382">
        <f>SUM(K13:P13)</f>
      </c>
    </row>
    <row r="14" ht="15.0" customHeight="true" hidden="false">
      <c r="B14" s="381" t="s">
        <v>94</v>
      </c>
      <c r="C14" s="382">
        <f>SUMIF(CCMS_DEBT_SUMMARY_C_EXP!$A:$A,C$3,CCMS_DEBT_SUMMARY_C_EXP!$I:$I)</f>
      </c>
      <c r="D14" s="382">
        <f>SUMIF(CCMS_DEBT_SUMMARY_C_EXP!$A:$A,$D$3,CCMS_DEBT_SUMMARY_C_EXP!$I:$I)</f>
      </c>
      <c r="E14" s="382">
        <f>SUMIF(CCMS_DEBT_SUMMARY_C_EXP!$A:$A,$E$3,CCMS_DEBT_SUMMARY_C_EXP!$I:$I)</f>
      </c>
      <c r="F14" s="382">
        <f>SUMIF(CCMS_DEBT_SUMMARY_C_EXP!$A:$A,$F$3,CCMS_DEBT_SUMMARY_C_EXP!$I:$I)</f>
      </c>
      <c r="G14" s="382">
        <f>SUMIF(CCMS_DEBT_SUMMARY_C_EXP!$A:$A,$G$3,CCMS_DEBT_SUMMARY_C_EXP!$I:$I)</f>
      </c>
      <c r="I14" s="382">
        <f>SUM(C14:H14)</f>
      </c>
      <c r="K14" s="382">
        <f>SUMIF(CCMS_DEBT_SUMMARY_C_EXP!$C:$C,K$3,CCMS_DEBT_SUMMARY_C_EXP!$I:$I)</f>
      </c>
      <c r="L14" s="382">
        <f>SUMIF(CCMS_DEBT_SUMMARY_C_EXP!$C:$C,L$3,CCMS_DEBT_SUMMARY_C_EXP!$I:$I)</f>
      </c>
      <c r="M14" s="382">
        <f>SUMIF(CCMS_DEBT_SUMMARY_C_EXP!$C:$C,M$3,CCMS_DEBT_SUMMARY_C_EXP!$I:$I)</f>
      </c>
      <c r="N14" s="382">
        <f>SUMIF(CCMS_DEBT_SUMMARY_C_EXP!$C:$C,N$3,CCMS_DEBT_SUMMARY_C_EXP!$I:$I)</f>
      </c>
      <c r="O14" s="382">
        <f>SUMIF(CCMS_DEBT_SUMMARY_C_EXP!$C:$C,O$3,CCMS_DEBT_SUMMARY_C_EXP!$I:$I)</f>
      </c>
      <c r="Q14" s="382">
        <f>SUM(K14:P14)</f>
      </c>
    </row>
    <row r="15" ht="15.0" customHeight="true" hidden="false">
      <c r="B15" s="381" t="s">
        <v>95</v>
      </c>
      <c r="C15" s="382">
        <f>SUMIF(CCMS_DEBT_SUMMARY_C_EXP!$A:$A,$C$3,CCMS_DEBT_SUMMARY_C_EXP!$H:$H)</f>
      </c>
      <c r="D15" s="382">
        <f>SUMIF(CCMS_DEBT_SUMMARY_C_EXP!$A:$A,$D$3,CCMS_DEBT_SUMMARY_C_EXP!$H:$H)</f>
      </c>
      <c r="E15" s="382">
        <f>SUMIF(CCMS_DEBT_SUMMARY_C_EXP!$A:$A,$E$3,CCMS_DEBT_SUMMARY_C_EXP!$H:$H)</f>
      </c>
      <c r="F15" s="382">
        <f>SUMIF(CCMS_DEBT_SUMMARY_C_EXP!$A:$A,$F$3,CCMS_DEBT_SUMMARY_C_EXP!$H:$H)</f>
      </c>
      <c r="G15" s="382">
        <f>SUMIF(CCMS_DEBT_SUMMARY_C_EXP!$A:$A,$G$3,CCMS_DEBT_SUMMARY_C_EXP!$H:$H)</f>
      </c>
      <c r="I15" s="382">
        <f>SUM(C15:H15)</f>
      </c>
      <c r="K15" s="382">
        <f>SUMIF(CCMS_DEBT_SUMMARY_C_EXP!$C:$C,K$3,CCMS_DEBT_SUMMARY_C_EXP!$H:$H)</f>
      </c>
      <c r="L15" s="382">
        <f>SUMIF(CCMS_DEBT_SUMMARY_C_EXP!$C:$C,L$3,CCMS_DEBT_SUMMARY_C_EXP!$H:$H)</f>
      </c>
      <c r="M15" s="382">
        <f>SUMIF(CCMS_DEBT_SUMMARY_C_EXP!$C:$C,M$3,CCMS_DEBT_SUMMARY_C_EXP!$H:$H)</f>
      </c>
      <c r="N15" s="382">
        <f>SUMIF(CCMS_DEBT_SUMMARY_C_EXP!$C:$C,N$3,CCMS_DEBT_SUMMARY_C_EXP!$H:$H)</f>
      </c>
      <c r="O15" s="382">
        <f>SUMIF(CCMS_DEBT_SUMMARY_C_EXP!$C:$C,O$3,CCMS_DEBT_SUMMARY_C_EXP!$H:$H)</f>
      </c>
      <c r="Q15" s="382">
        <f>SUM(K15:P15)</f>
      </c>
    </row>
    <row r="17" ht="15.0" customHeight="true" hidden="false">
      <c r="B17" s="381" t="s">
        <v>59</v>
      </c>
      <c r="C17" s="382">
        <f>C4-C6-C7-C9-C11-C13-C15</f>
      </c>
      <c r="D17" s="382">
        <f>D4-D6-D7-D9-D11-D13-D15</f>
      </c>
      <c r="E17" s="382">
        <f>E4-E6-E7-E9-E11-E13-E15</f>
      </c>
      <c r="F17" s="382">
        <f>F4-F6-F7-F9-F11-F13-F15</f>
      </c>
      <c r="G17" s="382">
        <f>G4-G6-G7-G9-G11-G13-G15</f>
      </c>
      <c r="I17" s="382">
        <f>I4-I6-I7-I9-I11-I13-I15</f>
      </c>
      <c r="K17" s="382">
        <f>K4-K6-K7-K9-K11-K13-K15</f>
      </c>
      <c r="L17" s="382">
        <f>L4-L6-L7-L9-L11-L13-L15</f>
      </c>
      <c r="M17" s="382">
        <f>M4-M6-M7-M9-M11-M13-M15</f>
      </c>
      <c r="N17" s="382">
        <f>N4-N6-N7-N9-N11-N13-N15</f>
      </c>
      <c r="O17" s="382">
        <f>O4-O6-O7-O9-O11-O13-O15</f>
      </c>
      <c r="Q17" s="382">
        <f>SUM(K17:P17)</f>
      </c>
    </row>
    <row r="19" ht="15.0" customHeight="true" hidden="false">
      <c r="B19" s="381" t="s">
        <v>75</v>
      </c>
      <c r="C19" s="382">
        <f>-C5-C8-C10-C12-C14</f>
      </c>
      <c r="D19" s="382">
        <f>-D5-D8-D10-D12-D14</f>
      </c>
      <c r="E19" s="382">
        <f>-E5-E8-E10-E12-E14</f>
      </c>
      <c r="F19" s="382">
        <f>-F5-F8-F10-F12-F14</f>
      </c>
      <c r="G19" s="382">
        <f>-G5-G8-G10-G12-G14</f>
      </c>
      <c r="I19" s="382">
        <f>-I5-I8-I10-I12-I14</f>
      </c>
      <c r="K19" s="382">
        <f>-K5-K8-K10-K12-K14</f>
      </c>
      <c r="L19" s="382">
        <f>-L5-L8-L10-L12-L14</f>
      </c>
      <c r="M19" s="382">
        <f>-M5-M8-M10-M12-M14</f>
      </c>
      <c r="N19" s="382">
        <f>-N5-N8-N10-N12-N14</f>
      </c>
      <c r="O19" s="382">
        <f>-O5-O8-O10-O12-O14</f>
      </c>
      <c r="Q19" s="382">
        <f>SUM(K19:P19)</f>
      </c>
    </row>
    <row r="21" ht="15.0" customHeight="true" hidden="false">
      <c r="B21" s="381" t="s">
        <v>96</v>
      </c>
    </row>
    <row r="23" ht="15.0" customHeight="true" hidden="false">
      <c r="B23" s="381" t="s">
        <v>27</v>
      </c>
    </row>
    <row r="24" ht="15.0" customHeight="true" hidden="false">
      <c r="B24" s="381" t="s">
        <v>50</v>
      </c>
      <c r="C24" s="382" t="s">
        <v>22</v>
      </c>
      <c r="D24" s="382" t="s">
        <v>23</v>
      </c>
      <c r="E24" s="382" t="s">
        <v>24</v>
      </c>
      <c r="F24" s="382" t="s">
        <v>25</v>
      </c>
      <c r="G24" s="382" t="s">
        <v>26</v>
      </c>
      <c r="I24" s="382" t="s">
        <v>5</v>
      </c>
    </row>
    <row r="25" ht="15.0" customHeight="true" hidden="false">
      <c r="B25" s="381" t="s">
        <v>97</v>
      </c>
      <c r="C25" s="382">
        <f>C4</f>
      </c>
      <c r="D25" s="382">
        <f>D4</f>
      </c>
      <c r="E25" s="382">
        <f>E4</f>
      </c>
      <c r="F25" s="382">
        <f>F4</f>
      </c>
      <c r="G25" s="382">
        <f>G4</f>
      </c>
      <c r="I25" s="382">
        <f>I4</f>
      </c>
    </row>
    <row r="26" ht="15.0" customHeight="true" hidden="false">
      <c r="B26" s="381" t="s">
        <v>98</v>
      </c>
      <c r="C26" s="382">
        <f>C6</f>
      </c>
      <c r="D26" s="382">
        <f>D6</f>
      </c>
      <c r="E26" s="382">
        <f>E6</f>
      </c>
      <c r="F26" s="382">
        <f>F6</f>
      </c>
      <c r="G26" s="382">
        <f>G6</f>
      </c>
      <c r="I26" s="382">
        <f>I6</f>
      </c>
    </row>
    <row r="27" ht="15.0" customHeight="true" hidden="false">
      <c r="B27" s="381" t="s">
        <v>99</v>
      </c>
      <c r="C27" s="382">
        <f>C7</f>
      </c>
      <c r="D27" s="382">
        <f>D7</f>
      </c>
      <c r="E27" s="382">
        <f>E7</f>
      </c>
      <c r="F27" s="382">
        <f>F7</f>
      </c>
      <c r="G27" s="382">
        <f>G7</f>
      </c>
      <c r="I27" s="382">
        <f>I7</f>
      </c>
    </row>
    <row r="28" ht="15.0" customHeight="true" hidden="false">
      <c r="B28" s="381" t="s">
        <v>100</v>
      </c>
      <c r="C28" s="382">
        <f>C9</f>
      </c>
      <c r="D28" s="382">
        <f>D9</f>
      </c>
      <c r="E28" s="382">
        <f>E9</f>
      </c>
      <c r="F28" s="382">
        <f>F9</f>
      </c>
      <c r="G28" s="382">
        <f>G9</f>
      </c>
      <c r="I28" s="382">
        <f>I9</f>
      </c>
    </row>
    <row r="29" ht="15.0" customHeight="true" hidden="false">
      <c r="B29" s="381" t="s">
        <v>101</v>
      </c>
      <c r="C29" s="382">
        <f>C11</f>
      </c>
      <c r="D29" s="382">
        <f>D11</f>
      </c>
      <c r="E29" s="382">
        <f>E11</f>
      </c>
      <c r="F29" s="382">
        <f>F11</f>
      </c>
      <c r="G29" s="382">
        <f>G11</f>
      </c>
      <c r="I29" s="382">
        <f>I11</f>
      </c>
    </row>
    <row r="30" ht="15.0" customHeight="true" hidden="false">
      <c r="B30" s="381" t="s">
        <v>102</v>
      </c>
      <c r="C30" s="382">
        <f>C13</f>
      </c>
      <c r="D30" s="382">
        <f>D13</f>
      </c>
      <c r="E30" s="382">
        <f>E13</f>
      </c>
      <c r="F30" s="382">
        <f>F13</f>
      </c>
      <c r="G30" s="382">
        <f>G13</f>
      </c>
      <c r="I30" s="382">
        <f>I13</f>
      </c>
    </row>
    <row r="31" ht="15.0" customHeight="true" hidden="false">
      <c r="B31" s="381" t="s">
        <v>103</v>
      </c>
      <c r="C31" s="382">
        <f>C15</f>
      </c>
      <c r="D31" s="382">
        <f>D15</f>
      </c>
      <c r="E31" s="382">
        <f>E15</f>
      </c>
      <c r="F31" s="382">
        <f>F15</f>
      </c>
      <c r="G31" s="382">
        <f>G15</f>
      </c>
      <c r="I31" s="382">
        <f>I15</f>
      </c>
    </row>
    <row r="32" ht="15.75" customHeight="true" hidden="false">
      <c r="B32" s="381" t="s">
        <v>5</v>
      </c>
      <c r="C32" s="382">
        <f>C25-SUM(C26:C31)</f>
      </c>
      <c r="D32" s="382">
        <f>D25-SUM(D26:D31)</f>
      </c>
      <c r="E32" s="382">
        <f>E25-SUM(E26:E31)</f>
      </c>
      <c r="F32" s="382">
        <f>F25-SUM(F26:F31)</f>
      </c>
      <c r="G32" s="382">
        <f>G25-SUM(G26:G31)</f>
      </c>
      <c r="I32" s="382">
        <f>I25-SUM(I26:I31)</f>
      </c>
    </row>
    <row r="33" ht="15.75" customHeight="true" hidden="false">
      <c r="B33" s="381" t="s">
        <v>15</v>
      </c>
      <c r="C33" s="382">
        <f>C32-C17</f>
      </c>
      <c r="D33" s="382">
        <f>D32-D17</f>
      </c>
      <c r="E33" s="382">
        <f>E32-E17</f>
      </c>
      <c r="F33" s="382">
        <f>F32-F17</f>
      </c>
      <c r="G33" s="382">
        <f>G32-G17</f>
      </c>
      <c r="I33" s="382">
        <f>I32-I17</f>
      </c>
    </row>
    <row r="35" ht="15.0" customHeight="true" hidden="false">
      <c r="B35" s="381" t="s">
        <v>68</v>
      </c>
    </row>
    <row r="36" ht="15.0" customHeight="true" hidden="false">
      <c r="B36" s="381" t="s">
        <v>50</v>
      </c>
      <c r="C36" s="382" t="s">
        <v>22</v>
      </c>
      <c r="D36" s="382" t="s">
        <v>23</v>
      </c>
      <c r="E36" s="382" t="s">
        <v>24</v>
      </c>
      <c r="F36" s="382" t="s">
        <v>25</v>
      </c>
      <c r="G36" s="382" t="s">
        <v>26</v>
      </c>
      <c r="I36" s="382" t="s">
        <v>5</v>
      </c>
    </row>
    <row r="37" ht="15.0" customHeight="true" hidden="false">
      <c r="B37" s="381" t="s">
        <v>104</v>
      </c>
      <c r="C37" s="382">
        <f>C5</f>
      </c>
      <c r="D37" s="382">
        <f>D5</f>
      </c>
      <c r="E37" s="382">
        <f>E5</f>
      </c>
      <c r="F37" s="382">
        <f>F5</f>
      </c>
      <c r="G37" s="382">
        <f>G5</f>
      </c>
      <c r="I37" s="382">
        <f>I5</f>
      </c>
    </row>
    <row r="38" ht="15.0" customHeight="true" hidden="false">
      <c r="B38" s="381" t="s">
        <v>105</v>
      </c>
      <c r="C38" s="382">
        <f>C8</f>
      </c>
      <c r="D38" s="382">
        <f>D8</f>
      </c>
      <c r="E38" s="382">
        <f>E8</f>
      </c>
      <c r="F38" s="382">
        <f>F8</f>
      </c>
      <c r="G38" s="382">
        <f>G8</f>
      </c>
      <c r="I38" s="382">
        <f>I8</f>
      </c>
    </row>
    <row r="39" ht="15.0" customHeight="true" hidden="false">
      <c r="B39" s="381" t="s">
        <v>106</v>
      </c>
      <c r="C39" s="382">
        <f>C10</f>
      </c>
      <c r="D39" s="382">
        <f>D10</f>
      </c>
      <c r="E39" s="382">
        <f>E10</f>
      </c>
      <c r="F39" s="382">
        <f>F10</f>
      </c>
      <c r="G39" s="382">
        <f>G10</f>
      </c>
      <c r="I39" s="382">
        <f>I10</f>
      </c>
    </row>
    <row r="40" ht="15.0" customHeight="true" hidden="false">
      <c r="B40" s="381" t="s">
        <v>107</v>
      </c>
      <c r="C40" s="382">
        <f>C12</f>
      </c>
      <c r="D40" s="382">
        <f>D12</f>
      </c>
      <c r="E40" s="382">
        <f>E12</f>
      </c>
      <c r="F40" s="382">
        <f>F12</f>
      </c>
      <c r="G40" s="382">
        <f>G12</f>
      </c>
      <c r="I40" s="382">
        <f>I12</f>
      </c>
    </row>
    <row r="41" ht="15.0" customHeight="true" hidden="false">
      <c r="B41" s="381" t="s">
        <v>108</v>
      </c>
      <c r="C41" s="382">
        <f>C14</f>
      </c>
      <c r="D41" s="382">
        <f>D14</f>
      </c>
      <c r="E41" s="382">
        <f>E14</f>
      </c>
      <c r="F41" s="382">
        <f>F14</f>
      </c>
      <c r="G41" s="382">
        <f>G14</f>
      </c>
      <c r="I41" s="382">
        <f>I14</f>
      </c>
    </row>
    <row r="42" ht="15.75" customHeight="true" hidden="false">
      <c r="B42" s="381" t="s">
        <v>5</v>
      </c>
      <c r="C42" s="382">
        <f>-C37-C38-C39-C40-C41</f>
      </c>
      <c r="D42" s="382">
        <f>-D37-D38-D39-D40-D41</f>
      </c>
      <c r="E42" s="382">
        <f>-E37-E38-E39-E40-E41</f>
      </c>
      <c r="F42" s="382">
        <f>-F37-F38-F39-F40-F41</f>
      </c>
      <c r="G42" s="382">
        <f>-G37-G38-G39-G40-G41</f>
      </c>
      <c r="I42" s="382">
        <f>-I37-I38-I39-I40-I41</f>
      </c>
    </row>
    <row r="43" ht="15.75" customHeight="true" hidden="false">
      <c r="B43" s="381" t="s">
        <v>15</v>
      </c>
      <c r="C43" s="382">
        <f>C42-C19</f>
      </c>
      <c r="D43" s="382">
        <f>D42-D19</f>
      </c>
      <c r="E43" s="382">
        <f>E42-E19</f>
      </c>
      <c r="F43" s="382">
        <f>F42-F19</f>
      </c>
      <c r="G43" s="382">
        <f>G42-G19</f>
      </c>
      <c r="I43" s="382">
        <f>I42-I19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pageSetUpPr autoPageBreaks="false"/>
  </sheetPr>
  <dimension ref="B2:K51"/>
  <sheetViews>
    <sheetView workbookViewId="0"/>
  </sheetViews>
  <sheetFormatPr defaultRowHeight="15.0"/>
  <cols>
    <col min="1" max="1" width="5.7109375" customWidth="true"/>
    <col min="2" max="2" width="45.0" customWidth="true"/>
  </cols>
  <sheetData>
    <row r="2" ht="15.0" customHeight="true" hidden="false">
      <c r="B2" s="383" t="s">
        <v>109</v>
      </c>
    </row>
    <row r="4" ht="15.0" customHeight="true" hidden="false">
      <c r="B4" s="383" t="s">
        <v>110</v>
      </c>
    </row>
    <row r="6" ht="15.0" customHeight="true" hidden="false">
      <c r="B6" s="383" t="s">
        <v>50</v>
      </c>
      <c r="C6" s="384" t="s">
        <v>8</v>
      </c>
      <c r="D6" s="384" t="s">
        <v>9</v>
      </c>
      <c r="E6" s="384" t="s">
        <v>10</v>
      </c>
      <c r="F6" s="384" t="s">
        <v>11</v>
      </c>
      <c r="G6" s="384" t="s">
        <v>51</v>
      </c>
      <c r="I6" s="384" t="s">
        <v>5</v>
      </c>
      <c r="K6" s="384" t="s">
        <v>111</v>
      </c>
    </row>
    <row r="7" ht="15.0" customHeight="true" hidden="false">
      <c r="B7" s="383" t="s">
        <v>84</v>
      </c>
      <c r="C7" s="384">
        <f>SUM(CCMS_CASE_TOTALS_TRUE!R:R)</f>
      </c>
      <c r="D7" s="384">
        <f>SUM(CCMS_CASE_TOTALS_TRUE!AJ:AJ)</f>
      </c>
      <c r="E7" s="384">
        <f>SUM(CCMS_CASE_TOTALS_TRUE!BG:BG)</f>
      </c>
      <c r="F7" s="384">
        <f>SUM(CCMS_CASE_TOTALS_TRUE!BY:BY)</f>
      </c>
      <c r="G7" s="384">
        <f>SUM(CCMS_CASE_TOTALS_TRUE!CQ:CQ)</f>
      </c>
      <c r="I7" s="384">
        <f>SUM(C7:H7)</f>
      </c>
      <c r="K7" s="384">
        <f>I27+I41-I7</f>
      </c>
    </row>
    <row r="8" ht="15.0" customHeight="true" hidden="false">
      <c r="B8" s="383" t="s">
        <v>85</v>
      </c>
      <c r="C8" s="384">
        <f>SUM(CCMS_CASE_TOTALS_TRUE!T:T)</f>
      </c>
      <c r="D8" s="384">
        <f>SUM(CCMS_CASE_TOTALS_TRUE!AL:AL)</f>
      </c>
      <c r="E8" s="384">
        <f>SUM(CCMS_CASE_TOTALS_TRUE!BI:BI)</f>
      </c>
      <c r="F8" s="384">
        <f>SUM(CCMS_CASE_TOTALS_TRUE!CA:CA)</f>
      </c>
      <c r="G8" s="384">
        <f>SUM(CCMS_CASE_TOTALS_TRUE!CS:CS)</f>
      </c>
      <c r="I8" s="384">
        <f>SUM(C8:H8)</f>
      </c>
    </row>
    <row r="9" ht="15.0" customHeight="true" hidden="false">
      <c r="B9" s="383" t="s">
        <v>86</v>
      </c>
      <c r="C9" s="384">
        <f>SUM(CCMS_CASE_TOTALS_TRUE!V:V)</f>
      </c>
      <c r="D9" s="384">
        <f>SUM(CCMS_CASE_TOTALS_TRUE!AN:AN)</f>
      </c>
      <c r="E9" s="384">
        <f>SUM(CCMS_CASE_TOTALS_TRUE!BK:BK)</f>
      </c>
      <c r="F9" s="384">
        <f>SUM(CCMS_CASE_TOTALS_TRUE!CC:CC)</f>
      </c>
      <c r="G9" s="384">
        <f>SUM(CCMS_CASE_TOTALS_TRUE!CU:CU)</f>
      </c>
      <c r="I9" s="384">
        <f>SUM(C9:H9)</f>
      </c>
      <c r="K9" s="384">
        <f>I28+I42-I9</f>
      </c>
    </row>
    <row r="10" ht="15.0" customHeight="true" hidden="false">
      <c r="B10" s="383" t="s">
        <v>87</v>
      </c>
      <c r="C10" s="384">
        <f>SUM(CCMS_CASE_TOTALS_TRUE!W:W)</f>
      </c>
      <c r="D10" s="384">
        <f>SUM(CCMS_CASE_TOTALS_TRUE!AO:AO)</f>
      </c>
      <c r="E10" s="384">
        <f>SUM(CCMS_CASE_TOTALS_TRUE!BL:BL)</f>
      </c>
      <c r="F10" s="384">
        <f>SUM(CCMS_CASE_TOTALS_TRUE!CD:CD)</f>
      </c>
      <c r="G10" s="384">
        <f>SUM(CCMS_CASE_TOTALS_TRUE!CV:CV)</f>
      </c>
      <c r="I10" s="384">
        <f>SUM(C10:H10)</f>
      </c>
      <c r="K10" s="384">
        <f>I29+I43-I10</f>
      </c>
    </row>
    <row r="11" ht="15.0" customHeight="true" hidden="false">
      <c r="B11" s="383" t="s">
        <v>88</v>
      </c>
      <c r="C11" s="384">
        <f>SUM(CCMS_CASE_TOTALS_TRUE!Y:Y)</f>
      </c>
      <c r="D11" s="384">
        <f>SUM(CCMS_CASE_TOTALS_TRUE!AQ:AQ)</f>
      </c>
      <c r="E11" s="384">
        <f>SUM(CCMS_CASE_TOTALS_TRUE!BN:BN)</f>
      </c>
      <c r="F11" s="384">
        <f>SUM(CCMS_CASE_TOTALS_TRUE!CF:CF)</f>
      </c>
      <c r="G11" s="384">
        <f>SUM(CCMS_CASE_TOTALS_TRUE!CX:CX)</f>
      </c>
      <c r="I11" s="384">
        <f>SUM(C11:H11)</f>
      </c>
    </row>
    <row r="12" ht="15.0" customHeight="true" hidden="false">
      <c r="B12" s="383" t="s">
        <v>89</v>
      </c>
      <c r="C12" s="384">
        <f>SUM(CCMS_CASE_TOTALS_TRUE!Z:Z)</f>
      </c>
      <c r="D12" s="384">
        <f>SUM(CCMS_CASE_TOTALS_TRUE!AR:AR)</f>
      </c>
      <c r="E12" s="384">
        <f>SUM(CCMS_CASE_TOTALS_TRUE!BO:BO)</f>
      </c>
      <c r="F12" s="384">
        <f>SUM(CCMS_CASE_TOTALS_TRUE!CG:CG)</f>
      </c>
      <c r="G12" s="384">
        <f>SUM(CCMS_CASE_TOTALS_TRUE!CY:CY)</f>
      </c>
      <c r="I12" s="384">
        <f>SUM(C12:H12)</f>
      </c>
      <c r="K12" s="384">
        <f>I30+I44-I12</f>
      </c>
    </row>
    <row r="13" ht="15.0" customHeight="true" hidden="false">
      <c r="B13" s="383" t="s">
        <v>90</v>
      </c>
      <c r="C13" s="384">
        <f>SUM(CCMS_CASE_TOTALS_TRUE!AB:AB)</f>
      </c>
      <c r="D13" s="384">
        <f>SUM(CCMS_CASE_TOTALS_TRUE!AT:AT)</f>
      </c>
      <c r="E13" s="384">
        <f>SUM(CCMS_CASE_TOTALS_TRUE!BQ:BQ)</f>
      </c>
      <c r="F13" s="384">
        <f>SUM(CCMS_CASE_TOTALS_TRUE!CI:CI)</f>
      </c>
      <c r="G13" s="384">
        <f>SUM(CCMS_CASE_TOTALS_TRUE!DA:DA)</f>
      </c>
      <c r="I13" s="384">
        <f>SUM(C13:H13)</f>
      </c>
    </row>
    <row r="14" ht="15.0" customHeight="true" hidden="false">
      <c r="B14" s="383" t="s">
        <v>91</v>
      </c>
      <c r="C14" s="384">
        <f>SUM(CCMS_CASE_TOTALS_TRUE!AC:AC)</f>
      </c>
      <c r="D14" s="384">
        <f>SUM(CCMS_CASE_TOTALS_TRUE!AU:AU)</f>
      </c>
      <c r="E14" s="384">
        <f>SUM(CCMS_CASE_TOTALS_TRUE!BR:BR)</f>
      </c>
      <c r="F14" s="384">
        <f>SUM(CCMS_CASE_TOTALS_TRUE!CJ:CJ)</f>
      </c>
      <c r="G14" s="384">
        <f>SUM(CCMS_CASE_TOTALS_TRUE!DB:DB)</f>
      </c>
      <c r="I14" s="384">
        <f>SUM(C14:H14)</f>
      </c>
      <c r="K14" s="384">
        <f>I31+I45-I14</f>
      </c>
    </row>
    <row r="15" ht="15.0" customHeight="true" hidden="false">
      <c r="B15" s="383" t="s">
        <v>92</v>
      </c>
      <c r="C15" s="384">
        <f>SUM(CCMS_CASE_TOTALS_TRUE!AE:AE)</f>
      </c>
      <c r="D15" s="384">
        <f>SUM(CCMS_CASE_TOTALS_TRUE!AW:AW)</f>
      </c>
      <c r="E15" s="384">
        <f>SUM(CCMS_CASE_TOTALS_TRUE!BT:BT)</f>
      </c>
      <c r="F15" s="384">
        <f>SUM(CCMS_CASE_TOTALS_TRUE!CL:CL)</f>
      </c>
      <c r="G15" s="384">
        <f>SUM(CCMS_CASE_TOTALS_TRUE!DD:DD)</f>
      </c>
      <c r="I15" s="384">
        <f>SUM(C15:H15)</f>
      </c>
    </row>
    <row r="16" ht="15.0" customHeight="true" hidden="false">
      <c r="B16" s="383" t="s">
        <v>93</v>
      </c>
      <c r="C16" s="384">
        <f>SUM(CCMS_CASE_TOTALS_TRUE!AF:AF)</f>
      </c>
      <c r="D16" s="384">
        <f>SUM(CCMS_CASE_TOTALS_TRUE!AX:AX)</f>
      </c>
      <c r="E16" s="384">
        <f>SUM(CCMS_CASE_TOTALS_TRUE!BU:BU)</f>
      </c>
      <c r="F16" s="384">
        <f>SUM(CCMS_CASE_TOTALS_TRUE!CM:CM)</f>
      </c>
      <c r="G16" s="384">
        <f>SUM(CCMS_CASE_TOTALS_TRUE!DE:DE)</f>
      </c>
      <c r="I16" s="384">
        <f>SUM(C16:H16)</f>
      </c>
      <c r="K16" s="384">
        <f>I32+I46-I16</f>
      </c>
    </row>
    <row r="17" ht="15.0" customHeight="true" hidden="false">
      <c r="B17" s="383" t="s">
        <v>94</v>
      </c>
      <c r="C17" s="384">
        <f>SUM(CCMS_CASE_TOTALS_TRUE!AH:AH)</f>
      </c>
      <c r="D17" s="384">
        <f>SUM(CCMS_CASE_TOTALS_TRUE!AZ:AZ)</f>
      </c>
      <c r="E17" s="384">
        <f>SUM(CCMS_CASE_TOTALS_TRUE!BW:BW)</f>
      </c>
      <c r="F17" s="384">
        <f>SUM(CCMS_CASE_TOTALS_TRUE!CO:CO)</f>
      </c>
      <c r="G17" s="384">
        <f>SUM(CCMS_CASE_TOTALS_TRUE!DG:DG)</f>
      </c>
      <c r="I17" s="384">
        <f>SUM(C17:H17)</f>
      </c>
    </row>
    <row r="18" ht="15.0" customHeight="true" hidden="false">
      <c r="B18" s="383" t="s">
        <v>95</v>
      </c>
      <c r="C18" s="384">
        <f>SUM(CCMS_CASE_TOTALS_TRUE!AI:AI)</f>
      </c>
      <c r="D18" s="384">
        <f>SUM(CCMS_CASE_TOTALS_TRUE!BA:BA)</f>
      </c>
      <c r="E18" s="384">
        <f>SUM(CCMS_CASE_TOTALS_TRUE!BX:BX)</f>
      </c>
      <c r="F18" s="384">
        <f>SUM(CCMS_CASE_TOTALS_TRUE!CP:CP)</f>
      </c>
      <c r="G18" s="384">
        <f>SUM(CCMS_CASE_TOTALS_TRUE!DH:DH)</f>
      </c>
      <c r="I18" s="384">
        <f>SUM(C18:H18)</f>
      </c>
      <c r="K18" s="384">
        <f>I33+I47-I18</f>
      </c>
    </row>
    <row r="20" ht="15.0" customHeight="true" hidden="false">
      <c r="B20" s="383" t="s">
        <v>59</v>
      </c>
      <c r="C20" s="384">
        <f>C7-C9-C10-C12-C14-C16-C18</f>
      </c>
      <c r="D20" s="384">
        <f>D7-D9-D10-D12-D14-D16-D18</f>
      </c>
      <c r="E20" s="384">
        <f>E7-E9-E10-E12-E14-E16-E18</f>
      </c>
      <c r="F20" s="384">
        <f>F7-F9-F10-F12-F14-F16-F18</f>
      </c>
      <c r="G20" s="384">
        <f>G7-G9-G10-G12-G14-G16-G18</f>
      </c>
      <c r="I20" s="384">
        <f>I7-I9-I10-I12-I14-I16-I18</f>
      </c>
    </row>
    <row r="21" ht="15.0" customHeight="true" hidden="false">
      <c r="B21" s="383" t="s">
        <v>15</v>
      </c>
      <c r="C21" s="384">
        <f>SUM(CCMS_CASE_TOTALS_TRUE!GF:GF)-C20</f>
      </c>
      <c r="D21" s="384">
        <f>SUM(CCMS_CASE_TOTALS_TRUE!GG:GG)-D20</f>
      </c>
      <c r="E21" s="384">
        <f>SUM(CCMS_CASE_TOTALS_TRUE!GH:GH)-E20</f>
      </c>
      <c r="F21" s="384">
        <f>SUM(CCMS_CASE_TOTALS_TRUE!GI:GI)-F20</f>
      </c>
      <c r="G21" s="384">
        <f>SUM(CCMS_CASE_TOTALS_TRUE!GJ:GJ)-G20</f>
      </c>
      <c r="I21" s="384">
        <f>SUM(C21:H21)</f>
      </c>
    </row>
    <row r="22" ht="15.0" customHeight="true" hidden="false">
      <c r="B22" s="383" t="s">
        <v>75</v>
      </c>
      <c r="C22" s="384">
        <f>-C8-C11-C13-C15-C17</f>
      </c>
      <c r="D22" s="384">
        <f>-D8-D11-D13-D15-D17</f>
      </c>
      <c r="E22" s="384">
        <f>-E8-E11-E13-E15-E17</f>
      </c>
      <c r="F22" s="384">
        <f>-F8-F11-F13-F15-F17</f>
      </c>
      <c r="G22" s="384">
        <f>-G8-G11-G13-G15-G17</f>
      </c>
      <c r="I22" s="384">
        <f>-I8-I11-I13-I15-I17</f>
      </c>
    </row>
    <row r="24" ht="15.0" customHeight="true" hidden="false">
      <c r="B24" s="383" t="s">
        <v>49</v>
      </c>
    </row>
    <row r="26" ht="15.0" customHeight="true" hidden="false">
      <c r="B26" s="383" t="s">
        <v>50</v>
      </c>
      <c r="C26" s="384" t="s">
        <v>8</v>
      </c>
      <c r="D26" s="384" t="s">
        <v>9</v>
      </c>
      <c r="E26" s="384" t="s">
        <v>10</v>
      </c>
      <c r="F26" s="384" t="s">
        <v>11</v>
      </c>
      <c r="G26" s="384" t="s">
        <v>51</v>
      </c>
      <c r="I26" s="384" t="s">
        <v>5</v>
      </c>
    </row>
    <row r="27" ht="15.0" customHeight="true" hidden="false">
      <c r="B27" s="383" t="s">
        <v>52</v>
      </c>
      <c r="C27" s="384">
        <f>SUM(CCMS_CASE_TOTALS_TRUE!DM:DM)</f>
      </c>
      <c r="D27" s="384">
        <f>SUM(CCMS_CASE_TOTALS_TRUE!DT:DT)</f>
      </c>
      <c r="E27" s="384">
        <f>SUM(CCMS_CASE_TOTALS_TRUE!EA:EA)</f>
      </c>
      <c r="F27" s="384">
        <f>SUM(CCMS_CASE_TOTALS_TRUE!EH:EH)</f>
      </c>
      <c r="G27" s="384">
        <f>SUM(CCMS_CASE_TOTALS_TRUE!EO:EO)</f>
      </c>
      <c r="I27" s="384">
        <f>SUM(C27:G27)</f>
      </c>
    </row>
    <row r="28" ht="15.0" customHeight="true" hidden="false">
      <c r="B28" s="383" t="s">
        <v>53</v>
      </c>
      <c r="C28" s="384">
        <f>SUM(CCMS_CASE_TOTALS_TRUE!DN:DN)</f>
      </c>
      <c r="D28" s="384">
        <f>SUM(CCMS_CASE_TOTALS_TRUE!DU:DU)</f>
      </c>
      <c r="E28" s="384">
        <f>SUM(CCMS_CASE_TOTALS_TRUE!EB:EB)</f>
      </c>
      <c r="F28" s="384">
        <f>SUM(CCMS_CASE_TOTALS_TRUE!EI:EI)</f>
      </c>
      <c r="G28" s="384">
        <f>SUM(CCMS_CASE_TOTALS_TRUE!EP:EP)</f>
      </c>
      <c r="I28" s="384">
        <f>SUM(C28:G28)</f>
      </c>
    </row>
    <row r="29" ht="15.0" customHeight="true" hidden="false">
      <c r="B29" s="383" t="s">
        <v>54</v>
      </c>
      <c r="C29" s="384">
        <f>SUM(CCMS_CASE_TOTALS_TRUE!DO:DO)</f>
      </c>
      <c r="D29" s="384">
        <f>SUM(CCMS_CASE_TOTALS_TRUE!DV:DV)</f>
      </c>
      <c r="E29" s="384">
        <f>SUM(CCMS_CASE_TOTALS_TRUE!EC:EC)</f>
      </c>
      <c r="F29" s="384">
        <f>SUM(CCMS_CASE_TOTALS_TRUE!EJ:EJ)</f>
      </c>
      <c r="G29" s="384">
        <f>SUM(CCMS_CASE_TOTALS_TRUE!EQ:EQ)</f>
      </c>
      <c r="I29" s="384">
        <f>SUM(C29:G29)</f>
      </c>
    </row>
    <row r="30" ht="15.0" customHeight="true" hidden="false">
      <c r="B30" s="383" t="s">
        <v>55</v>
      </c>
      <c r="C30" s="384">
        <f>SUM(CCMS_CASE_TOTALS_TRUE!DR:DR)</f>
      </c>
      <c r="D30" s="384">
        <f>SUM(CCMS_CASE_TOTALS_TRUE!DY:DY)</f>
      </c>
      <c r="E30" s="384">
        <f>SUM(CCMS_CASE_TOTALS_TRUE!EF:EF)</f>
      </c>
      <c r="F30" s="384">
        <f>SUM(CCMS_CASE_TOTALS_TRUE!EM:EM)</f>
      </c>
      <c r="G30" s="384">
        <f>SUM(CCMS_CASE_TOTALS_TRUE!ET:ET)</f>
      </c>
      <c r="I30" s="384">
        <f>SUM(C30:G30)</f>
      </c>
    </row>
    <row r="31" ht="15.0" customHeight="true" hidden="false">
      <c r="B31" s="383" t="s">
        <v>56</v>
      </c>
      <c r="C31" s="384">
        <f>SUM(CCMS_CASE_TOTALS_TRUE!DS:DS)</f>
      </c>
      <c r="D31" s="384">
        <f>SUM(CCMS_CASE_TOTALS_TRUE!DZ:DZ)</f>
      </c>
      <c r="E31" s="384">
        <f>SUM(CCMS_CASE_TOTALS_TRUE!EG:EG)</f>
      </c>
      <c r="F31" s="384">
        <f>SUM(CCMS_CASE_TOTALS_TRUE!EN:EN)</f>
      </c>
      <c r="G31" s="384">
        <f>SUM(CCMS_CASE_TOTALS_TRUE!EU:EU)</f>
      </c>
      <c r="I31" s="384">
        <f>SUM(C31:G31)</f>
      </c>
    </row>
    <row r="32" ht="15.0" customHeight="true" hidden="false">
      <c r="B32" s="383" t="s">
        <v>57</v>
      </c>
      <c r="C32" s="384">
        <f>SUM(CCMS_CASE_TOTALS_TRUE!DP:DP)</f>
      </c>
      <c r="D32" s="384">
        <f>SUM(CCMS_CASE_TOTALS_TRUE!DW:DW)</f>
      </c>
      <c r="E32" s="384">
        <f>SUM(CCMS_CASE_TOTALS_TRUE!ED:ED)</f>
      </c>
      <c r="F32" s="384">
        <f>SUM(CCMS_CASE_TOTALS_TRUE!EK:EK)</f>
      </c>
      <c r="G32" s="384">
        <f>SUM(CCMS_CASE_TOTALS_TRUE!ER:ER)</f>
      </c>
      <c r="I32" s="384">
        <f>SUM(C32:G32)</f>
      </c>
    </row>
    <row r="33" ht="15.0" customHeight="true" hidden="false">
      <c r="B33" s="383" t="s">
        <v>58</v>
      </c>
      <c r="C33" s="384">
        <f>SUM(CCMS_CASE_TOTALS_TRUE!DQ:DQ)</f>
      </c>
      <c r="D33" s="384">
        <f>SUM(CCMS_CASE_TOTALS_TRUE!DX:DX)</f>
      </c>
      <c r="E33" s="384">
        <f>SUM(CCMS_CASE_TOTALS_TRUE!EE:EE)</f>
      </c>
      <c r="F33" s="384">
        <f>SUM(CCMS_CASE_TOTALS_TRUE!EL:EL)</f>
      </c>
      <c r="G33" s="384">
        <f>SUM(CCMS_CASE_TOTALS_TRUE!ES:ES)</f>
      </c>
      <c r="I33" s="384">
        <f>SUM(C33:G33)</f>
      </c>
    </row>
    <row r="35" ht="15.0" customHeight="true" hidden="false">
      <c r="B35" s="383" t="s">
        <v>59</v>
      </c>
      <c r="C35" s="384">
        <f>C27-C28-C29-C30-C31-C32-C33</f>
      </c>
      <c r="D35" s="384">
        <f>D27-D28-D29-D30-D31-D32-D33</f>
      </c>
      <c r="E35" s="384">
        <f>E27-E28-E29-E30-E31-E32-E33</f>
      </c>
      <c r="F35" s="384">
        <f>F27-F28-F29-F30-F31-F32-F33</f>
      </c>
      <c r="G35" s="384">
        <f>G27-G28-G29-G30-G31-G32-G33</f>
      </c>
      <c r="I35" s="384">
        <f>SUM(C35:G35)</f>
      </c>
    </row>
    <row r="36" ht="15.0" customHeight="true" hidden="false">
      <c r="B36" s="383" t="s">
        <v>15</v>
      </c>
      <c r="C36" s="384">
        <f>SUM(CCMS_CASE_TOTALS_TRUE!GK:GK)-C35</f>
      </c>
      <c r="D36" s="384">
        <f>SUM(CCMS_CASE_TOTALS_TRUE!GL:GL)-D35</f>
      </c>
      <c r="E36" s="384">
        <f>SUM(CCMS_CASE_TOTALS_TRUE!GM:GM)-E35</f>
      </c>
      <c r="F36" s="384">
        <f>SUM(CCMS_CASE_TOTALS_TRUE!GN:GN)-F35</f>
      </c>
      <c r="G36" s="384">
        <f>SUM(CCMS_CASE_TOTALS_TRUE!GO:GO)-G35</f>
      </c>
      <c r="I36" s="384">
        <f>SUM(C36:G36)</f>
      </c>
    </row>
    <row r="38" ht="15.0" customHeight="true" hidden="false">
      <c r="B38" s="383" t="s">
        <v>60</v>
      </c>
    </row>
    <row r="40" ht="15.0" customHeight="true" hidden="false">
      <c r="B40" s="383" t="s">
        <v>50</v>
      </c>
      <c r="C40" s="384" t="s">
        <v>8</v>
      </c>
      <c r="D40" s="384" t="s">
        <v>9</v>
      </c>
      <c r="E40" s="384" t="s">
        <v>10</v>
      </c>
      <c r="F40" s="384" t="s">
        <v>11</v>
      </c>
      <c r="G40" s="384" t="s">
        <v>51</v>
      </c>
      <c r="I40" s="384" t="s">
        <v>5</v>
      </c>
    </row>
    <row r="41" ht="15.0" customHeight="true" hidden="false">
      <c r="B41" s="383" t="s">
        <v>61</v>
      </c>
      <c r="C41" s="384">
        <f>SUM(CCMS_CASE_TOTALS_TRUE!EV:EV)</f>
      </c>
      <c r="D41" s="384">
        <f>SUM(CCMS_CASE_TOTALS_TRUE!FC:FC)</f>
      </c>
      <c r="E41" s="384">
        <f>SUM(CCMS_CASE_TOTALS_TRUE!FJ:FJ)</f>
      </c>
      <c r="F41" s="384">
        <f>SUM(CCMS_CASE_TOTALS_TRUE!FQ:FQ)</f>
      </c>
      <c r="G41" s="384">
        <f>SUM(CCMS_CASE_TOTALS_TRUE!FX:FX)</f>
      </c>
      <c r="I41" s="384">
        <f>SUM(C41:G41)</f>
      </c>
    </row>
    <row r="42" ht="15.0" customHeight="true" hidden="false">
      <c r="B42" s="383" t="s">
        <v>62</v>
      </c>
      <c r="C42" s="384">
        <f>SUM(CCMS_CASE_TOTALS_TRUE!EW:EW)</f>
      </c>
      <c r="D42" s="384">
        <f>SUM(CCMS_CASE_TOTALS_TRUE!FD:FD)</f>
      </c>
      <c r="E42" s="384">
        <f>SUM(CCMS_CASE_TOTALS_TRUE!FK:FK)</f>
      </c>
      <c r="F42" s="384">
        <f>SUM(CCMS_CASE_TOTALS_TRUE!FR:FR)</f>
      </c>
      <c r="G42" s="384">
        <f>SUM(CCMS_CASE_TOTALS_TRUE!FY:FY)</f>
      </c>
      <c r="I42" s="384">
        <f>SUM(C42:G42)</f>
      </c>
    </row>
    <row r="43" ht="15.0" customHeight="true" hidden="false">
      <c r="B43" s="383" t="s">
        <v>63</v>
      </c>
      <c r="C43" s="384">
        <f>SUM(CCMS_CASE_TOTALS_TRUE!EX:EX)</f>
      </c>
      <c r="D43" s="384">
        <f>SUM(CCMS_CASE_TOTALS_TRUE!FE:FE)</f>
      </c>
      <c r="E43" s="384">
        <f>SUM(CCMS_CASE_TOTALS_TRUE!FL:FL)</f>
      </c>
      <c r="F43" s="384">
        <f>SUM(CCMS_CASE_TOTALS_TRUE!FS:FS)</f>
      </c>
      <c r="G43" s="384">
        <f>SUM(CCMS_CASE_TOTALS_TRUE!FZ:FZ)</f>
      </c>
      <c r="I43" s="384">
        <f>SUM(C43:G43)</f>
      </c>
    </row>
    <row r="44" ht="15.0" customHeight="true" hidden="false">
      <c r="B44" s="383" t="s">
        <v>64</v>
      </c>
      <c r="C44" s="384">
        <f>SUM(CCMS_CASE_TOTALS_TRUE!FA:FA)</f>
      </c>
      <c r="D44" s="384">
        <f>SUM(CCMS_CASE_TOTALS_TRUE!FH:FH)</f>
      </c>
      <c r="E44" s="384">
        <f>SUM(CCMS_CASE_TOTALS_TRUE!FO:FO)</f>
      </c>
      <c r="F44" s="384">
        <f>SUM(CCMS_CASE_TOTALS_TRUE!FV:FV)</f>
      </c>
      <c r="G44" s="384">
        <f>SUM(CCMS_CASE_TOTALS_TRUE!GC:GC)</f>
      </c>
      <c r="I44" s="384">
        <f>SUM(C44:G44)</f>
      </c>
    </row>
    <row r="45" ht="15.0" customHeight="true" hidden="false">
      <c r="B45" s="383" t="s">
        <v>65</v>
      </c>
      <c r="C45" s="384">
        <f>SUM(CCMS_CASE_TOTALS_TRUE!FB:FB)</f>
      </c>
      <c r="D45" s="384">
        <f>SUM(CCMS_CASE_TOTALS_TRUE!FI:FI)</f>
      </c>
      <c r="E45" s="384">
        <f>SUM(CCMS_CASE_TOTALS_TRUE!FP:FP)</f>
      </c>
      <c r="F45" s="384">
        <f>SUM(CCMS_CASE_TOTALS_TRUE!FW:FW)</f>
      </c>
      <c r="G45" s="384">
        <f>SUM(CCMS_CASE_TOTALS_TRUE!GD:GD)</f>
      </c>
      <c r="I45" s="384">
        <f>SUM(C45:G45)</f>
      </c>
    </row>
    <row r="46" ht="15.0" customHeight="true" hidden="false">
      <c r="B46" s="383" t="s">
        <v>66</v>
      </c>
      <c r="C46" s="384">
        <f>SUM(CCMS_CASE_TOTALS_TRUE!EY:EY)</f>
      </c>
      <c r="D46" s="384">
        <f>SUM(CCMS_CASE_TOTALS_TRUE!FF:FF)</f>
      </c>
      <c r="E46" s="384">
        <f>SUM(CCMS_CASE_TOTALS_TRUE!FM:FM)</f>
      </c>
      <c r="F46" s="384">
        <f>SUM(CCMS_CASE_TOTALS_TRUE!FT:FT)</f>
      </c>
      <c r="G46" s="384">
        <f>SUM(CCMS_CASE_TOTALS_TRUE!GA:GA)</f>
      </c>
      <c r="I46" s="384">
        <f>SUM(C46:G46)</f>
      </c>
    </row>
    <row r="47" ht="15.0" customHeight="true" hidden="false">
      <c r="B47" s="383" t="s">
        <v>67</v>
      </c>
      <c r="C47" s="384">
        <f>SUM(CCMS_CASE_TOTALS_TRUE!EZ:EZ)</f>
      </c>
      <c r="D47" s="384">
        <f>SUM(CCMS_CASE_TOTALS_TRUE!FG:FG)</f>
      </c>
      <c r="E47" s="384">
        <f>SUM(CCMS_CASE_TOTALS_TRUE!FN:FN)</f>
      </c>
      <c r="F47" s="384">
        <f>SUM(CCMS_CASE_TOTALS_TRUE!FU:FU)</f>
      </c>
      <c r="G47" s="384">
        <f>SUM(CCMS_CASE_TOTALS_TRUE!GB:GB)</f>
      </c>
      <c r="I47" s="384">
        <f>SUM(C47:G47)</f>
      </c>
    </row>
    <row r="49" ht="15.0" customHeight="true" hidden="false">
      <c r="B49" s="383" t="s">
        <v>59</v>
      </c>
      <c r="C49" s="384">
        <f>C41-C42-C43-C44-C45-C47-C46</f>
      </c>
      <c r="D49" s="384">
        <f>D41-D42-D43-D44-D45-D46-D47</f>
      </c>
      <c r="E49" s="384">
        <f>E41-E42-E43-E44-E45-E46-E47</f>
      </c>
      <c r="F49" s="384">
        <f>F41-F42-F43-F44-F45-F46-F47</f>
      </c>
      <c r="G49" s="384">
        <f>G41-G42-G43-G44-G45-G46-G47</f>
      </c>
      <c r="I49" s="384">
        <f>SUM(C49:G49)</f>
      </c>
    </row>
    <row r="50" ht="15.0" customHeight="true" hidden="false">
      <c r="B50" s="383" t="s">
        <v>15</v>
      </c>
      <c r="C50" s="384">
        <f>SUM(CCMS_CASE_TOTALS_TRUE!GQ:GQ)-C49</f>
      </c>
      <c r="D50" s="384">
        <f>SUM(CCMS_CASE_TOTALS_TRUE!GR:GR)-D49</f>
      </c>
      <c r="E50" s="384">
        <f>SUM(CCMS_CASE_TOTALS_TRUE!GS:GS)-E49</f>
      </c>
      <c r="F50" s="384">
        <f>SUM(CCMS_CASE_TOTALS_TRUE!GT:GT)-F49</f>
      </c>
      <c r="G50" s="384">
        <f>SUM(CCMS_CASE_TOTALS_TRUE!GU:GU)-G49</f>
      </c>
      <c r="I50" s="384">
        <f>SUM(C50:G50)</f>
      </c>
    </row>
    <row r="51" ht="15.0" customHeight="true" hidden="false">
      <c r="B51" s="383" t="s">
        <v>112</v>
      </c>
      <c r="C51" s="384">
        <f>C49+C35-C20</f>
      </c>
      <c r="D51" s="384">
        <f>D49+D35-D20</f>
      </c>
      <c r="E51" s="384">
        <f>E49+E35-E20</f>
      </c>
      <c r="F51" s="384">
        <f>F49+F35-F20</f>
      </c>
      <c r="G51" s="384">
        <f>G49+G35-G20</f>
      </c>
      <c r="I51" s="384">
        <f>SUM(C51:G51)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pageSetUpPr autoPageBreaks="false"/>
  </sheetPr>
  <dimension ref="B2:I43"/>
  <sheetViews>
    <sheetView workbookViewId="0"/>
  </sheetViews>
  <sheetFormatPr defaultRowHeight="15.0"/>
  <cols>
    <col min="1" max="1" width="6.7109375" customWidth="true"/>
    <col min="2" max="2" width="45.0" customWidth="true"/>
  </cols>
  <sheetData>
    <row r="2" ht="15.0" customHeight="true" hidden="false">
      <c r="B2" s="385" t="s">
        <v>113</v>
      </c>
    </row>
    <row r="5" ht="15.0" customHeight="true" hidden="false">
      <c r="B5" s="385" t="s">
        <v>110</v>
      </c>
    </row>
    <row r="7" ht="15.0" customHeight="true" hidden="false">
      <c r="B7" s="385" t="s">
        <v>50</v>
      </c>
      <c r="C7" s="386" t="s">
        <v>8</v>
      </c>
      <c r="D7" s="386" t="s">
        <v>9</v>
      </c>
      <c r="E7" s="386" t="s">
        <v>10</v>
      </c>
      <c r="F7" s="386" t="s">
        <v>11</v>
      </c>
      <c r="G7" s="386" t="s">
        <v>51</v>
      </c>
      <c r="I7" s="386" t="s">
        <v>5</v>
      </c>
    </row>
    <row r="8" ht="15.0" customHeight="true" hidden="false">
      <c r="B8" s="385" t="s">
        <v>84</v>
      </c>
      <c r="C8" s="386">
        <f>SUM(FIXED_CASES_EXP!M:M)</f>
      </c>
      <c r="D8" s="386">
        <f>SUM(FIXED_CASES_EXP!AE:AE)</f>
      </c>
      <c r="E8" s="386">
        <f>SUM(FIXED_CASES_EXP!AW:AW)</f>
      </c>
      <c r="F8" s="386">
        <f>SUM(FIXED_CASES_EXP!BO:BO)</f>
      </c>
      <c r="G8" s="386">
        <f>SUM(FIXED_CASES_EXP!CG:CG)</f>
      </c>
      <c r="I8" s="386">
        <f>SUM(C8:H8)</f>
      </c>
    </row>
    <row r="9" ht="15.0" customHeight="true" hidden="false">
      <c r="B9" s="385" t="s">
        <v>85</v>
      </c>
      <c r="C9" s="386">
        <f>SUM(FIXED_CASES_EXP!O:O)*-1</f>
      </c>
      <c r="D9" s="386">
        <f>SUM(FIXED_CASES_EXP!AG:AG)*-1</f>
      </c>
      <c r="E9" s="386">
        <f>SUM(FIXED_CASES_EXP!AY:AY)*-1</f>
      </c>
      <c r="F9" s="386">
        <f>SUM(FIXED_CASES_EXP!BQ:BQ)*-1</f>
      </c>
      <c r="G9" s="386">
        <f>SUM(FIXED_CASES_EXP!CI:CI)*-1</f>
      </c>
      <c r="I9" s="386">
        <f>SUM(C9:H9)</f>
      </c>
    </row>
    <row r="10" ht="15.0" customHeight="true" hidden="false">
      <c r="B10" s="385" t="s">
        <v>86</v>
      </c>
      <c r="C10" s="386">
        <f>SUM(FIXED_CASES_EXP!Q:Q)*-1</f>
      </c>
      <c r="D10" s="386">
        <f>SUM(FIXED_CASES_EXP!AI:AI)*-1</f>
      </c>
      <c r="E10" s="386">
        <f>SUM(FIXED_CASES_EXP!BA:BA)*-1</f>
      </c>
      <c r="F10" s="386">
        <f>SUM(FIXED_CASES_EXP!BS:BS)*-1</f>
      </c>
      <c r="G10" s="386">
        <f>SUM(FIXED_CASES_EXP!CN:CN)*-1</f>
      </c>
      <c r="I10" s="386">
        <f>SUM(C10:H10)</f>
      </c>
    </row>
    <row r="11" ht="15.0" customHeight="true" hidden="false">
      <c r="B11" s="385" t="s">
        <v>87</v>
      </c>
      <c r="C11" s="386">
        <f>(SUM(FIXED_CASES_EXP!P:P)*-1)-C10</f>
      </c>
      <c r="D11" s="386">
        <f>(SUM(FIXED_CASES_EXP!AH:AH)*-1)-D10</f>
      </c>
      <c r="E11" s="386">
        <f>(SUM(FIXED_CASES_EXP!AZ:AZ)*-1)-E10</f>
      </c>
      <c r="F11" s="386">
        <f>(SUM(FIXED_CASES_EXP!BR:BR)*-1)-F10</f>
      </c>
      <c r="G11" s="386">
        <f>(SUM(FIXED_CASES_EXP!CJ:CJ)*-1)-G10</f>
      </c>
      <c r="I11" s="386">
        <f>SUM(C11:H11)</f>
      </c>
    </row>
    <row r="12" ht="15.0" customHeight="true" hidden="false">
      <c r="B12" s="385" t="s">
        <v>88</v>
      </c>
      <c r="C12" s="386">
        <f>SUM(FIXED_CASES_EXP!W:W)*-1</f>
      </c>
      <c r="D12" s="386">
        <f>SUM(FIXED_CASES_EXP!AO:AO)*-1</f>
      </c>
      <c r="E12" s="386">
        <f>SUM(FIXED_CASES_EXP!BG:BG)*-1</f>
      </c>
      <c r="F12" s="386">
        <f>SUM(FIXED_CASES_EXP!BY:BY)*-1</f>
      </c>
      <c r="G12" s="386">
        <f>SUM(FIXED_CASES_EXP!CQ:CQ)*-1</f>
      </c>
      <c r="I12" s="386">
        <f>SUM(C12:H12)</f>
      </c>
    </row>
    <row r="13" ht="15.0" customHeight="true" hidden="false">
      <c r="B13" s="385" t="s">
        <v>89</v>
      </c>
      <c r="C13" s="386">
        <f>SUM(FIXED_CASES_EXP!X:X)*-1</f>
      </c>
      <c r="D13" s="386">
        <f>SUM(FIXED_CASES_EXP!AP:AP)*-1</f>
      </c>
      <c r="E13" s="386">
        <f>SUM(FIXED_CASES_EXP!BH:BH)*-1</f>
      </c>
      <c r="F13" s="386">
        <f>SUM(FIXED_CASES_EXP!BZ:BZ)*-1</f>
      </c>
      <c r="G13" s="386">
        <f>SUM(FIXED_CASES_EXP!CR:CR)*-1</f>
      </c>
      <c r="I13" s="386">
        <f>SUM(C13:H13)</f>
      </c>
    </row>
    <row r="14" ht="15.0" customHeight="true" hidden="false">
      <c r="B14" s="385" t="s">
        <v>90</v>
      </c>
      <c r="C14" s="386">
        <f>SUM(FIXED_CASES_EXP!T:T)*-1</f>
      </c>
      <c r="D14" s="386">
        <f>SUM(FIXED_CASES_EXP!AL:AL)*-1</f>
      </c>
      <c r="E14" s="386">
        <f>SUM(FIXED_CASES_EXP!BD:BD)*-1</f>
      </c>
      <c r="F14" s="386">
        <f>SUM(FIXED_CASES_EXP!BV:BV)*-1</f>
      </c>
      <c r="G14" s="386">
        <f>SUM(FIXED_CASES_EXP!CL:CL)*-1</f>
      </c>
      <c r="I14" s="386">
        <f>SUM(C14:H14)</f>
      </c>
    </row>
    <row r="15" ht="15.0" customHeight="true" hidden="false">
      <c r="B15" s="385" t="s">
        <v>91</v>
      </c>
      <c r="C15" s="386">
        <f>SUM(FIXED_CASES_EXP!U:U)*-1</f>
      </c>
      <c r="D15" s="386">
        <f>SUM(FIXED_CASES_EXP!AM:AM)*-1</f>
      </c>
      <c r="E15" s="386">
        <f>SUM(FIXED_CASES_EXP!BE:BE)*-1</f>
      </c>
      <c r="F15" s="386">
        <f>SUM(FIXED_CASES_EXP!BW:BW)*-1</f>
      </c>
      <c r="G15" s="386">
        <f>SUM(FIXED_CASES_EXP!CM:CM)*-1</f>
      </c>
      <c r="I15" s="386">
        <f>SUM(C15:H15)</f>
      </c>
    </row>
    <row r="16" ht="15.0" customHeight="true" hidden="false">
      <c r="B16" s="385" t="s">
        <v>92</v>
      </c>
      <c r="C16" s="386">
        <f>SUM(FIXED_CASES_EXP!Z:Z)</f>
      </c>
      <c r="D16" s="386">
        <f>SUM(FIXED_CASES_EXP!AR:AR)</f>
      </c>
      <c r="E16" s="386">
        <f>SUM(FIXED_CASES_EXP!BJ:BJ)</f>
      </c>
      <c r="F16" s="386">
        <f>SUM(FIXED_CASES_EXP!CB:CB)</f>
      </c>
      <c r="G16" s="386">
        <f>SUM(FIXED_CASES_EXP!CT:CT)</f>
      </c>
      <c r="I16" s="386">
        <f>SUM(C16:H16)</f>
      </c>
    </row>
    <row r="17" ht="15.0" customHeight="true" hidden="false">
      <c r="B17" s="385" t="s">
        <v>93</v>
      </c>
      <c r="C17" s="386">
        <f>SUM(FIXED_CASES_EXP!AA:AA)</f>
      </c>
      <c r="D17" s="386">
        <f>SUM(FIXED_CASES_EXP!AS:AS)</f>
      </c>
      <c r="E17" s="386">
        <f>SUM(FIXED_CASES_EXP!BK:BK)</f>
      </c>
      <c r="F17" s="386">
        <f>SUM(FIXED_CASES_EXP!CC:CC)</f>
      </c>
      <c r="G17" s="386">
        <f>SUM(FIXED_CASES_EXP!CU:CU)</f>
      </c>
      <c r="I17" s="386">
        <f>SUM(C17:H17)</f>
      </c>
    </row>
    <row r="18" ht="15.0" customHeight="true" hidden="false">
      <c r="B18" s="385" t="s">
        <v>94</v>
      </c>
      <c r="C18" s="386">
        <f>SUM(FIXED_CASES_EXP!AC:AC)</f>
      </c>
      <c r="D18" s="386">
        <f>SUM(FIXED_CASES_EXP!AU:AU)</f>
      </c>
      <c r="E18" s="386">
        <f>SUM(FIXED_CASES_EXP!BM:BM)</f>
      </c>
      <c r="F18" s="386">
        <f>SUM(FIXED_CASES_EXP!CE:CE)</f>
      </c>
      <c r="G18" s="386">
        <f>SUM(FIXED_CASES_EXP!CW:CW)</f>
      </c>
      <c r="I18" s="386">
        <f>SUM(C18:H18)</f>
      </c>
    </row>
    <row r="19" ht="15.0" customHeight="true" hidden="false">
      <c r="B19" s="385" t="s">
        <v>95</v>
      </c>
      <c r="C19" s="386">
        <f>SUM(FIXED_CASES_EXP!AD:AD)</f>
      </c>
      <c r="D19" s="386">
        <f>SUM(FIXED_CASES_EXP!AV:AV)</f>
      </c>
      <c r="E19" s="386">
        <f>SUM(FIXED_CASES_EXP!BN:BN)</f>
      </c>
      <c r="F19" s="386">
        <f>SUM(FIXED_CASES_EXP!CF:CF)</f>
      </c>
      <c r="G19" s="386">
        <f>SUM(FIXED_CASES_EXP!CX:CX)</f>
      </c>
      <c r="I19" s="386">
        <f>SUM(C19:H19)</f>
      </c>
    </row>
    <row r="21" ht="15.0" customHeight="true" hidden="false">
      <c r="B21" s="385" t="s">
        <v>59</v>
      </c>
      <c r="C21" s="386">
        <f>C8-C10-C11-C13-C15-C17-C19</f>
      </c>
      <c r="D21" s="386">
        <f>D8-D10-D11-D13-D15-D17-D19</f>
      </c>
      <c r="E21" s="386">
        <f>E8-E10-E11-E13-E15-E17-E19</f>
      </c>
      <c r="F21" s="386">
        <f>F8-F10-F11-F13-F15-F17-F19</f>
      </c>
      <c r="G21" s="386">
        <f>G8-G10-G11-G13-G15-G17-G19</f>
      </c>
      <c r="I21" s="386">
        <f>I8-I10-I11-I13-I15-I17-I19</f>
      </c>
    </row>
    <row r="23" ht="15.0" customHeight="true" hidden="false">
      <c r="B23" s="385" t="s">
        <v>75</v>
      </c>
      <c r="C23" s="386">
        <f>-C9-C12-C14-C16-C18</f>
      </c>
      <c r="D23" s="386">
        <f>-D9-D12-D14-D16-D18</f>
      </c>
      <c r="E23" s="386">
        <f>-E9-E12-E14-E16-E18</f>
      </c>
      <c r="F23" s="386">
        <f>-F9-F12-F14-F16-F18</f>
      </c>
      <c r="G23" s="386">
        <f>-G9-G12-G14-G16-G18</f>
      </c>
      <c r="I23" s="386">
        <f>-I9-I12-I14-I16-I18</f>
      </c>
    </row>
    <row r="25" ht="15.0" customHeight="true" hidden="false">
      <c r="B25" s="385" t="s">
        <v>114</v>
      </c>
    </row>
    <row r="27" ht="15.0" customHeight="true" hidden="false">
      <c r="B27" s="385" t="s">
        <v>50</v>
      </c>
      <c r="C27" s="386" t="s">
        <v>8</v>
      </c>
      <c r="D27" s="386" t="s">
        <v>9</v>
      </c>
      <c r="E27" s="386" t="s">
        <v>10</v>
      </c>
      <c r="F27" s="386" t="s">
        <v>11</v>
      </c>
      <c r="G27" s="386" t="s">
        <v>51</v>
      </c>
      <c r="I27" s="386" t="s">
        <v>5</v>
      </c>
    </row>
    <row r="28" ht="15.0" customHeight="true" hidden="false">
      <c r="B28" s="385" t="s">
        <v>84</v>
      </c>
      <c r="C28" s="386">
        <f>SUMIF(CCMS_CIVIL_EXCEPTIONS_EXP!$L:$L,C$27,CCMS_CIVIL_EXCEPTIONS_EXP!$O:$O)</f>
      </c>
      <c r="D28" s="386">
        <f>SUMIF(CCMS_CIVIL_EXCEPTIONS_EXP!$L:$L,D$27,CCMS_CIVIL_EXCEPTIONS_EXP!$O:$O)</f>
      </c>
      <c r="E28" s="386">
        <f>SUMIF(CCMS_CIVIL_EXCEPTIONS_EXP!$L:$L,E$27,CCMS_CIVIL_EXCEPTIONS_EXP!$O:$O)</f>
      </c>
      <c r="F28" s="386">
        <f>SUMIF(CCMS_CIVIL_EXCEPTIONS_EXP!$L:$L,F$27,CCMS_CIVIL_EXCEPTIONS_EXP!$O:$O)</f>
      </c>
      <c r="G28" s="386">
        <f>SUMIF(CCMS_CIVIL_EXCEPTIONS_EXP!$L:$L,G$27,CCMS_CIVIL_EXCEPTIONS_EXP!$O:$O)</f>
      </c>
      <c r="I28" s="386">
        <f>SUM(C28:H28)</f>
      </c>
    </row>
    <row r="29" ht="15.0" customHeight="true" hidden="false">
      <c r="B29" s="385" t="s">
        <v>85</v>
      </c>
      <c r="C29" s="386">
        <f>SUMIF(CCMS_CIVIL_EXCEPTIONS_EXP!$L:$L,C$27,CCMS_CIVIL_EXCEPTIONS_EXP!$V:$V)*-1</f>
      </c>
      <c r="D29" s="386">
        <f>SUMIF(CCMS_CIVIL_EXCEPTIONS_EXP!$L:$L,D$27,CCMS_CIVIL_EXCEPTIONS_EXP!$V:$V)*-1</f>
      </c>
      <c r="E29" s="386">
        <f>SUMIF(CCMS_CIVIL_EXCEPTIONS_EXP!$L:$L,E$27,CCMS_CIVIL_EXCEPTIONS_EXP!$V:$V)*-1</f>
      </c>
      <c r="F29" s="386">
        <f>SUMIF(CCMS_CIVIL_EXCEPTIONS_EXP!$L:$L,F$27,CCMS_CIVIL_EXCEPTIONS_EXP!$V:$V)*-1</f>
      </c>
      <c r="G29" s="386">
        <f>SUMIF(CCMS_CIVIL_EXCEPTIONS_EXP!$L:$L,G$27,CCMS_CIVIL_EXCEPTIONS_EXP!$V:$V)*-1</f>
      </c>
      <c r="I29" s="386">
        <f>SUM(C29:H29)</f>
      </c>
    </row>
    <row r="30" ht="15.0" customHeight="true" hidden="false">
      <c r="B30" s="385" t="s">
        <v>86</v>
      </c>
      <c r="C30" s="386">
        <f>SUMIF(CCMS_CIVIL_EXCEPTIONS_EXP!$L:$L,C$27,CCMS_CIVIL_EXCEPTIONS_EXP!$T:$T)*-1</f>
      </c>
      <c r="D30" s="386">
        <f>SUMIF(CCMS_CIVIL_EXCEPTIONS_EXP!$L:$L,D$27,CCMS_CIVIL_EXCEPTIONS_EXP!$T:$T)*-1</f>
      </c>
      <c r="E30" s="386">
        <f>SUMIF(CCMS_CIVIL_EXCEPTIONS_EXP!$L:$L,E$27,CCMS_CIVIL_EXCEPTIONS_EXP!$T:$T)*-1</f>
      </c>
      <c r="F30" s="386">
        <f>SUMIF(CCMS_CIVIL_EXCEPTIONS_EXP!$L:$L,F$27,CCMS_CIVIL_EXCEPTIONS_EXP!$T:$T)*-1</f>
      </c>
      <c r="G30" s="386">
        <f>SUMIF(CCMS_CIVIL_EXCEPTIONS_EXP!$L:$L,G$27,CCMS_CIVIL_EXCEPTIONS_EXP!$T:$T)*-1</f>
      </c>
      <c r="I30" s="386">
        <f>SUM(C30:H30)</f>
      </c>
    </row>
    <row r="31" ht="15.0" customHeight="true" hidden="false">
      <c r="B31" s="385" t="s">
        <v>87</v>
      </c>
      <c r="C31" s="386">
        <f>(SUMIF(CCMS_CIVIL_EXCEPTIONS_EXP!$L:$L,C$27,CCMS_CIVIL_EXCEPTIONS_EXP!$S:$S)*-1)-C30</f>
      </c>
      <c r="D31" s="386">
        <f>(SUMIF(CCMS_CIVIL_EXCEPTIONS_EXP!$L:$L,D$27,CCMS_CIVIL_EXCEPTIONS_EXP!$S:$S)*-1)-D30</f>
      </c>
      <c r="E31" s="386">
        <f>(SUMIF(CCMS_CIVIL_EXCEPTIONS_EXP!$L:$L,E$27,CCMS_CIVIL_EXCEPTIONS_EXP!$S:$S)*-1)-E30</f>
      </c>
      <c r="F31" s="386">
        <f>(SUMIF(CCMS_CIVIL_EXCEPTIONS_EXP!$L:$L,F$27,CCMS_CIVIL_EXCEPTIONS_EXP!$S:$S)*-1)-F30</f>
      </c>
      <c r="G31" s="386">
        <f>(SUMIF(CCMS_CIVIL_EXCEPTIONS_EXP!$L:$L,G$27,CCMS_CIVIL_EXCEPTIONS_EXP!$S:$S)*-1)-G30</f>
      </c>
      <c r="I31" s="386">
        <f>SUM(C31:H31)</f>
      </c>
    </row>
    <row r="32" ht="15.0" customHeight="true" hidden="false">
      <c r="B32" s="385" t="s">
        <v>88</v>
      </c>
      <c r="C32" s="386">
        <f>SUMIF(CCMS_CIVIL_EXCEPTIONS_EXP!$L:$L,C$27,CCMS_CIVIL_EXCEPTIONS_EXP!$Z:$Z)*-1</f>
      </c>
      <c r="D32" s="386">
        <f>SUMIF(CCMS_CIVIL_EXCEPTIONS_EXP!$L:$L,D$27,CCMS_CIVIL_EXCEPTIONS_EXP!$Z:$Z)*-1</f>
      </c>
      <c r="E32" s="386">
        <f>SUMIF(CCMS_CIVIL_EXCEPTIONS_EXP!$L:$L,E$27,CCMS_CIVIL_EXCEPTIONS_EXP!$Z:$Z)*-1</f>
      </c>
      <c r="F32" s="386">
        <f>SUMIF(CCMS_CIVIL_EXCEPTIONS_EXP!$L:$L,F$27,CCMS_CIVIL_EXCEPTIONS_EXP!$Z:$Z)*-1</f>
      </c>
      <c r="G32" s="386">
        <f>SUMIF(CCMS_CIVIL_EXCEPTIONS_EXP!$L:$L,G$27,CCMS_CIVIL_EXCEPTIONS_EXP!$Z:$Z)*-1</f>
      </c>
      <c r="I32" s="386">
        <f>SUM(C32:H32)</f>
      </c>
    </row>
    <row r="33" ht="15.0" customHeight="true" hidden="false">
      <c r="B33" s="385" t="s">
        <v>89</v>
      </c>
      <c r="C33" s="386">
        <f>SUMIF(CCMS_CIVIL_EXCEPTIONS_EXP!$L:$L,C$27,CCMS_CIVIL_EXCEPTIONS_EXP!$Y:$Y)*-1</f>
      </c>
      <c r="D33" s="386">
        <f>SUMIF(CCMS_CIVIL_EXCEPTIONS_EXP!$L:$L,D$27,CCMS_CIVIL_EXCEPTIONS_EXP!$Y:$Y)*-1</f>
      </c>
      <c r="E33" s="386">
        <f>SUMIF(CCMS_CIVIL_EXCEPTIONS_EXP!$L:$L,E$27,CCMS_CIVIL_EXCEPTIONS_EXP!$Y:$Y)*-1</f>
      </c>
      <c r="F33" s="386">
        <f>SUMIF(CCMS_CIVIL_EXCEPTIONS_EXP!$L:$L,F$27,CCMS_CIVIL_EXCEPTIONS_EXP!$Y:$Y)*-1</f>
      </c>
      <c r="G33" s="386">
        <f>SUMIF(CCMS_CIVIL_EXCEPTIONS_EXP!$L:$L,G$27,CCMS_CIVIL_EXCEPTIONS_EXP!$Y:$Y)*-1</f>
      </c>
      <c r="I33" s="386">
        <f>SUM(C33:H33)</f>
      </c>
    </row>
    <row r="34" ht="15.0" customHeight="true" hidden="false">
      <c r="B34" s="385" t="s">
        <v>90</v>
      </c>
      <c r="C34" s="386">
        <f>SUMIF(CCMS_CIVIL_EXCEPTIONS_EXP!$L:$L,C$27,CCMS_CIVIL_EXCEPTIONS_EXP!$X:$X)*-1</f>
      </c>
      <c r="D34" s="386">
        <f>SUMIF(CCMS_CIVIL_EXCEPTIONS_EXP!$L:$L,D$27,CCMS_CIVIL_EXCEPTIONS_EXP!$X:$X)*-1</f>
      </c>
      <c r="E34" s="386">
        <f>SUMIF(CCMS_CIVIL_EXCEPTIONS_EXP!$L:$L,E$27,CCMS_CIVIL_EXCEPTIONS_EXP!$X:$X)*-1</f>
      </c>
      <c r="F34" s="386">
        <f>SUMIF(CCMS_CIVIL_EXCEPTIONS_EXP!$L:$L,F$27,CCMS_CIVIL_EXCEPTIONS_EXP!$X:$X)*-1</f>
      </c>
      <c r="G34" s="386">
        <f>SUMIF(CCMS_CIVIL_EXCEPTIONS_EXP!$L:$L,G$27,CCMS_CIVIL_EXCEPTIONS_EXP!$X:$X)*-1</f>
      </c>
      <c r="I34" s="386">
        <f>SUM(C34:H34)</f>
      </c>
    </row>
    <row r="35" ht="15.0" customHeight="true" hidden="false">
      <c r="B35" s="385" t="s">
        <v>91</v>
      </c>
      <c r="C35" s="386">
        <f>SUMIF(CCMS_CIVIL_EXCEPTIONS_EXP!$L:$L,C$27,CCMS_CIVIL_EXCEPTIONS_EXP!$W:$W)*-1</f>
      </c>
      <c r="D35" s="386">
        <f>SUMIF(CCMS_CIVIL_EXCEPTIONS_EXP!$L:$L,D$27,CCMS_CIVIL_EXCEPTIONS_EXP!$W:$W)*-1</f>
      </c>
      <c r="E35" s="386">
        <f>SUMIF(CCMS_CIVIL_EXCEPTIONS_EXP!$L:$L,E$27,CCMS_CIVIL_EXCEPTIONS_EXP!$W:$W)*-1</f>
      </c>
      <c r="F35" s="386">
        <f>SUMIF(CCMS_CIVIL_EXCEPTIONS_EXP!$L:$L,F$27,CCMS_CIVIL_EXCEPTIONS_EXP!$W:$W)*-1</f>
      </c>
      <c r="G35" s="386">
        <f>SUMIF(CCMS_CIVIL_EXCEPTIONS_EXP!$L:$L,G$27,CCMS_CIVIL_EXCEPTIONS_EXP!$W:$W)*-1</f>
      </c>
      <c r="I35" s="386">
        <f>SUM(C35:H35)</f>
      </c>
    </row>
    <row r="36" ht="15.0" customHeight="true" hidden="false">
      <c r="B36" s="385" t="s">
        <v>92</v>
      </c>
      <c r="C36" s="386">
        <f>SUMIF(CCMS_CIVIL_EXCEPTIONS_EXP!$L:$L,C$27,CCMS_CIVIL_EXCEPTIONS_EXP!$AB:$AB)</f>
      </c>
      <c r="D36" s="386">
        <f>SUMIF(CCMS_CIVIL_EXCEPTIONS_EXP!$L:$L,D$27,CCMS_CIVIL_EXCEPTIONS_EXP!$AB:$AB)</f>
      </c>
      <c r="E36" s="386">
        <f>SUMIF(CCMS_CIVIL_EXCEPTIONS_EXP!$L:$L,E$27,CCMS_CIVIL_EXCEPTIONS_EXP!$AB:$AB)</f>
      </c>
      <c r="F36" s="386">
        <f>SUMIF(CCMS_CIVIL_EXCEPTIONS_EXP!$L:$L,F$27,CCMS_CIVIL_EXCEPTIONS_EXP!$AB:$AB)</f>
      </c>
      <c r="G36" s="386">
        <f>SUMIF(CCMS_CIVIL_EXCEPTIONS_EXP!$L:$L,G$27,CCMS_CIVIL_EXCEPTIONS_EXP!$AB:$AB)</f>
      </c>
      <c r="I36" s="386">
        <f>SUM(C36:H36)</f>
      </c>
    </row>
    <row r="37" ht="15.0" customHeight="true" hidden="false">
      <c r="B37" s="385" t="s">
        <v>93</v>
      </c>
      <c r="C37" s="386">
        <f>SUMIF(CCMS_CIVIL_EXCEPTIONS_EXP!$L:$L,C$27,CCMS_CIVIL_EXCEPTIONS_EXP!$AA:$AA)</f>
      </c>
      <c r="D37" s="386">
        <f>SUMIF(CCMS_CIVIL_EXCEPTIONS_EXP!$L:$L,D$27,CCMS_CIVIL_EXCEPTIONS_EXP!$AA:$AA)</f>
      </c>
      <c r="E37" s="386">
        <f>SUMIF(CCMS_CIVIL_EXCEPTIONS_EXP!$L:$L,E$27,CCMS_CIVIL_EXCEPTIONS_EXP!$AA:$AA)</f>
      </c>
      <c r="F37" s="386">
        <f>SUMIF(CCMS_CIVIL_EXCEPTIONS_EXP!$L:$L,F$27,CCMS_CIVIL_EXCEPTIONS_EXP!$AA:$AA)</f>
      </c>
      <c r="G37" s="386">
        <f>SUMIF(CCMS_CIVIL_EXCEPTIONS_EXP!$L:$L,G$27,CCMS_CIVIL_EXCEPTIONS_EXP!$AA:$AA)</f>
      </c>
      <c r="I37" s="386">
        <f>SUM(C37:H37)</f>
      </c>
    </row>
    <row r="38" ht="15.0" customHeight="true" hidden="false">
      <c r="B38" s="385" t="s">
        <v>94</v>
      </c>
      <c r="C38" s="386">
        <f>SUMIF(CCMS_CIVIL_EXCEPTIONS_EXP!$L:$L,C$27,CCMS_CIVIL_EXCEPTIONS_EXP!$Q:$Q)</f>
      </c>
      <c r="D38" s="386">
        <f>SUMIF(CCMS_CIVIL_EXCEPTIONS_EXP!$L:$L,D$27,CCMS_CIVIL_EXCEPTIONS_EXP!$Q:$Q)</f>
      </c>
      <c r="E38" s="386">
        <f>SUMIF(CCMS_CIVIL_EXCEPTIONS_EXP!$L:$L,E$27,CCMS_CIVIL_EXCEPTIONS_EXP!$Q:$Q)</f>
      </c>
      <c r="F38" s="386">
        <f>SUMIF(CCMS_CIVIL_EXCEPTIONS_EXP!$L:$L,F$27,CCMS_CIVIL_EXCEPTIONS_EXP!$Q:$Q)</f>
      </c>
      <c r="G38" s="386">
        <f>SUMIF(CCMS_CIVIL_EXCEPTIONS_EXP!$L:$L,G$27,CCMS_CIVIL_EXCEPTIONS_EXP!$Q:$Q)</f>
      </c>
      <c r="I38" s="386">
        <f>SUM(C38:H38)</f>
      </c>
    </row>
    <row r="39" ht="15.0" customHeight="true" hidden="false">
      <c r="B39" s="385" t="s">
        <v>95</v>
      </c>
      <c r="C39" s="386">
        <f>SUMIF(CCMS_CIVIL_EXCEPTIONS_EXP!$L:$L,C$27,CCMS_CIVIL_EXCEPTIONS_EXP!$P:$P)</f>
      </c>
      <c r="D39" s="386">
        <f>SUMIF(CCMS_CIVIL_EXCEPTIONS_EXP!$L:$L,D$27,CCMS_CIVIL_EXCEPTIONS_EXP!$P:$P)</f>
      </c>
      <c r="E39" s="386">
        <f>SUMIF(CCMS_CIVIL_EXCEPTIONS_EXP!$L:$L,E$27,CCMS_CIVIL_EXCEPTIONS_EXP!$P:$P)</f>
      </c>
      <c r="F39" s="386">
        <f>SUMIF(CCMS_CIVIL_EXCEPTIONS_EXP!$L:$L,F$27,CCMS_CIVIL_EXCEPTIONS_EXP!$P:$P)</f>
      </c>
      <c r="G39" s="386">
        <f>SUMIF(CCMS_CIVIL_EXCEPTIONS_EXP!$L:$L,G$27,CCMS_CIVIL_EXCEPTIONS_EXP!$P:$P)</f>
      </c>
      <c r="I39" s="386">
        <f>SUM(C39:H39)</f>
      </c>
    </row>
    <row r="41" ht="15.0" customHeight="true" hidden="false">
      <c r="B41" s="385" t="s">
        <v>59</v>
      </c>
      <c r="C41" s="386">
        <f>C28-C30-C31-C33-C35-C37-C39</f>
      </c>
      <c r="D41" s="386">
        <f>D28-D30-D31-D33-D35-D37-D39</f>
      </c>
      <c r="E41" s="386">
        <f>E28-E30-E31-E33-E35-E37-E39</f>
      </c>
      <c r="F41" s="386">
        <f>F28-F30-F31-F33-F35-F37-F39</f>
      </c>
      <c r="G41" s="386">
        <f>G28-G30-G31-G33-G35-G37-G39</f>
      </c>
      <c r="I41" s="386">
        <f>I28-I30-I31-I33-I35-I37-I39</f>
      </c>
    </row>
    <row r="43" ht="15.0" customHeight="true" hidden="false">
      <c r="B43" s="385" t="s">
        <v>75</v>
      </c>
      <c r="C43" s="386">
        <f>-C29-C32-C34-C36-C38</f>
      </c>
      <c r="D43" s="386">
        <f>-D29-D32-D34-D36-D38</f>
      </c>
      <c r="E43" s="386">
        <f>-E29-E32-E34-E36-E38</f>
      </c>
      <c r="F43" s="386">
        <f>-F29-F32-F34-F36-F38</f>
      </c>
      <c r="G43" s="386">
        <f>-G29-G32-G34-G36-G38</f>
      </c>
      <c r="I43" s="386">
        <f>-I29-I32-I34-I36-I38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pageSetUpPr autoPageBreaks="false"/>
  </sheetPr>
  <dimension ref="A3:H9"/>
  <sheetViews>
    <sheetView workbookViewId="0"/>
  </sheetViews>
  <sheetFormatPr defaultRowHeight="15.0"/>
  <cols>
    <col min="1" max="1" width="50.85546875" customWidth="true"/>
    <col min="2" max="2" width="14.7109375" customWidth="true"/>
    <col min="3" max="3" width="12.5703125" customWidth="true"/>
    <col min="4" max="4" width="12.5703125" customWidth="true"/>
    <col min="5" max="5" width="14.28515625" customWidth="true"/>
    <col min="6" max="6" width="17.0" customWidth="true"/>
    <col min="7" max="7" width="3.7109375" customWidth="true"/>
    <col min="8" max="8" width="14.28515625" customWidth="true"/>
  </cols>
  <sheetData>
    <row r="3" ht="15.0" customHeight="true" hidden="false">
      <c r="B3" s="387" t="s">
        <v>8</v>
      </c>
      <c r="C3" s="387" t="s">
        <v>9</v>
      </c>
      <c r="D3" s="387" t="s">
        <v>10</v>
      </c>
      <c r="E3" s="387" t="s">
        <v>11</v>
      </c>
      <c r="F3" s="387" t="s">
        <v>51</v>
      </c>
      <c r="H3" s="387" t="s">
        <v>5</v>
      </c>
    </row>
    <row r="4" ht="15.0" customHeight="true" hidden="false">
      <c r="A4" s="387" t="s">
        <v>115</v>
      </c>
      <c r="B4" s="387">
        <f>'Correctly linked Civil Cases'!#REF!</f>
      </c>
      <c r="C4" s="387">
        <f>'Correctly linked Civil Cases'!#REF!</f>
      </c>
      <c r="D4" s="387">
        <f>'Correctly linked Civil Cases'!#REF!</f>
      </c>
      <c r="E4" s="387">
        <f>'Correctly linked Civil Cases'!#REF!</f>
      </c>
      <c r="F4" s="387">
        <f>'Correctly linked Civil Cases'!#REF!</f>
      </c>
      <c r="H4" s="387">
        <f>SUM(B4:G4)</f>
      </c>
    </row>
    <row r="6" ht="15.0" customHeight="true" hidden="false">
      <c r="A6" s="387" t="s">
        <v>116</v>
      </c>
      <c r="B6" s="387">
        <f>SUMIF(CCMS_CASE_TOTALS_TRUE!$GV:$GV,"N",CCMS_CASE_TOTALS_TRUE!EY:EY)</f>
      </c>
      <c r="C6" s="387">
        <f>SUMIF(CCMS_CASE_TOTALS_TRUE!$GV:$GV,"N",CCMS_CASE_TOTALS_TRUE!FF:FF)</f>
      </c>
      <c r="D6" s="387">
        <f>SUMIF(CCMS_CASE_TOTALS_TRUE!$GV:$GV,"N",CCMS_CASE_TOTALS_TRUE!FM:FM)</f>
      </c>
      <c r="E6" s="387">
        <f>SUMIF(CCMS_CASE_TOTALS_TRUE!$GV:$GV,"N",CCMS_CASE_TOTALS_TRUE!FT:FT)</f>
      </c>
      <c r="F6" s="387">
        <f>SUMIF(CCMS_CASE_TOTALS_TRUE!$GV:$GV,"N",CCMS_CASE_TOTALS_TRUE!GA:GA)</f>
      </c>
      <c r="H6" s="387">
        <f>SUM(B6:G6)</f>
      </c>
    </row>
    <row r="7" ht="15.0" customHeight="true" hidden="false">
      <c r="A7" s="387" t="s">
        <v>117</v>
      </c>
      <c r="B7" s="387">
        <f>B4-B6</f>
      </c>
      <c r="C7" s="387">
        <f>C4-C6</f>
      </c>
      <c r="D7" s="387">
        <f>D4-D6</f>
      </c>
      <c r="E7" s="387">
        <f>E4-E6</f>
      </c>
      <c r="F7" s="387">
        <f>F4-F6</f>
      </c>
      <c r="H7" s="387">
        <f>SUM(B7:G7)</f>
      </c>
    </row>
    <row r="9" ht="15.0" customHeight="true" hidden="false">
      <c r="A9" s="387" t="s">
        <v>118</v>
      </c>
      <c r="B9" s="387">
        <f>COUNTIF(CCMS_CASE_TOTALS_TRUE!HB:HB,"&gt;0")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HV1"/>
  <sheetViews>
    <sheetView workbookViewId="0"/>
  </sheetViews>
  <sheetFormatPr defaultRowHeight="15.0"/>
  <cols>
    <col min="1" max="1" width="15.0" customWidth="true"/>
    <col min="2" max="2" width="15.328125" customWidth="true"/>
    <col min="3" max="3" width="15.5" customWidth="true"/>
    <col min="4" max="4" width="15.5" customWidth="true"/>
    <col min="5" max="5" width="22.66796875" customWidth="true"/>
    <col min="6" max="6" width="13.66796875" customWidth="true"/>
    <col min="7" max="7" width="9.66796875" customWidth="true"/>
    <col min="8" max="8" width="23.328125" customWidth="true"/>
    <col min="9" max="9" width="18.5" customWidth="true"/>
    <col min="10" max="10" width="15.66796875" customWidth="true"/>
    <col min="11" max="11" width="12.66796875" customWidth="true"/>
    <col min="12" max="12" width="9.5" customWidth="true"/>
    <col min="13" max="13" width="19.66796875" customWidth="true"/>
    <col min="14" max="14" width="13.328125" customWidth="true"/>
    <col min="15" max="15" width="9.828125" customWidth="true"/>
    <col min="16" max="16" width="13.66796875" customWidth="true"/>
    <col min="17" max="17" width="16.16796875" customWidth="true"/>
    <col min="18" max="18" width="12.66796875" customWidth="true"/>
    <col min="19" max="19" width="14.66796875" customWidth="true"/>
    <col min="20" max="20" width="20.16796875" customWidth="true"/>
    <col min="21" max="21" width="23.0" customWidth="true"/>
    <col min="22" max="22" width="19.0" customWidth="true"/>
    <col min="23" max="23" width="23.66796875" customWidth="true"/>
    <col min="24" max="24" width="24.5" customWidth="true"/>
    <col min="25" max="25" width="20.328125" customWidth="true"/>
    <col min="26" max="26" width="23.16796875" customWidth="true"/>
    <col min="27" max="27" width="19.16796875" customWidth="true"/>
    <col min="28" max="28" width="20.16796875" customWidth="true"/>
    <col min="29" max="29" width="23.0" customWidth="true"/>
    <col min="30" max="30" width="19.0" customWidth="true"/>
    <col min="31" max="31" width="20.16796875" customWidth="true"/>
    <col min="32" max="32" width="27.828125" customWidth="true"/>
    <col min="33" max="33" width="23.828125" customWidth="true"/>
    <col min="34" max="34" width="19.828125" customWidth="true"/>
    <col min="35" max="35" width="22.66796875" customWidth="true"/>
    <col min="36" max="36" width="18.66796875" customWidth="true"/>
    <col min="37" max="37" width="11.16796875" customWidth="true"/>
    <col min="38" max="38" width="16.828125" customWidth="true"/>
    <col min="39" max="39" width="19.66796875" customWidth="true"/>
    <col min="40" max="40" width="15.66796875" customWidth="true"/>
    <col min="41" max="41" width="20.328125" customWidth="true"/>
    <col min="42" max="42" width="21.16796875" customWidth="true"/>
    <col min="43" max="43" width="17.0" customWidth="true"/>
    <col min="44" max="44" width="19.66796875" customWidth="true"/>
    <col min="45" max="45" width="15.66796875" customWidth="true"/>
    <col min="46" max="46" width="16.828125" customWidth="true"/>
    <col min="47" max="47" width="19.66796875" customWidth="true"/>
    <col min="48" max="48" width="15.66796875" customWidth="true"/>
    <col min="49" max="49" width="16.828125" customWidth="true"/>
    <col min="50" max="50" width="24.5" customWidth="true"/>
    <col min="51" max="51" width="20.66796875" customWidth="true"/>
    <col min="52" max="52" width="16.66796875" customWidth="true"/>
    <col min="53" max="53" width="19.328125" customWidth="true"/>
    <col min="54" max="54" width="15.328125" customWidth="true"/>
    <col min="55" max="55" width="32.5" customWidth="true"/>
    <col min="56" max="56" width="33.828125" customWidth="true"/>
    <col min="57" max="57" width="30.5" customWidth="true"/>
    <col min="58" max="58" width="32.328125" customWidth="true"/>
    <col min="59" max="59" width="36.828125" customWidth="true"/>
    <col min="60" max="60" width="14.828125" customWidth="true"/>
    <col min="61" max="61" width="20.66796875" customWidth="true"/>
    <col min="62" max="62" width="23.328125" customWidth="true"/>
    <col min="63" max="63" width="19.328125" customWidth="true"/>
    <col min="64" max="64" width="24.0" customWidth="true"/>
    <col min="65" max="65" width="24.828125" customWidth="true"/>
    <col min="66" max="66" width="20.66796875" customWidth="true"/>
    <col min="67" max="67" width="23.5" customWidth="true"/>
    <col min="68" max="68" width="19.5" customWidth="true"/>
    <col min="69" max="69" width="20.66796875" customWidth="true"/>
    <col min="70" max="70" width="23.328125" customWidth="true"/>
    <col min="71" max="71" width="19.328125" customWidth="true"/>
    <col min="72" max="72" width="20.66796875" customWidth="true"/>
    <col min="73" max="73" width="28.16796875" customWidth="true"/>
    <col min="74" max="74" width="24.16796875" customWidth="true"/>
    <col min="75" max="75" width="20.16796875" customWidth="true"/>
    <col min="76" max="76" width="23.0" customWidth="true"/>
    <col min="77" max="77" width="19.0" customWidth="true"/>
    <col min="78" max="78" width="17.66796875" customWidth="true"/>
    <col min="79" max="79" width="23.16796875" customWidth="true"/>
    <col min="80" max="80" width="26.0" customWidth="true"/>
    <col min="81" max="81" width="22.0" customWidth="true"/>
    <col min="82" max="82" width="26.66796875" customWidth="true"/>
    <col min="83" max="83" width="27.5" customWidth="true"/>
    <col min="84" max="84" width="23.328125" customWidth="true"/>
    <col min="85" max="85" width="26.16796875" customWidth="true"/>
    <col min="86" max="86" width="22.16796875" customWidth="true"/>
    <col min="87" max="87" width="23.16796875" customWidth="true"/>
    <col min="88" max="88" width="26.0" customWidth="true"/>
    <col min="89" max="89" width="22.0" customWidth="true"/>
    <col min="90" max="90" width="23.16796875" customWidth="true"/>
    <col min="91" max="91" width="30.828125" customWidth="true"/>
    <col min="92" max="92" width="26.828125" customWidth="true"/>
    <col min="93" max="93" width="22.828125" customWidth="true"/>
    <col min="94" max="94" width="25.66796875" customWidth="true"/>
    <col min="95" max="95" width="21.66796875" customWidth="true"/>
    <col min="96" max="96" width="13.828125" customWidth="true"/>
    <col min="97" max="97" width="19.5" customWidth="true"/>
    <col min="98" max="98" width="22.328125" customWidth="true"/>
    <col min="99" max="99" width="18.328125" customWidth="true"/>
    <col min="100" max="100" width="23.0" customWidth="true"/>
    <col min="101" max="101" width="23.66796875" customWidth="true"/>
    <col min="102" max="102" width="19.66796875" customWidth="true"/>
    <col min="103" max="103" width="22.5" customWidth="true"/>
    <col min="104" max="104" width="18.5" customWidth="true"/>
    <col min="105" max="105" width="19.5" customWidth="true"/>
    <col min="106" max="106" width="22.328125" customWidth="true"/>
    <col min="107" max="107" width="18.328125" customWidth="true"/>
    <col min="108" max="108" width="19.5" customWidth="true"/>
    <col min="109" max="109" width="27.16796875" customWidth="true"/>
    <col min="110" max="110" width="23.16796875" customWidth="true"/>
    <col min="111" max="111" width="19.16796875" customWidth="true"/>
    <col min="112" max="112" width="22.0" customWidth="true"/>
    <col min="113" max="113" width="18.0" customWidth="true"/>
    <col min="114" max="114" width="23.5" customWidth="true"/>
    <col min="115" max="115" width="15.5" customWidth="true"/>
    <col min="116" max="116" width="19.5" customWidth="true"/>
    <col min="117" max="117" width="10.828125" customWidth="true"/>
    <col min="118" max="118" width="24.66796875" customWidth="true"/>
    <col min="119" max="119" width="23.5" customWidth="true"/>
    <col min="120" max="120" width="29.0" customWidth="true"/>
    <col min="121" max="121" width="23.5" customWidth="true"/>
    <col min="122" max="122" width="23.16796875" customWidth="true"/>
    <col min="123" max="123" width="23.66796875" customWidth="true"/>
    <col min="124" max="124" width="23.5" customWidth="true"/>
    <col min="125" max="125" width="21.328125" customWidth="true"/>
    <col min="126" max="126" width="20.0" customWidth="true"/>
    <col min="127" max="127" width="25.66796875" customWidth="true"/>
    <col min="128" max="128" width="20.0" customWidth="true"/>
    <col min="129" max="129" width="19.66796875" customWidth="true"/>
    <col min="130" max="130" width="20.16796875" customWidth="true"/>
    <col min="131" max="131" width="20.0" customWidth="true"/>
    <col min="132" max="132" width="25.0" customWidth="true"/>
    <col min="133" max="133" width="23.66796875" customWidth="true"/>
    <col min="134" max="134" width="29.328125" customWidth="true"/>
    <col min="135" max="135" width="23.66796875" customWidth="true"/>
    <col min="136" max="136" width="23.5" customWidth="true"/>
    <col min="137" max="137" width="23.828125" customWidth="true"/>
    <col min="138" max="138" width="23.66796875" customWidth="true"/>
    <col min="139" max="139" width="22.66796875" customWidth="true"/>
    <col min="140" max="140" width="21.66796875" customWidth="true"/>
    <col min="141" max="141" width="27.0" customWidth="true"/>
    <col min="142" max="142" width="21.66796875" customWidth="true"/>
    <col min="143" max="143" width="21.328125" customWidth="true"/>
    <col min="144" max="144" width="21.66796875" customWidth="true"/>
    <col min="145" max="145" width="21.66796875" customWidth="true"/>
    <col min="146" max="146" width="23.828125" customWidth="true"/>
    <col min="147" max="147" width="22.66796875" customWidth="true"/>
    <col min="148" max="148" width="28.16796875" customWidth="true"/>
    <col min="149" max="149" width="22.66796875" customWidth="true"/>
    <col min="150" max="150" width="22.5" customWidth="true"/>
    <col min="151" max="151" width="22.828125" customWidth="true"/>
    <col min="152" max="152" width="22.66796875" customWidth="true"/>
    <col min="153" max="153" width="26.66796875" customWidth="true"/>
    <col min="154" max="154" width="25.5" customWidth="true"/>
    <col min="155" max="155" width="30.828125" customWidth="true"/>
    <col min="156" max="156" width="25.5" customWidth="true"/>
    <col min="157" max="157" width="25.16796875" customWidth="true"/>
    <col min="158" max="158" width="25.66796875" customWidth="true"/>
    <col min="159" max="159" width="25.5" customWidth="true"/>
    <col min="160" max="160" width="23.16796875" customWidth="true"/>
    <col min="161" max="161" width="22.0" customWidth="true"/>
    <col min="162" max="162" width="27.5" customWidth="true"/>
    <col min="163" max="163" width="22.0" customWidth="true"/>
    <col min="164" max="164" width="21.66796875" customWidth="true"/>
    <col min="165" max="165" width="22.16796875" customWidth="true"/>
    <col min="166" max="166" width="22.0" customWidth="true"/>
    <col min="167" max="167" width="26.828125" customWidth="true"/>
    <col min="168" max="168" width="25.66796875" customWidth="true"/>
    <col min="169" max="169" width="31.16796875" customWidth="true"/>
    <col min="170" max="170" width="25.66796875" customWidth="true"/>
    <col min="171" max="171" width="25.5" customWidth="true"/>
    <col min="172" max="172" width="25.828125" customWidth="true"/>
    <col min="173" max="173" width="25.66796875" customWidth="true"/>
    <col min="174" max="174" width="24.66796875" customWidth="true"/>
    <col min="175" max="175" width="23.5" customWidth="true"/>
    <col min="176" max="176" width="29.0" customWidth="true"/>
    <col min="177" max="177" width="23.5" customWidth="true"/>
    <col min="178" max="178" width="23.16796875" customWidth="true"/>
    <col min="179" max="179" width="23.66796875" customWidth="true"/>
    <col min="180" max="180" width="23.5" customWidth="true"/>
    <col min="181" max="181" width="25.828125" customWidth="true"/>
    <col min="182" max="182" width="24.66796875" customWidth="true"/>
    <col min="183" max="183" width="30.16796875" customWidth="true"/>
    <col min="184" max="184" width="24.66796875" customWidth="true"/>
    <col min="185" max="185" width="24.328125" customWidth="true"/>
    <col min="186" max="186" width="24.828125" customWidth="true"/>
    <col min="187" max="187" width="24.66796875" customWidth="true"/>
    <col min="188" max="188" width="23.16796875" customWidth="true"/>
    <col min="189" max="189" width="19.0" customWidth="true"/>
    <col min="190" max="190" width="15.66796875" customWidth="true"/>
    <col min="191" max="191" width="19.328125" customWidth="true"/>
    <col min="192" max="192" width="17.16796875" customWidth="true"/>
    <col min="193" max="193" width="18.328125" customWidth="true"/>
    <col min="194" max="194" width="23.66796875" customWidth="true"/>
    <col min="195" max="195" width="20.16796875" customWidth="true"/>
    <col min="196" max="196" width="23.828125" customWidth="true"/>
    <col min="197" max="197" width="21.66796875" customWidth="true"/>
    <col min="198" max="198" width="22.828125" customWidth="true"/>
    <col min="199" max="199" width="19.66796875" customWidth="true"/>
    <col min="200" max="200" width="25.66796875" customWidth="true"/>
    <col min="201" max="201" width="22.16796875" customWidth="true"/>
    <col min="202" max="202" width="25.828125" customWidth="true"/>
    <col min="203" max="203" width="23.66796875" customWidth="true"/>
    <col min="204" max="204" width="24.828125" customWidth="true"/>
    <col min="205" max="205" width="9.66796875" customWidth="true"/>
    <col min="206" max="206" width="22.0" customWidth="true"/>
    <col min="207" max="207" width="18.66796875" customWidth="true"/>
    <col min="208" max="208" width="22.328125" customWidth="true"/>
    <col min="209" max="209" width="20.0" customWidth="true"/>
    <col min="210" max="210" width="21.328125" customWidth="true"/>
    <col min="211" max="211" width="21.66796875" customWidth="true"/>
    <col min="212" max="212" width="15.0" customWidth="true"/>
    <col min="213" max="213" width="25.16796875" customWidth="true"/>
    <col min="214" max="214" width="21.66796875" customWidth="true"/>
    <col min="215" max="215" width="25.5" customWidth="true"/>
    <col min="216" max="216" width="23.16796875" customWidth="true"/>
    <col min="217" max="217" width="24.328125" customWidth="true"/>
    <col min="218" max="218" width="23.16796875" customWidth="true"/>
    <col min="219" max="219" width="32.66796875" customWidth="true"/>
    <col min="220" max="220" width="19.66796875" customWidth="true"/>
    <col min="221" max="221" width="29.5" customWidth="true"/>
    <col min="222" max="222" width="23.5" customWidth="true"/>
    <col min="223" max="223" width="33.16796875" customWidth="true"/>
    <col min="224" max="224" width="21.328125" customWidth="true"/>
    <col min="225" max="225" width="30.828125" customWidth="true"/>
    <col min="226" max="226" width="22.5" customWidth="true"/>
    <col min="227" max="227" width="32.0" customWidth="true"/>
    <col min="228" max="228" width="14.66796875" customWidth="true"/>
    <col min="229" max="229" width="18.66796875" customWidth="true"/>
    <col min="230" max="230" width="25.328125" customWidth="true"/>
  </cols>
  <sheetData>
    <row r="1">
      <c r="A1" s="16" t="inlineStr">
        <is>
          <t>PROCESSING_DATE</t>
        </is>
      </c>
      <c r="B1" s="0" t="inlineStr">
        <is>
          <t>MIGRATED_CASE</t>
        </is>
      </c>
      <c r="C1" s="0" t="inlineStr">
        <is>
          <t>MIGRATED_FLAG</t>
        </is>
      </c>
      <c r="D1" s="20" t="inlineStr">
        <is>
          <t>DATE_MIGRATED</t>
        </is>
      </c>
      <c r="E1" s="0" t="inlineStr">
        <is>
          <t>CASE_REFERENCE</t>
        </is>
      </c>
      <c r="F1" s="0" t="inlineStr">
        <is>
          <t>CCMS_CASE_ID</t>
        </is>
      </c>
      <c r="G1" s="0" t="inlineStr">
        <is>
          <t>FULL_CASE</t>
        </is>
      </c>
      <c r="H1" s="0" t="inlineStr">
        <is>
          <t>CIS_CASE_NUMBER</t>
        </is>
      </c>
      <c r="I1" s="0" t="inlineStr">
        <is>
          <t>DISCH_REV_REASON</t>
        </is>
      </c>
      <c r="J1" s="27" t="inlineStr">
        <is>
          <t>DISCH_REV_DATE</t>
        </is>
      </c>
      <c r="K1" s="0" t="inlineStr">
        <is>
          <t>AGE_IN_DAYS</t>
        </is>
      </c>
      <c r="L1" s="0" t="inlineStr">
        <is>
          <t>CAT_CODE</t>
        </is>
      </c>
      <c r="M1" s="0" t="inlineStr">
        <is>
          <t>COSTS_AWARD_DATE</t>
        </is>
      </c>
      <c r="N1" s="32" t="inlineStr">
        <is>
          <t>CONTRIBS_SEC</t>
        </is>
      </c>
      <c r="O1" s="0" t="inlineStr">
        <is>
          <t>COSTS_SEC</t>
        </is>
      </c>
      <c r="P1" s="0" t="inlineStr">
        <is>
          <t>DAMAGES_SEC</t>
        </is>
      </c>
      <c r="Q1" s="0" t="inlineStr">
        <is>
          <t>REVOCATION_SEC</t>
        </is>
      </c>
      <c r="R1" s="0" t="inlineStr">
        <is>
          <t>STATCHG_SEC</t>
        </is>
      </c>
      <c r="S1" s="0" t="inlineStr">
        <is>
          <t>CONTRIBS_DEBT</t>
        </is>
      </c>
      <c r="T1" s="0" t="inlineStr">
        <is>
          <t>CONTRIBS_ADJ_TOTAL</t>
        </is>
      </c>
      <c r="U1" s="0" t="inlineStr">
        <is>
          <t>CONTRIBS_ADJ_CHARGES</t>
        </is>
      </c>
      <c r="V1" s="0" t="inlineStr">
        <is>
          <t>CONTRIBS_ADJ_DEBT</t>
        </is>
      </c>
      <c r="W1" s="0" t="inlineStr">
        <is>
          <t>CONTRIBS_ADJ_DEBT_GRE</t>
        </is>
      </c>
      <c r="X1" s="0" t="inlineStr">
        <is>
          <t>CONTRIBS_ADJ_DEBT_LOW</t>
        </is>
      </c>
      <c r="Y1" s="0" t="inlineStr">
        <is>
          <t>CONTRIBS_WO_TOTAL</t>
        </is>
      </c>
      <c r="Z1" s="0" t="inlineStr">
        <is>
          <t>CONTRIBS_WO_CHARGES</t>
        </is>
      </c>
      <c r="AA1" s="0" t="inlineStr">
        <is>
          <t>CONTRIBS_WO_DEBT</t>
        </is>
      </c>
      <c r="AB1" s="0" t="inlineStr">
        <is>
          <t>CONTRIBS_WD_TOTAL</t>
        </is>
      </c>
      <c r="AC1" s="0" t="inlineStr">
        <is>
          <t>CONTRIBS_WD_CHARGES</t>
        </is>
      </c>
      <c r="AD1" s="0" t="inlineStr">
        <is>
          <t>CONTRIBS_WD_DEBT</t>
        </is>
      </c>
      <c r="AE1" s="0" t="inlineStr">
        <is>
          <t>CONTRIBS_REC_TOTAL</t>
        </is>
      </c>
      <c r="AF1" s="0" t="inlineStr">
        <is>
          <t>CONTRIBS_RECEIPTS_CHARGES</t>
        </is>
      </c>
      <c r="AG1" s="0" t="inlineStr">
        <is>
          <t>CONTRIBS_RECEIPTS_DEBT</t>
        </is>
      </c>
      <c r="AH1" s="0" t="inlineStr">
        <is>
          <t>CONTRIBS_CM_TOTAL</t>
        </is>
      </c>
      <c r="AI1" s="0" t="inlineStr">
        <is>
          <t>CONTRIBS_CM_CHARGES</t>
        </is>
      </c>
      <c r="AJ1" s="0" t="inlineStr">
        <is>
          <t>CONTRIBS_CM_DEBT</t>
        </is>
      </c>
      <c r="AK1" s="0" t="inlineStr">
        <is>
          <t>COSTS_DEBT</t>
        </is>
      </c>
      <c r="AL1" s="0" t="inlineStr">
        <is>
          <t>COSTS_ADJ_TOTAL</t>
        </is>
      </c>
      <c r="AM1" s="0" t="inlineStr">
        <is>
          <t>COSTS_ADJ_CHARGES</t>
        </is>
      </c>
      <c r="AN1" s="0" t="inlineStr">
        <is>
          <t>COSTS_ADJ_DEBT</t>
        </is>
      </c>
      <c r="AO1" s="0" t="inlineStr">
        <is>
          <t>COSTS_ADJ_DEBT_GRE</t>
        </is>
      </c>
      <c r="AP1" s="0" t="inlineStr">
        <is>
          <t>COSTS_ADJ_DEBT_LOW</t>
        </is>
      </c>
      <c r="AQ1" s="0" t="inlineStr">
        <is>
          <t>COSTS_WO_TOTAL</t>
        </is>
      </c>
      <c r="AR1" s="0" t="inlineStr">
        <is>
          <t>COSTS_WO_CHARGES</t>
        </is>
      </c>
      <c r="AS1" s="0" t="inlineStr">
        <is>
          <t>COSTS_WO_DEBT</t>
        </is>
      </c>
      <c r="AT1" s="0" t="inlineStr">
        <is>
          <t>COSTS_WD_TOTAL</t>
        </is>
      </c>
      <c r="AU1" s="0" t="inlineStr">
        <is>
          <t>COSTS_WD_CHARGES</t>
        </is>
      </c>
      <c r="AV1" s="0" t="inlineStr">
        <is>
          <t>COSTS_WD_DEBT</t>
        </is>
      </c>
      <c r="AW1" s="0" t="inlineStr">
        <is>
          <t>COSTS_REC_TOTAL</t>
        </is>
      </c>
      <c r="AX1" s="0" t="inlineStr">
        <is>
          <t>COSTS_RECEIPTS_CHARGES</t>
        </is>
      </c>
      <c r="AY1" s="0" t="inlineStr">
        <is>
          <t>COSTS_RECEIPTS_DEBT</t>
        </is>
      </c>
      <c r="AZ1" s="0" t="inlineStr">
        <is>
          <t>LAST_TIME_I_CARED</t>
        </is>
      </c>
      <c r="BA1" s="0" t="inlineStr">
        <is>
          <t>COSTS_CM_CHARGES</t>
        </is>
      </c>
      <c r="BB1" s="0" t="inlineStr">
        <is>
          <t>COSTS_CM_DEBT</t>
        </is>
      </c>
      <c r="BC1" s="0" t="inlineStr">
        <is>
          <t>AWARD_AMOUNT_OR_VALUATION</t>
        </is>
      </c>
      <c r="BD1" s="0" t="inlineStr">
        <is>
          <t>COST_AWARD_PRECERT_LEGAL_HELP</t>
        </is>
      </c>
      <c r="BE1" s="0" t="inlineStr">
        <is>
          <t>COST_AWARD_PRECERT_PRIVATE</t>
        </is>
      </c>
      <c r="BF1" s="0" t="inlineStr">
        <is>
          <t>COST_AWARD_LSC_RATE_AMOUNT</t>
        </is>
      </c>
      <c r="BG1" s="0" t="inlineStr">
        <is>
          <t>COST_AWARD_MARKET_RATE_AMOUNT</t>
        </is>
      </c>
      <c r="BH1" s="0" t="inlineStr">
        <is>
          <t>DAMAGES_DEBT</t>
        </is>
      </c>
      <c r="BI1" s="0" t="inlineStr">
        <is>
          <t>DAMAGES_ADJ_TOTAL</t>
        </is>
      </c>
      <c r="BJ1" s="0" t="inlineStr">
        <is>
          <t>DAMAGES_ADJ_CHARGES</t>
        </is>
      </c>
      <c r="BK1" s="0" t="inlineStr">
        <is>
          <t>DAMAGES_ADJ_DEBT</t>
        </is>
      </c>
      <c r="BL1" s="0" t="inlineStr">
        <is>
          <t>DAMAGES_ADJ_DEBT_GRE</t>
        </is>
      </c>
      <c r="BM1" s="0" t="inlineStr">
        <is>
          <t>DAMAGES_ADJ_DEBT_LOW</t>
        </is>
      </c>
      <c r="BN1" s="0" t="inlineStr">
        <is>
          <t>DAMAGES_WO_TOTAL</t>
        </is>
      </c>
      <c r="BO1" s="0" t="inlineStr">
        <is>
          <t>DAMAGES_WO_CHARGES</t>
        </is>
      </c>
      <c r="BP1" s="0" t="inlineStr">
        <is>
          <t>DAMAGES_WO_DEBT</t>
        </is>
      </c>
      <c r="BQ1" s="0" t="inlineStr">
        <is>
          <t>DAMAGES_WD_TOTAL</t>
        </is>
      </c>
      <c r="BR1" s="0" t="inlineStr">
        <is>
          <t>DAMAGES_WD_CHARGES</t>
        </is>
      </c>
      <c r="BS1" s="0" t="inlineStr">
        <is>
          <t>DAMAGES_WD_DEBT</t>
        </is>
      </c>
      <c r="BT1" s="0" t="inlineStr">
        <is>
          <t>DAMAGES_REC_TOTAL</t>
        </is>
      </c>
      <c r="BU1" s="0" t="inlineStr">
        <is>
          <t>DAMAGES_RECEIPTS_CHARGES</t>
        </is>
      </c>
      <c r="BV1" s="0" t="inlineStr">
        <is>
          <t>DAMAGES_RECEIPTS_DEBT</t>
        </is>
      </c>
      <c r="BW1" s="0" t="inlineStr">
        <is>
          <t>DAMAGES_CM_TOTAL</t>
        </is>
      </c>
      <c r="BX1" s="0" t="inlineStr">
        <is>
          <t>DAMAGES_CM_CHARGES</t>
        </is>
      </c>
      <c r="BY1" s="0" t="inlineStr">
        <is>
          <t>DAMAGES_CM_DEBT</t>
        </is>
      </c>
      <c r="BZ1" s="0" t="inlineStr">
        <is>
          <t>REVOCATION_DEBT</t>
        </is>
      </c>
      <c r="CA1" s="0" t="inlineStr">
        <is>
          <t>REVOCATION_ADJ_TOTAL</t>
        </is>
      </c>
      <c r="CB1" s="0" t="inlineStr">
        <is>
          <t>REVOCATION_ADJ_CHARGES</t>
        </is>
      </c>
      <c r="CC1" s="0" t="inlineStr">
        <is>
          <t>REVOCATION_ADJ_DEBT</t>
        </is>
      </c>
      <c r="CD1" s="0" t="inlineStr">
        <is>
          <t>REVOCATION_ADJ_DEBT_GRE</t>
        </is>
      </c>
      <c r="CE1" s="0" t="inlineStr">
        <is>
          <t>REVOCATION_ADJ_DEBT_LOW</t>
        </is>
      </c>
      <c r="CF1" s="0" t="inlineStr">
        <is>
          <t>REVOCATION_WO_TOTAL</t>
        </is>
      </c>
      <c r="CG1" s="0" t="inlineStr">
        <is>
          <t>REVOCATION_WO_CHARGES</t>
        </is>
      </c>
      <c r="CH1" s="0" t="inlineStr">
        <is>
          <t>REVOCATION_WO_DEBT</t>
        </is>
      </c>
      <c r="CI1" s="0" t="inlineStr">
        <is>
          <t>REVOCATION_WD_TOTAL</t>
        </is>
      </c>
      <c r="CJ1" s="0" t="inlineStr">
        <is>
          <t>REVOCATION_WD_CHARGES</t>
        </is>
      </c>
      <c r="CK1" s="0" t="inlineStr">
        <is>
          <t>REVOCATION_WD_DEBT</t>
        </is>
      </c>
      <c r="CL1" s="0" t="inlineStr">
        <is>
          <t>REVOCATION_REC_TOTAL</t>
        </is>
      </c>
      <c r="CM1" s="0" t="inlineStr">
        <is>
          <t>REVOCATION_RECEIPTS_CHARGES</t>
        </is>
      </c>
      <c r="CN1" s="0" t="inlineStr">
        <is>
          <t>REVOCATION_RECEIPTS_DEBT</t>
        </is>
      </c>
      <c r="CO1" s="0" t="inlineStr">
        <is>
          <t>REVOCATION_CM_TOTAL</t>
        </is>
      </c>
      <c r="CP1" s="0" t="inlineStr">
        <is>
          <t>REVOCATION_CM_CHARGES</t>
        </is>
      </c>
      <c r="CQ1" s="0" t="inlineStr">
        <is>
          <t>REVOCATION_CM_DEBT</t>
        </is>
      </c>
      <c r="CR1" s="0" t="inlineStr">
        <is>
          <t>STATCHG_DEBT</t>
        </is>
      </c>
      <c r="CS1" s="0" t="inlineStr">
        <is>
          <t>STATCHG_ADJ_TOTAL</t>
        </is>
      </c>
      <c r="CT1" s="0" t="inlineStr">
        <is>
          <t>STATCHG_ADJ_CHARGES</t>
        </is>
      </c>
      <c r="CU1" s="0" t="inlineStr">
        <is>
          <t>STATCHG_ADJ_DEBT</t>
        </is>
      </c>
      <c r="CV1" s="0" t="inlineStr">
        <is>
          <t>STATCHG_ADJ_DEBT_GRE</t>
        </is>
      </c>
      <c r="CW1" s="0" t="inlineStr">
        <is>
          <t>STATCHG_ADJ_DEBT_LOW</t>
        </is>
      </c>
      <c r="CX1" s="0" t="inlineStr">
        <is>
          <t>STATCHG_WO_TOTAL</t>
        </is>
      </c>
      <c r="CY1" s="0" t="inlineStr">
        <is>
          <t>STATCHG_WO_CHARGES</t>
        </is>
      </c>
      <c r="CZ1" s="0" t="inlineStr">
        <is>
          <t>STATCHG_WO_DEBT</t>
        </is>
      </c>
      <c r="DA1" s="0" t="inlineStr">
        <is>
          <t>STATCHG_WD_TOTAL</t>
        </is>
      </c>
      <c r="DB1" s="0" t="inlineStr">
        <is>
          <t>STATCHG_WD_CHARGES</t>
        </is>
      </c>
      <c r="DC1" s="0" t="inlineStr">
        <is>
          <t>STATCHG_WD_DEBT</t>
        </is>
      </c>
      <c r="DD1" s="0" t="inlineStr">
        <is>
          <t>STATCHG_REC_TOTAL</t>
        </is>
      </c>
      <c r="DE1" s="0" t="inlineStr">
        <is>
          <t>STATCHG_RECEIPTS_CHARGES</t>
        </is>
      </c>
      <c r="DF1" s="0" t="inlineStr">
        <is>
          <t>STATCHG_RECEIPTS_DEBT</t>
        </is>
      </c>
      <c r="DG1" s="0" t="inlineStr">
        <is>
          <t>STATCHG_CM_TOTAL</t>
        </is>
      </c>
      <c r="DH1" s="0" t="inlineStr">
        <is>
          <t>STATCHG_CM_CHARGES</t>
        </is>
      </c>
      <c r="DI1" s="0" t="inlineStr">
        <is>
          <t>STATCHG_CM_DEBT</t>
        </is>
      </c>
      <c r="DJ1" s="133" t="inlineStr">
        <is>
          <t>STATCHG_LAST_INT_DATE</t>
        </is>
      </c>
      <c r="DK1" s="135" t="inlineStr">
        <is>
          <t>FINAL_BILL_DATE</t>
        </is>
      </c>
      <c r="DL1" s="0" t="inlineStr">
        <is>
          <t>TOTAL_RECOVERABLE</t>
        </is>
      </c>
      <c r="DM1" s="0" t="inlineStr">
        <is>
          <t>LEGAL_HELP</t>
        </is>
      </c>
      <c r="DN1" s="0" t="inlineStr">
        <is>
          <t>LAA_CONTRIBS_PRIN_DEBT</t>
        </is>
      </c>
      <c r="DO1" s="0" t="inlineStr">
        <is>
          <t>LAA_CONTRIBS_PRIN_ADJ</t>
        </is>
      </c>
      <c r="DP1" s="0" t="inlineStr">
        <is>
          <t>LAA_CONTRIBS_PRIN_ADJ_LOW</t>
        </is>
      </c>
      <c r="DQ1" s="0" t="inlineStr">
        <is>
          <t>LAA_CONTRIBS_PRIN_REC</t>
        </is>
      </c>
      <c r="DR1" s="0" t="inlineStr">
        <is>
          <t>LAA_CONTRIBS_PRIN_CM</t>
        </is>
      </c>
      <c r="DS1" s="0" t="inlineStr">
        <is>
          <t>LAA_CONTRIBS_PRIN_WO</t>
        </is>
      </c>
      <c r="DT1" s="0" t="inlineStr">
        <is>
          <t>LAA_CONTRIBS_PRIN_WD</t>
        </is>
      </c>
      <c r="DU1" s="0" t="inlineStr">
        <is>
          <t>LAA_COSTS_PRIN_DEBT</t>
        </is>
      </c>
      <c r="DV1" s="0" t="inlineStr">
        <is>
          <t>LAA_COSTS_PRIN_ADJ</t>
        </is>
      </c>
      <c r="DW1" s="0" t="inlineStr">
        <is>
          <t>LAA_COSTS_PRIN_ADJ_LOW</t>
        </is>
      </c>
      <c r="DX1" s="0" t="inlineStr">
        <is>
          <t>LAA_COSTS_PRIN_REC</t>
        </is>
      </c>
      <c r="DY1" s="0" t="inlineStr">
        <is>
          <t>LAA_COSTS_PRIN_CM</t>
        </is>
      </c>
      <c r="DZ1" s="0" t="inlineStr">
        <is>
          <t>LAA_COSTS_PRIN_WO</t>
        </is>
      </c>
      <c r="EA1" s="0" t="inlineStr">
        <is>
          <t>LAA_COSTS_PRIN_WD</t>
        </is>
      </c>
      <c r="EB1" s="0" t="inlineStr">
        <is>
          <t>LAA_DAMAGES_PRIN_DEBT</t>
        </is>
      </c>
      <c r="EC1" s="0" t="inlineStr">
        <is>
          <t>LAA_DAMAGES_PRIN_ADJ</t>
        </is>
      </c>
      <c r="ED1" s="0" t="inlineStr">
        <is>
          <t>LAA_DAMAGES_PRIN_ADJ_LOW</t>
        </is>
      </c>
      <c r="EE1" s="0" t="inlineStr">
        <is>
          <t>LAA_DAMAGES_PRIN_REC</t>
        </is>
      </c>
      <c r="EF1" s="0" t="inlineStr">
        <is>
          <t>LAA_DAMAGES_PRIN_CM</t>
        </is>
      </c>
      <c r="EG1" s="0" t="inlineStr">
        <is>
          <t>LAA_DAMAGES_PRIN_WO</t>
        </is>
      </c>
      <c r="EH1" s="0" t="inlineStr">
        <is>
          <t>LAA_DAMAGES_PRIN_WD</t>
        </is>
      </c>
      <c r="EI1" s="0" t="inlineStr">
        <is>
          <t>LAA_REVOKE_PRIN_DEBT</t>
        </is>
      </c>
      <c r="EJ1" s="0" t="inlineStr">
        <is>
          <t>LAA_REVOKE_PRIN_ADJ</t>
        </is>
      </c>
      <c r="EK1" s="0" t="inlineStr">
        <is>
          <t>LAA_REVOKE_PRIN_ADJ_LOW</t>
        </is>
      </c>
      <c r="EL1" s="0" t="inlineStr">
        <is>
          <t>LAA_REVOKE_PRIN_REC</t>
        </is>
      </c>
      <c r="EM1" s="0" t="inlineStr">
        <is>
          <t>LAA_REVOKE_PRIN_CM</t>
        </is>
      </c>
      <c r="EN1" s="0" t="inlineStr">
        <is>
          <t>LAA_REVOKE_PRIN_WO</t>
        </is>
      </c>
      <c r="EO1" s="0" t="inlineStr">
        <is>
          <t>LAA_REVOKE_PRIN_WD</t>
        </is>
      </c>
      <c r="EP1" s="0" t="inlineStr">
        <is>
          <t>LAA_STATCHG_PRIN_DEBT</t>
        </is>
      </c>
      <c r="EQ1" s="0" t="inlineStr">
        <is>
          <t>LAA_STATCHG_PRIN_ADJ</t>
        </is>
      </c>
      <c r="ER1" s="0" t="inlineStr">
        <is>
          <t>LAA_STATCHG_PRIN_ADJ_LOW</t>
        </is>
      </c>
      <c r="ES1" s="0" t="inlineStr">
        <is>
          <t>LAA_STATCHG_PRIN_REC</t>
        </is>
      </c>
      <c r="ET1" s="0" t="inlineStr">
        <is>
          <t>LAA_STATCHG_PRIN_CM</t>
        </is>
      </c>
      <c r="EU1" s="0" t="inlineStr">
        <is>
          <t>LAA_STATCHG_PRIN_WO</t>
        </is>
      </c>
      <c r="EV1" s="0" t="inlineStr">
        <is>
          <t>LAA_STATCHG_PRIN_WD</t>
        </is>
      </c>
      <c r="EW1" s="0" t="inlineStr">
        <is>
          <t>THIRD_CONTRIBS_PRIN_DEBT</t>
        </is>
      </c>
      <c r="EX1" s="0" t="inlineStr">
        <is>
          <t>THIRD_CONTRIBS_PRIN_ADJ</t>
        </is>
      </c>
      <c r="EY1" s="0" t="inlineStr">
        <is>
          <t>THIRD_CONTRIBS_PRIN_ADJ_LOW</t>
        </is>
      </c>
      <c r="EZ1" s="0" t="inlineStr">
        <is>
          <t>THIRD_CONTRIBS_PRIN_REC</t>
        </is>
      </c>
      <c r="FA1" s="0" t="inlineStr">
        <is>
          <t>THIRD_CONTRIBS_PRIN_CM</t>
        </is>
      </c>
      <c r="FB1" s="0" t="inlineStr">
        <is>
          <t>THIRD_CONTRIBS_PRIN_WO</t>
        </is>
      </c>
      <c r="FC1" s="0" t="inlineStr">
        <is>
          <t>THIRD_CONTRIBS_PRIN_WD</t>
        </is>
      </c>
      <c r="FD1" s="0" t="inlineStr">
        <is>
          <t>THIRD_COSTS_PRIN_DEBT</t>
        </is>
      </c>
      <c r="FE1" s="0" t="inlineStr">
        <is>
          <t>THIRD_COSTS_PRIN_ADJ</t>
        </is>
      </c>
      <c r="FF1" s="0" t="inlineStr">
        <is>
          <t>THIRD_COSTS_PRIN_ADJ_LOW</t>
        </is>
      </c>
      <c r="FG1" s="0" t="inlineStr">
        <is>
          <t>THIRD_COSTS_PRIN_REC</t>
        </is>
      </c>
      <c r="FH1" s="0" t="inlineStr">
        <is>
          <t>THIRD_COSTS_PRIN_CM</t>
        </is>
      </c>
      <c r="FI1" s="0" t="inlineStr">
        <is>
          <t>THIRD_COSTS_PRIN_WO</t>
        </is>
      </c>
      <c r="FJ1" s="0" t="inlineStr">
        <is>
          <t>THIRD_COSTS_PRIN_WD</t>
        </is>
      </c>
      <c r="FK1" s="0" t="inlineStr">
        <is>
          <t>THIRD_DAMAGES_PRIN_DEBT</t>
        </is>
      </c>
      <c r="FL1" s="0" t="inlineStr">
        <is>
          <t>THIRD_DAMAGES_PRIN_ADJ</t>
        </is>
      </c>
      <c r="FM1" s="0" t="inlineStr">
        <is>
          <t>THIRD_DAMAGES_PRIN_ADJ_LOW</t>
        </is>
      </c>
      <c r="FN1" s="0" t="inlineStr">
        <is>
          <t>THIRD_DAMAGES_PRIN_REC</t>
        </is>
      </c>
      <c r="FO1" s="0" t="inlineStr">
        <is>
          <t>THIRD_DAMAGES_PRIN_CM</t>
        </is>
      </c>
      <c r="FP1" s="0" t="inlineStr">
        <is>
          <t>THIRD_DAMAGES_PRIN_WO</t>
        </is>
      </c>
      <c r="FQ1" s="0" t="inlineStr">
        <is>
          <t>THIRD_DAMAGES_PRIN_WD</t>
        </is>
      </c>
      <c r="FR1" s="0" t="inlineStr">
        <is>
          <t>THIRD_REVOKE_PRIN_DEBT</t>
        </is>
      </c>
      <c r="FS1" s="0" t="inlineStr">
        <is>
          <t>THIRD_REVOKE_PRIN_ADJ</t>
        </is>
      </c>
      <c r="FT1" s="0" t="inlineStr">
        <is>
          <t>THIRD_REVOKE_PRIN_ADJ_LOW</t>
        </is>
      </c>
      <c r="FU1" s="0" t="inlineStr">
        <is>
          <t>THIRD_REVOKE_PRIN_REC</t>
        </is>
      </c>
      <c r="FV1" s="0" t="inlineStr">
        <is>
          <t>THIRD_REVOKE_PRIN_CM</t>
        </is>
      </c>
      <c r="FW1" s="0" t="inlineStr">
        <is>
          <t>THIRD_REVOKE_PRIN_WO</t>
        </is>
      </c>
      <c r="FX1" s="0" t="inlineStr">
        <is>
          <t>THIRD_REVOKE_PRIN_WD</t>
        </is>
      </c>
      <c r="FY1" s="0" t="inlineStr">
        <is>
          <t>THIRD_STATCHG_PRIN_DEBT</t>
        </is>
      </c>
      <c r="FZ1" s="0" t="inlineStr">
        <is>
          <t>THIRD_STATCHG_PRIN_ADJ</t>
        </is>
      </c>
      <c r="GA1" s="0" t="inlineStr">
        <is>
          <t>THIRD_STATCHG_PRIN_ADJ_LOW</t>
        </is>
      </c>
      <c r="GB1" s="0" t="inlineStr">
        <is>
          <t>THIRD_STATCHG_PRIN_REC</t>
        </is>
      </c>
      <c r="GC1" s="0" t="inlineStr">
        <is>
          <t>THIRD_STATCHG_PRIN_CM</t>
        </is>
      </c>
      <c r="GD1" s="0" t="inlineStr">
        <is>
          <t>THIRD_STATCHG_PRIN_WO</t>
        </is>
      </c>
      <c r="GE1" s="0" t="inlineStr">
        <is>
          <t>THIRD_STATCHG_PRIN_WD</t>
        </is>
      </c>
      <c r="GF1" s="0" t="inlineStr">
        <is>
          <t>LAA_SIMPLE_REMAINDER</t>
        </is>
      </c>
      <c r="GG1" s="0" t="inlineStr">
        <is>
          <t>CONTRIBS_DEBT_BAL</t>
        </is>
      </c>
      <c r="GH1" s="0" t="inlineStr">
        <is>
          <t>COSTS_DEBT_BAL</t>
        </is>
      </c>
      <c r="GI1" s="0" t="inlineStr">
        <is>
          <t>DAMAGES_DEBT_BAL</t>
        </is>
      </c>
      <c r="GJ1" s="0" t="inlineStr">
        <is>
          <t>REVOKE_DEBT_BAL</t>
        </is>
      </c>
      <c r="GK1" s="0" t="inlineStr">
        <is>
          <t>STATCHG_DEBT_BAL</t>
        </is>
      </c>
      <c r="GL1" s="0" t="inlineStr">
        <is>
          <t>LAA_CONTRIBS_DEBT_BAL</t>
        </is>
      </c>
      <c r="GM1" s="0" t="inlineStr">
        <is>
          <t>LAA_COSTS_DEBT_BAL</t>
        </is>
      </c>
      <c r="GN1" s="0" t="inlineStr">
        <is>
          <t>LAA_DAMAGES_DEBT_BAL</t>
        </is>
      </c>
      <c r="GO1" s="0" t="inlineStr">
        <is>
          <t>LAA_REVOKE_DEBT_BAL</t>
        </is>
      </c>
      <c r="GP1" s="0" t="inlineStr">
        <is>
          <t>LAA_STATCHG_DEBT_BAL</t>
        </is>
      </c>
      <c r="GQ1" s="0" t="inlineStr">
        <is>
          <t>LAA_UNAL_DEBT_BAL</t>
        </is>
      </c>
      <c r="GR1" s="0" t="inlineStr">
        <is>
          <t>THIRD_CONTRIBS_DEBT_BAL</t>
        </is>
      </c>
      <c r="GS1" s="0" t="inlineStr">
        <is>
          <t>THIRD_COSTS_DEBT_BAL</t>
        </is>
      </c>
      <c r="GT1" s="0" t="inlineStr">
        <is>
          <t>THIRD_DAMAGES_DEBT_BAL</t>
        </is>
      </c>
      <c r="GU1" s="0" t="inlineStr">
        <is>
          <t>THIRD_REVOKE_DEBT_BAL</t>
        </is>
      </c>
      <c r="GV1" s="0" t="inlineStr">
        <is>
          <t>THRID_STATCHG_DEBT_BAL</t>
        </is>
      </c>
      <c r="GW1" s="0" t="inlineStr">
        <is>
          <t>FINAL_BILL</t>
        </is>
      </c>
      <c r="GX1" s="0" t="inlineStr">
        <is>
          <t>CONTRIBS_CHARGE_BAL</t>
        </is>
      </c>
      <c r="GY1" s="0" t="inlineStr">
        <is>
          <t>COSTS_CHARGE_BAL</t>
        </is>
      </c>
      <c r="GZ1" s="0" t="inlineStr">
        <is>
          <t>DAMAGES_CHARGE_BAL</t>
        </is>
      </c>
      <c r="HA1" s="0" t="inlineStr">
        <is>
          <t>REVOKE_CHARGE_BAL</t>
        </is>
      </c>
      <c r="HB1" s="0" t="inlineStr">
        <is>
          <t>STATCHG_CHARGE_BAL</t>
        </is>
      </c>
      <c r="HC1" s="0" t="inlineStr">
        <is>
          <t>POSSIBLE_REFUND_DUE</t>
        </is>
      </c>
      <c r="HD1" s="0" t="inlineStr">
        <is>
          <t>REFUNDS_MADE</t>
        </is>
      </c>
      <c r="HE1" s="0" t="inlineStr">
        <is>
          <t>REFUNDS_THIRD_CONTRIBS</t>
        </is>
      </c>
      <c r="HF1" s="0" t="inlineStr">
        <is>
          <t>REFUNDS_THIRD_COSTS</t>
        </is>
      </c>
      <c r="HG1" s="0" t="inlineStr">
        <is>
          <t>REFUNDS_THIRD_DAMAGES</t>
        </is>
      </c>
      <c r="HH1" s="0" t="inlineStr">
        <is>
          <t>REFUNDS_THIRD_REVOKE</t>
        </is>
      </c>
      <c r="HI1" s="0" t="inlineStr">
        <is>
          <t>REFUNDS_THIRD_STATCHG</t>
        </is>
      </c>
      <c r="HJ1" s="0" t="inlineStr">
        <is>
          <t>REFUNDS_LAA_CONTRIBS</t>
        </is>
      </c>
      <c r="HK1" s="0" t="inlineStr">
        <is>
          <t>REFUNDS_LAA_CONTRIBS_CHARGES</t>
        </is>
      </c>
      <c r="HL1" s="0" t="inlineStr">
        <is>
          <t>REFUNDS_LAA_COSTS</t>
        </is>
      </c>
      <c r="HM1" s="0" t="inlineStr">
        <is>
          <t>REFUNDS_LAA_COSTS_CHARGES</t>
        </is>
      </c>
      <c r="HN1" s="0" t="inlineStr">
        <is>
          <t>REFUNDS_LAA_DAMAGES</t>
        </is>
      </c>
      <c r="HO1" s="0" t="inlineStr">
        <is>
          <t>REFUNDS_LAA_DAMAGES_CHARGES</t>
        </is>
      </c>
      <c r="HP1" s="0" t="inlineStr">
        <is>
          <t>REFUNDS_LAA_REVOKE</t>
        </is>
      </c>
      <c r="HQ1" s="0" t="inlineStr">
        <is>
          <t>REFUNDS_LAA_REVOKE_CHARGES</t>
        </is>
      </c>
      <c r="HR1" s="0" t="inlineStr">
        <is>
          <t>REFUNDS_LAA_STATCHG</t>
        </is>
      </c>
      <c r="HS1" s="0" t="inlineStr">
        <is>
          <t>REFUNDS_LAA_STATCHG_CHARGES</t>
        </is>
      </c>
      <c r="HT1" s="0" t="inlineStr">
        <is>
          <t>UNEXP_REFUND</t>
        </is>
      </c>
      <c r="HU1" s="0" t="inlineStr">
        <is>
          <t>TOTAL_LAA_REFUND</t>
        </is>
      </c>
      <c r="HV1" s="0" t="inlineStr">
        <is>
          <t>TOTAL_EXPLAINED_REFUND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G11"/>
  <sheetViews>
    <sheetView workbookViewId="0"/>
  </sheetViews>
  <sheetFormatPr defaultRowHeight="15.0"/>
  <cols>
    <col min="1" max="1" width="9.828125" customWidth="true"/>
    <col min="2" max="2" width="13.66796875" customWidth="true"/>
    <col min="3" max="3" width="16.16796875" customWidth="true"/>
    <col min="4" max="4" width="12.66796875" customWidth="true"/>
    <col min="5" max="5" width="14.66796875" customWidth="true"/>
    <col min="6" max="6" width="20.16796875" customWidth="true"/>
    <col min="7" max="7" width="23.0" customWidth="true"/>
    <col min="8" max="8" width="19.0" customWidth="true"/>
    <col min="9" max="9" width="23.66796875" customWidth="true"/>
    <col min="10" max="10" width="24.5" customWidth="true"/>
    <col min="11" max="11" width="20.16796875" customWidth="true"/>
    <col min="12" max="12" width="23.0" customWidth="true"/>
    <col min="13" max="13" width="19.0" customWidth="true"/>
    <col min="14" max="14" width="20.328125" customWidth="true"/>
    <col min="15" max="15" width="23.16796875" customWidth="true"/>
    <col min="16" max="16" width="19.16796875" customWidth="true"/>
    <col min="17" max="17" width="20.16796875" customWidth="true"/>
    <col min="18" max="18" width="27.828125" customWidth="true"/>
    <col min="19" max="19" width="23.828125" customWidth="true"/>
    <col min="20" max="20" width="19.828125" customWidth="true"/>
    <col min="21" max="21" width="22.66796875" customWidth="true"/>
    <col min="22" max="22" width="18.66796875" customWidth="true"/>
    <col min="23" max="23" width="11.16796875" customWidth="true"/>
    <col min="24" max="24" width="16.828125" customWidth="true"/>
    <col min="25" max="25" width="19.66796875" customWidth="true"/>
    <col min="26" max="26" width="15.66796875" customWidth="true"/>
    <col min="27" max="27" width="20.328125" customWidth="true"/>
    <col min="28" max="28" width="21.16796875" customWidth="true"/>
    <col min="29" max="29" width="16.828125" customWidth="true"/>
    <col min="30" max="30" width="19.66796875" customWidth="true"/>
    <col min="31" max="31" width="15.66796875" customWidth="true"/>
    <col min="32" max="32" width="17.0" customWidth="true"/>
    <col min="33" max="33" width="19.66796875" customWidth="true"/>
    <col min="34" max="34" width="15.66796875" customWidth="true"/>
    <col min="35" max="35" width="16.828125" customWidth="true"/>
    <col min="36" max="36" width="24.5" customWidth="true"/>
    <col min="37" max="37" width="20.66796875" customWidth="true"/>
    <col min="38" max="38" width="16.66796875" customWidth="true"/>
    <col min="39" max="39" width="19.328125" customWidth="true"/>
    <col min="40" max="40" width="15.328125" customWidth="true"/>
    <col min="41" max="41" width="14.828125" customWidth="true"/>
    <col min="42" max="42" width="20.66796875" customWidth="true"/>
    <col min="43" max="43" width="23.328125" customWidth="true"/>
    <col min="44" max="44" width="19.328125" customWidth="true"/>
    <col min="45" max="45" width="24.0" customWidth="true"/>
    <col min="46" max="46" width="24.828125" customWidth="true"/>
    <col min="47" max="47" width="20.66796875" customWidth="true"/>
    <col min="48" max="48" width="23.328125" customWidth="true"/>
    <col min="49" max="49" width="19.328125" customWidth="true"/>
    <col min="50" max="50" width="20.66796875" customWidth="true"/>
    <col min="51" max="51" width="23.5" customWidth="true"/>
    <col min="52" max="52" width="19.5" customWidth="true"/>
    <col min="53" max="53" width="20.66796875" customWidth="true"/>
    <col min="54" max="54" width="28.16796875" customWidth="true"/>
    <col min="55" max="55" width="24.16796875" customWidth="true"/>
    <col min="56" max="56" width="20.16796875" customWidth="true"/>
    <col min="57" max="57" width="23.0" customWidth="true"/>
    <col min="58" max="58" width="19.0" customWidth="true"/>
    <col min="59" max="59" width="17.66796875" customWidth="true"/>
  </cols>
  <sheetData>
    <row r="1">
      <c r="A1" t="inlineStr">
        <is>
          <t>COSTS_SEC</t>
        </is>
      </c>
      <c r="B1" t="inlineStr">
        <is>
          <t>DAMAGES_SEC</t>
        </is>
      </c>
      <c r="C1" t="inlineStr">
        <is>
          <t>REVOCATION_SEC</t>
        </is>
      </c>
      <c r="D1" t="inlineStr">
        <is>
          <t>STATCHG_SEC</t>
        </is>
      </c>
      <c r="E1" t="inlineStr">
        <is>
          <t>CONTRIBS_DEBT</t>
        </is>
      </c>
      <c r="F1" t="inlineStr">
        <is>
          <t>CONTRIBS_ADJ_TOTAL</t>
        </is>
      </c>
      <c r="G1" t="inlineStr">
        <is>
          <t>CONTRIBS_ADJ_CHARGES</t>
        </is>
      </c>
      <c r="H1" t="inlineStr">
        <is>
          <t>CONTRIBS_ADJ_DEBT</t>
        </is>
      </c>
      <c r="I1" t="inlineStr">
        <is>
          <t>CONTRIBS_ADJ_DEBT_GRE</t>
        </is>
      </c>
      <c r="J1" t="inlineStr">
        <is>
          <t>CONTRIBS_ADJ_DEBT_LOW</t>
        </is>
      </c>
      <c r="K1" t="inlineStr">
        <is>
          <t>CONTRIBS_WD_TOTAL</t>
        </is>
      </c>
      <c r="L1" t="inlineStr">
        <is>
          <t>CONTRIBS_WD_CHARGES</t>
        </is>
      </c>
      <c r="M1" t="inlineStr">
        <is>
          <t>CONTRIBS_WD_DEBT</t>
        </is>
      </c>
      <c r="N1" t="inlineStr">
        <is>
          <t>CONTRIBS_WO_TOTAL</t>
        </is>
      </c>
      <c r="O1" t="inlineStr">
        <is>
          <t>CONTRIBS_WO_CHARGES</t>
        </is>
      </c>
      <c r="P1" t="inlineStr">
        <is>
          <t>CONTRIBS_WO_DEBT</t>
        </is>
      </c>
      <c r="Q1" t="inlineStr">
        <is>
          <t>CONTRIBS_REC_TOTAL</t>
        </is>
      </c>
      <c r="R1" t="inlineStr">
        <is>
          <t>CONTRIBS_RECEIPTS_CHARGES</t>
        </is>
      </c>
      <c r="S1" t="inlineStr">
        <is>
          <t>CONTRIBS_RECEIPTS_DEBT</t>
        </is>
      </c>
      <c r="T1" t="inlineStr">
        <is>
          <t>CONTRIBS_CM_TOTAL</t>
        </is>
      </c>
      <c r="U1" t="inlineStr">
        <is>
          <t>CONTRIBS_CM_CHARGES</t>
        </is>
      </c>
      <c r="V1" t="inlineStr">
        <is>
          <t>CONTRIBS_CM_DEBT</t>
        </is>
      </c>
      <c r="W1" t="inlineStr">
        <is>
          <t>COSTS_DEBT</t>
        </is>
      </c>
      <c r="X1" t="inlineStr">
        <is>
          <t>COSTS_ADJ_TOTAL</t>
        </is>
      </c>
      <c r="Y1" t="inlineStr">
        <is>
          <t>COSTS_ADJ_CHARGES</t>
        </is>
      </c>
      <c r="Z1" t="inlineStr">
        <is>
          <t>COSTS_ADJ_DEBT</t>
        </is>
      </c>
      <c r="AA1" t="inlineStr">
        <is>
          <t>COSTS_ADJ_DEBT_GRE</t>
        </is>
      </c>
      <c r="AB1" t="inlineStr">
        <is>
          <t>COSTS_ADJ_DEBT_LOW</t>
        </is>
      </c>
      <c r="AC1" t="inlineStr">
        <is>
          <t>COSTS_WD_TOTAL</t>
        </is>
      </c>
      <c r="AD1" t="inlineStr">
        <is>
          <t>COSTS_WD_CHARGES</t>
        </is>
      </c>
      <c r="AE1" t="inlineStr">
        <is>
          <t>COSTS_WD_DEBT</t>
        </is>
      </c>
      <c r="AF1" t="inlineStr">
        <is>
          <t>COSTS_WO_TOTAL</t>
        </is>
      </c>
      <c r="AG1" t="inlineStr">
        <is>
          <t>COSTS_WO_CHARGES</t>
        </is>
      </c>
      <c r="AH1" t="inlineStr">
        <is>
          <t>COSTS_WO_DEBT</t>
        </is>
      </c>
      <c r="AI1" t="inlineStr">
        <is>
          <t>COSTS_REC_TOTAL</t>
        </is>
      </c>
      <c r="AJ1" t="inlineStr">
        <is>
          <t>COSTS_RECEIPTS_CHARGES</t>
        </is>
      </c>
      <c r="AK1" t="inlineStr">
        <is>
          <t>COSTS_RECEIPTS_DEBT</t>
        </is>
      </c>
      <c r="AL1" t="inlineStr">
        <is>
          <t>COSTS_CM_TOTAL</t>
        </is>
      </c>
      <c r="AM1" t="inlineStr">
        <is>
          <t>COSTS_CM_CHARGES</t>
        </is>
      </c>
      <c r="AN1" t="inlineStr">
        <is>
          <t>COSTS_CM_DEBT</t>
        </is>
      </c>
      <c r="AO1" t="inlineStr">
        <is>
          <t>DAMAGES_DEBT</t>
        </is>
      </c>
      <c r="AP1" t="inlineStr">
        <is>
          <t>DAMAGES_ADJ_TOTAL</t>
        </is>
      </c>
      <c r="AQ1" t="inlineStr">
        <is>
          <t>DAMAGES_ADJ_CHARGES</t>
        </is>
      </c>
      <c r="AR1" t="inlineStr">
        <is>
          <t>DAMAGES_ADJ_DEBT</t>
        </is>
      </c>
      <c r="AS1" t="inlineStr">
        <is>
          <t>DAMAGES_ADJ_DEBT_GRE</t>
        </is>
      </c>
      <c r="AT1" t="inlineStr">
        <is>
          <t>DAMAGES_ADJ_DEBT_LOW</t>
        </is>
      </c>
      <c r="AU1" t="inlineStr">
        <is>
          <t>DAMAGES_WD_TOTAL</t>
        </is>
      </c>
      <c r="AV1" t="inlineStr">
        <is>
          <t>DAMAGES_WD_CHARGES</t>
        </is>
      </c>
      <c r="AW1" t="inlineStr">
        <is>
          <t>DAMAGES_WD_DEBT</t>
        </is>
      </c>
      <c r="AX1" t="inlineStr">
        <is>
          <t>DAMAGES_WO_TOTAL</t>
        </is>
      </c>
      <c r="AY1" t="inlineStr">
        <is>
          <t>DAMAGES_WO_CHARGES</t>
        </is>
      </c>
      <c r="AZ1" t="inlineStr">
        <is>
          <t>DAMAGES_WO_DEBT</t>
        </is>
      </c>
      <c r="BA1" t="inlineStr">
        <is>
          <t>DAMAGES_REC_TOTAL</t>
        </is>
      </c>
      <c r="BB1" t="inlineStr">
        <is>
          <t>DAMAGES_RECEIPTS_CHARGES</t>
        </is>
      </c>
      <c r="BC1" t="inlineStr">
        <is>
          <t>DAMAGES_RECEIPTS_DEBT</t>
        </is>
      </c>
      <c r="BD1" t="inlineStr">
        <is>
          <t>DAMAGES_CM_TOTAL</t>
        </is>
      </c>
      <c r="BE1" t="inlineStr">
        <is>
          <t>DAMAGES_CM_CHARGES</t>
        </is>
      </c>
      <c r="BF1" t="inlineStr">
        <is>
          <t>DAMAGES_CM_DEBT</t>
        </is>
      </c>
      <c r="BG1" t="inlineStr">
        <is>
          <t>REVOCATION_DEBT</t>
        </is>
      </c>
    </row>
    <row r="2">
      <c r="A2" t="inlineStr">
        <is>
          <t>Linguine</t>
        </is>
      </c>
      <c r="B2" t="inlineStr">
        <is>
          <t>Carbonara (lumpy)</t>
        </is>
      </c>
      <c r="C2" t="n">
        <v>5.25</v>
      </c>
      <c r="D2" t="n">
        <v>2.147483647E9</v>
      </c>
      <c r="E2" t="n">
        <v>11.0</v>
      </c>
      <c r="F2" t="inlineStr">
        <is>
          <t/>
        </is>
      </c>
      <c r="G2" t="n">
        <v>26.5</v>
      </c>
      <c r="H2" t="b">
        <v>0</v>
      </c>
      <c r="I2" t="inlineStr">
        <is>
          <t>PANIC</t>
        </is>
      </c>
      <c r="J2" t="n">
        <v>2.0</v>
      </c>
      <c r="K2" t="b">
        <v>1</v>
      </c>
      <c r="L2" t="inlineStr">
        <is>
          <t>Whatever NPM installs</t>
        </is>
      </c>
      <c r="M2" t="n">
        <v>11.0</v>
      </c>
      <c r="N2" t="n">
        <v>3.0</v>
      </c>
      <c r="O2" t="n">
        <v>42.0</v>
      </c>
      <c r="P2" t="b">
        <v>1</v>
      </c>
      <c r="Q2" t="n">
        <v>5.0</v>
      </c>
      <c r="R2" t="b">
        <v>1</v>
      </c>
      <c r="S2" t="n">
        <v>9000.01</v>
      </c>
      <c r="T2" t="n">
        <v>142.0</v>
      </c>
      <c r="U2" t="n">
        <v>8.0</v>
      </c>
      <c r="V2" t="n">
        <v>9999.0</v>
      </c>
      <c r="W2" t="n">
        <v>100.0</v>
      </c>
      <c r="Y2" t="n">
        <v>1984.0</v>
      </c>
      <c r="Z2" t="n">
        <v>7.0</v>
      </c>
      <c r="AA2" t="inlineStr">
        <is>
          <t>4.1.2</t>
        </is>
      </c>
      <c r="AB2" t="b">
        <v>1</v>
      </c>
      <c r="AC2" t="n">
        <v>4.2</v>
      </c>
      <c r="AD2" t="n">
        <v>0.0</v>
      </c>
      <c r="AE2" t="n">
        <v>3.0</v>
      </c>
      <c r="AF2" t="b">
        <v>1</v>
      </c>
      <c r="AG2" t="n">
        <v>66.0</v>
      </c>
      <c r="AH2" t="n">
        <v>666.0</v>
      </c>
      <c r="AI2" t="n">
        <v>7.0</v>
      </c>
      <c r="AJ2" t="n">
        <v>13.0</v>
      </c>
      <c r="AK2" t="n">
        <v>9999.0</v>
      </c>
      <c r="AL2" t="inlineStr">
        <is>
          <t/>
        </is>
      </c>
      <c r="AM2" t="inlineStr">
        <is>
          <t/>
        </is>
      </c>
      <c r="AN2" t="inlineStr">
        <is>
          <t/>
        </is>
      </c>
      <c r="AO2" t="n">
        <v>127.0</v>
      </c>
      <c r="AP2" t="n">
        <v>0.0</v>
      </c>
      <c r="AQ2" t="n">
        <v>0.0</v>
      </c>
      <c r="AR2" t="n">
        <v>0.0</v>
      </c>
      <c r="AS2" t="n">
        <v>15.0</v>
      </c>
      <c r="AT2" t="n">
        <v>1427.0</v>
      </c>
      <c r="AU2" t="n">
        <v>23.0</v>
      </c>
      <c r="AV2" t="n">
        <v>89.0</v>
      </c>
      <c r="AW2" t="n">
        <v>17.0</v>
      </c>
      <c r="AY2" t="b">
        <v>0</v>
      </c>
      <c r="AZ2" t="n">
        <v>19.0</v>
      </c>
      <c r="BA2" t="n">
        <v>3.0</v>
      </c>
      <c r="BB2" t="n">
        <v>47.0</v>
      </c>
      <c r="BC2" t="n">
        <v>89.0</v>
      </c>
      <c r="BD2" t="n">
        <v>156.0</v>
      </c>
      <c r="BE2" t="n">
        <v>3.0</v>
      </c>
      <c r="BF2" t="n">
        <v>14.0</v>
      </c>
      <c r="BG2" t="n">
        <v>7.0</v>
      </c>
    </row>
    <row r="3">
      <c r="A3" t="inlineStr">
        <is>
          <t>Ravioli</t>
        </is>
      </c>
      <c r="B3" t="inlineStr">
        <is>
          <t>Exploded</t>
        </is>
      </c>
      <c r="C3" t="n">
        <v>99.99</v>
      </c>
      <c r="D3" t="n">
        <v>2.147483647E9</v>
      </c>
      <c r="E3" t="n">
        <v>7.0</v>
      </c>
      <c r="F3" t="inlineStr">
        <is>
          <t/>
        </is>
      </c>
      <c r="G3" t="inlineStr">
        <is>
          <t/>
        </is>
      </c>
      <c r="H3" t="b">
        <v>0</v>
      </c>
      <c r="I3" t="inlineStr">
        <is>
          <t>CRASH</t>
        </is>
      </c>
      <c r="J3" t="n">
        <v>2.0</v>
      </c>
      <c r="K3" t="b">
        <v>1</v>
      </c>
      <c r="L3" t="inlineStr">
        <is>
          <t>Wild Guessing</t>
        </is>
      </c>
      <c r="M3" t="n">
        <v>9.0</v>
      </c>
      <c r="N3" t="n">
        <v>3.0</v>
      </c>
      <c r="O3" t="n">
        <v>17.0</v>
      </c>
      <c r="P3" t="b">
        <v>1</v>
      </c>
      <c r="Q3" t="n">
        <v>5.0</v>
      </c>
      <c r="R3" t="b">
        <v>1</v>
      </c>
      <c r="S3" t="n">
        <v>420.69</v>
      </c>
      <c r="T3" t="n">
        <v>142.0</v>
      </c>
      <c r="U3" t="n">
        <v>8.0</v>
      </c>
      <c r="V3" t="n">
        <v>9999.0</v>
      </c>
      <c r="W3" t="n">
        <v>100.0</v>
      </c>
      <c r="Y3" t="n">
        <v>0.0</v>
      </c>
      <c r="Z3" t="n">
        <v>7.0</v>
      </c>
      <c r="AA3" t="inlineStr">
        <is>
          <t>5.2.17</t>
        </is>
      </c>
      <c r="AB3" t="b">
        <v>1</v>
      </c>
      <c r="AC3" t="n">
        <v>4.2</v>
      </c>
      <c r="AD3" t="n">
        <v>0.0</v>
      </c>
      <c r="AE3" t="n">
        <v>3.0</v>
      </c>
      <c r="AF3" t="b">
        <v>1</v>
      </c>
      <c r="AG3" t="n">
        <v>42.0</v>
      </c>
      <c r="AH3" t="n">
        <v>42.0</v>
      </c>
      <c r="AI3" t="n">
        <v>7.0</v>
      </c>
      <c r="AJ3" t="n">
        <v>13.0</v>
      </c>
      <c r="AK3" t="n">
        <v>9999.0</v>
      </c>
      <c r="AL3" t="n">
        <v>7.5</v>
      </c>
      <c r="AM3" t="inlineStr">
        <is>
          <t/>
        </is>
      </c>
      <c r="AN3" t="inlineStr">
        <is>
          <t/>
        </is>
      </c>
      <c r="AO3" t="n">
        <v>0.0</v>
      </c>
      <c r="AP3" t="n">
        <v>23.0</v>
      </c>
      <c r="AQ3" t="n">
        <v>0.0</v>
      </c>
      <c r="AR3" t="n">
        <v>0.0</v>
      </c>
      <c r="AS3" t="n">
        <v>15.0</v>
      </c>
      <c r="AT3" t="n">
        <v>1427.0</v>
      </c>
      <c r="AU3" t="n">
        <v>17.0</v>
      </c>
      <c r="AV3" t="n">
        <v>89.0</v>
      </c>
      <c r="AW3" t="n">
        <v>17.0</v>
      </c>
      <c r="AY3" t="b">
        <v>0</v>
      </c>
      <c r="AZ3" t="n">
        <v>12.0</v>
      </c>
      <c r="BA3" t="n">
        <v>5.0</v>
      </c>
      <c r="BB3" t="n">
        <v>47.0</v>
      </c>
      <c r="BC3" t="n">
        <v>89.0</v>
      </c>
      <c r="BD3" t="n">
        <v>156.0</v>
      </c>
      <c r="BE3" t="n">
        <v>2.0</v>
      </c>
      <c r="BF3" t="n">
        <v>14.0</v>
      </c>
      <c r="BG3" t="n">
        <v>9.0</v>
      </c>
    </row>
    <row r="4">
      <c r="A4" t="inlineStr">
        <is>
          <t>Fettuccine</t>
        </is>
      </c>
      <c r="B4" t="inlineStr">
        <is>
          <t>Separated</t>
        </is>
      </c>
      <c r="C4" t="n">
        <v>12.5</v>
      </c>
      <c r="D4" t="n">
        <v>999999.0</v>
      </c>
      <c r="E4" t="n">
        <v>13.0</v>
      </c>
      <c r="F4" t="inlineStr">
        <is>
          <t/>
        </is>
      </c>
      <c r="G4" t="n">
        <v>-5.5</v>
      </c>
      <c r="H4" t="b">
        <v>0</v>
      </c>
      <c r="I4" t="inlineStr">
        <is>
          <t>PANIC</t>
        </is>
      </c>
      <c r="J4" t="n">
        <v>3.0</v>
      </c>
      <c r="K4" t="b">
        <v>1</v>
      </c>
      <c r="L4" t="inlineStr">
        <is>
          <t>Wild Guessing</t>
        </is>
      </c>
      <c r="M4" t="n">
        <v>11.0</v>
      </c>
      <c r="N4" t="n">
        <v>2.0</v>
      </c>
      <c r="O4" t="n">
        <v>17.0</v>
      </c>
      <c r="P4" t="b">
        <v>1</v>
      </c>
      <c r="Q4" t="n">
        <v>5.0</v>
      </c>
      <c r="R4" t="b">
        <v>1</v>
      </c>
      <c r="S4" t="n">
        <v>420.69</v>
      </c>
      <c r="T4" t="n">
        <v>142.0</v>
      </c>
      <c r="U4" t="n">
        <v>11.0</v>
      </c>
      <c r="V4" t="n">
        <v>9999.0</v>
      </c>
      <c r="W4" t="n">
        <v>100.0</v>
      </c>
      <c r="Y4" t="n">
        <v>0.0</v>
      </c>
      <c r="Z4" t="n">
        <v>13.0</v>
      </c>
      <c r="AA4" t="inlineStr">
        <is>
          <t>4.1.2</t>
        </is>
      </c>
      <c r="AB4" t="b">
        <v>1</v>
      </c>
      <c r="AC4" t="n">
        <v>4.2</v>
      </c>
      <c r="AD4" t="n">
        <v>0.0</v>
      </c>
      <c r="AE4" t="n">
        <v>3.0</v>
      </c>
      <c r="AF4" t="b">
        <v>1</v>
      </c>
      <c r="AG4" t="n">
        <v>42.0</v>
      </c>
      <c r="AH4" t="n">
        <v>666.0</v>
      </c>
      <c r="AI4" t="n">
        <v>7.0</v>
      </c>
      <c r="AJ4" t="n">
        <v>21.0</v>
      </c>
      <c r="AK4" t="n">
        <v>9999.0</v>
      </c>
      <c r="AL4" t="inlineStr">
        <is>
          <t/>
        </is>
      </c>
      <c r="AM4" t="n">
        <v>50424.0</v>
      </c>
      <c r="AN4" t="inlineStr">
        <is>
          <t/>
        </is>
      </c>
      <c r="AO4" t="n">
        <v>0.0</v>
      </c>
      <c r="AP4" t="n">
        <v>0.0</v>
      </c>
      <c r="AQ4" t="n">
        <v>1.0</v>
      </c>
      <c r="AR4" t="n">
        <v>0.0</v>
      </c>
      <c r="AS4" t="n">
        <v>15.0</v>
      </c>
      <c r="AT4" t="n">
        <v>1427.0</v>
      </c>
      <c r="AU4" t="n">
        <v>23.0</v>
      </c>
      <c r="AV4" t="n">
        <v>47.0</v>
      </c>
      <c r="AW4" t="n">
        <v>17.0</v>
      </c>
      <c r="AY4" t="b">
        <v>0</v>
      </c>
      <c r="AZ4" t="n">
        <v>12.0</v>
      </c>
      <c r="BA4" t="n">
        <v>3.0</v>
      </c>
      <c r="BB4" t="n">
        <v>33.0</v>
      </c>
      <c r="BC4" t="n">
        <v>89.0</v>
      </c>
      <c r="BD4" t="n">
        <v>156.0</v>
      </c>
      <c r="BE4" t="n">
        <v>2.0</v>
      </c>
      <c r="BF4" t="n">
        <v>14.0</v>
      </c>
      <c r="BG4" t="n">
        <v>7.0</v>
      </c>
    </row>
    <row r="5">
      <c r="A5" t="inlineStr">
        <is>
          <t>Penne</t>
        </is>
      </c>
      <c r="B5" t="inlineStr">
        <is>
          <t>Burned</t>
        </is>
      </c>
      <c r="C5" t="n">
        <v>0.01</v>
      </c>
      <c r="D5" t="n">
        <v>2.147483647E9</v>
      </c>
      <c r="E5" t="n">
        <v>9.0</v>
      </c>
      <c r="F5" t="n">
        <v>36526.0</v>
      </c>
      <c r="G5" t="inlineStr">
        <is>
          <t/>
        </is>
      </c>
      <c r="H5" t="b">
        <v>0</v>
      </c>
      <c r="I5" t="inlineStr">
        <is>
          <t>IGNORE</t>
        </is>
      </c>
      <c r="J5" t="n">
        <v>2.0</v>
      </c>
      <c r="K5" t="b">
        <v>1</v>
      </c>
      <c r="L5" t="inlineStr">
        <is>
          <t>Wild Guessing</t>
        </is>
      </c>
      <c r="M5" t="n">
        <v>11.0</v>
      </c>
      <c r="N5" t="n">
        <v>3.0</v>
      </c>
      <c r="O5" t="n">
        <v>99.0</v>
      </c>
      <c r="P5" t="b">
        <v>1</v>
      </c>
      <c r="Q5" t="n">
        <v>5.0</v>
      </c>
      <c r="R5" t="b">
        <v>1</v>
      </c>
      <c r="S5" t="n">
        <v>420.69</v>
      </c>
      <c r="T5" t="n">
        <v>142.0</v>
      </c>
      <c r="U5" t="n">
        <v>8.0</v>
      </c>
      <c r="V5" t="n">
        <v>42069.0</v>
      </c>
      <c r="W5" t="n">
        <v>100.0</v>
      </c>
      <c r="Y5" t="n">
        <v>0.0</v>
      </c>
      <c r="Z5" t="n">
        <v>7.0</v>
      </c>
      <c r="AA5" t="inlineStr">
        <is>
          <t>4.1.2</t>
        </is>
      </c>
      <c r="AB5" t="b">
        <v>1</v>
      </c>
      <c r="AC5" t="n">
        <v>4.2</v>
      </c>
      <c r="AD5" t="n">
        <v>7.0</v>
      </c>
      <c r="AE5" t="n">
        <v>3.0</v>
      </c>
      <c r="AF5" t="b">
        <v>1</v>
      </c>
      <c r="AG5" t="n">
        <v>42.0</v>
      </c>
      <c r="AH5" t="n">
        <v>666.0</v>
      </c>
      <c r="AI5" t="n">
        <v>9.0</v>
      </c>
      <c r="AJ5" t="n">
        <v>13.0</v>
      </c>
      <c r="AK5" t="n">
        <v>9999.0</v>
      </c>
      <c r="AL5" t="inlineStr">
        <is>
          <t/>
        </is>
      </c>
      <c r="AM5" t="inlineStr">
        <is>
          <t/>
        </is>
      </c>
      <c r="AN5" t="inlineStr">
        <is>
          <t/>
        </is>
      </c>
      <c r="AO5" t="n">
        <v>0.0</v>
      </c>
      <c r="AP5" t="n">
        <v>0.0</v>
      </c>
      <c r="AQ5" t="n">
        <v>0.0</v>
      </c>
      <c r="AR5" t="n">
        <v>12.0</v>
      </c>
      <c r="AS5" t="n">
        <v>15.0</v>
      </c>
      <c r="AT5" t="n">
        <v>1427.0</v>
      </c>
      <c r="AU5" t="n">
        <v>23.0</v>
      </c>
      <c r="AV5" t="n">
        <v>89.0</v>
      </c>
      <c r="AW5" t="n">
        <v>23.0</v>
      </c>
      <c r="AY5" t="b">
        <v>0</v>
      </c>
      <c r="AZ5" t="n">
        <v>12.0</v>
      </c>
      <c r="BA5" t="n">
        <v>3.0</v>
      </c>
      <c r="BB5" t="n">
        <v>47.0</v>
      </c>
      <c r="BC5" t="n">
        <v>156.0</v>
      </c>
      <c r="BD5" t="n">
        <v>156.0</v>
      </c>
      <c r="BE5" t="n">
        <v>2.0</v>
      </c>
      <c r="BF5" t="n">
        <v>9.0</v>
      </c>
      <c r="BG5" t="n">
        <v>7.0</v>
      </c>
    </row>
    <row r="6">
      <c r="A6" t="inlineStr">
        <is>
          <t>Farfalle</t>
        </is>
      </c>
      <c r="B6" t="inlineStr">
        <is>
          <t>Congealed</t>
        </is>
      </c>
      <c r="C6" t="n">
        <v>12.5</v>
      </c>
      <c r="D6" t="n">
        <v>65535.0</v>
      </c>
      <c r="E6" t="n">
        <v>5.0</v>
      </c>
      <c r="F6" t="inlineStr">
        <is>
          <t/>
        </is>
      </c>
      <c r="G6" t="inlineStr">
        <is>
          <t/>
        </is>
      </c>
      <c r="H6" t="b">
        <v>0</v>
      </c>
      <c r="I6" t="inlineStr">
        <is>
          <t>PANIC</t>
        </is>
      </c>
      <c r="J6" t="n">
        <v>2.0</v>
      </c>
      <c r="K6" t="b">
        <v>1</v>
      </c>
      <c r="L6" t="inlineStr">
        <is>
          <t>Copy-paste</t>
        </is>
      </c>
      <c r="M6" t="n">
        <v>11.0</v>
      </c>
      <c r="N6" t="n">
        <v>3.0</v>
      </c>
      <c r="O6" t="n">
        <v>17.0</v>
      </c>
      <c r="P6" t="b">
        <v>1</v>
      </c>
      <c r="Q6" t="n">
        <v>5.0</v>
      </c>
      <c r="R6" t="b">
        <v>0</v>
      </c>
      <c r="S6" t="n">
        <v>420.69</v>
      </c>
      <c r="T6" t="n">
        <v>142.0</v>
      </c>
      <c r="U6" t="n">
        <v>8.0</v>
      </c>
      <c r="V6" t="n">
        <v>9999.0</v>
      </c>
      <c r="W6" t="n">
        <v>87.0</v>
      </c>
      <c r="Y6" t="n">
        <v>0.0</v>
      </c>
      <c r="Z6" t="n">
        <v>7.0</v>
      </c>
      <c r="AA6" t="inlineStr">
        <is>
          <t>4.1.2</t>
        </is>
      </c>
      <c r="AB6" t="b">
        <v>1</v>
      </c>
      <c r="AC6" t="n">
        <v>6.66</v>
      </c>
      <c r="AD6" t="n">
        <v>0.0</v>
      </c>
      <c r="AE6" t="n">
        <v>4.0</v>
      </c>
      <c r="AF6" t="b">
        <v>1</v>
      </c>
      <c r="AG6" t="n">
        <v>42.0</v>
      </c>
      <c r="AH6" t="n">
        <v>13.0</v>
      </c>
      <c r="AI6" t="n">
        <v>7.0</v>
      </c>
      <c r="AJ6" t="n">
        <v>13.0</v>
      </c>
      <c r="AK6" t="n">
        <v>9999.0</v>
      </c>
      <c r="AL6" t="inlineStr">
        <is>
          <t/>
        </is>
      </c>
      <c r="AM6" t="inlineStr">
        <is>
          <t/>
        </is>
      </c>
      <c r="AN6" t="n">
        <v>2958465.0</v>
      </c>
      <c r="AO6" t="n">
        <v>0.0</v>
      </c>
      <c r="AP6" t="n">
        <v>0.0</v>
      </c>
      <c r="AQ6" t="n">
        <v>0.0</v>
      </c>
      <c r="AR6" t="n">
        <v>0.0</v>
      </c>
      <c r="AS6" t="n">
        <v>42.0</v>
      </c>
      <c r="AT6" t="n">
        <v>1427.0</v>
      </c>
      <c r="AU6" t="n">
        <v>23.0</v>
      </c>
      <c r="AV6" t="n">
        <v>89.0</v>
      </c>
      <c r="AW6" t="n">
        <v>17.0</v>
      </c>
      <c r="AY6" t="b">
        <v>1</v>
      </c>
      <c r="AZ6" t="n">
        <v>12.0</v>
      </c>
      <c r="BA6" t="n">
        <v>3.0</v>
      </c>
      <c r="BB6" t="n">
        <v>47.0</v>
      </c>
      <c r="BC6" t="n">
        <v>89.0</v>
      </c>
      <c r="BD6" t="n">
        <v>203.0</v>
      </c>
      <c r="BE6" t="n">
        <v>2.0</v>
      </c>
      <c r="BF6" t="n">
        <v>14.0</v>
      </c>
      <c r="BG6" t="n">
        <v>7.0</v>
      </c>
    </row>
    <row r="7">
      <c r="A7" t="inlineStr">
        <is>
          <t>Rotini</t>
        </is>
      </c>
      <c r="B7" t="inlineStr">
        <is>
          <t>Quantum</t>
        </is>
      </c>
      <c r="C7" t="n">
        <v>33.33</v>
      </c>
      <c r="D7" t="n">
        <v>2.147483647E9</v>
      </c>
      <c r="E7" t="n">
        <v>9.0</v>
      </c>
      <c r="F7" t="inlineStr">
        <is>
          <t/>
        </is>
      </c>
      <c r="G7" t="n">
        <v>25.0</v>
      </c>
      <c r="H7" t="b">
        <v>0</v>
      </c>
      <c r="I7" t="inlineStr">
        <is>
          <t>PANIC</t>
        </is>
      </c>
      <c r="J7" t="n">
        <v>2.0</v>
      </c>
      <c r="K7" t="b">
        <v>1</v>
      </c>
      <c r="L7" t="inlineStr">
        <is>
          <t>Wild Guessing</t>
        </is>
      </c>
      <c r="M7" t="n">
        <v>7.0</v>
      </c>
      <c r="N7" t="n">
        <v>3.0</v>
      </c>
      <c r="O7" t="n">
        <v>17.0</v>
      </c>
      <c r="P7" t="b">
        <v>1</v>
      </c>
      <c r="Q7" t="n">
        <v>5.0</v>
      </c>
      <c r="R7" t="b">
        <v>1</v>
      </c>
      <c r="S7" t="n">
        <v>420.69</v>
      </c>
      <c r="T7" t="n">
        <v>87.0</v>
      </c>
      <c r="U7" t="n">
        <v>8.0</v>
      </c>
      <c r="V7" t="n">
        <v>9999.0</v>
      </c>
      <c r="W7" t="n">
        <v>100.0</v>
      </c>
      <c r="Y7" t="n">
        <v>2001.0</v>
      </c>
      <c r="Z7" t="n">
        <v>7.0</v>
      </c>
      <c r="AA7" t="inlineStr">
        <is>
          <t>4.1.2</t>
        </is>
      </c>
      <c r="AB7" t="b">
        <v>1</v>
      </c>
      <c r="AC7" t="n">
        <v>4.2</v>
      </c>
      <c r="AD7" t="n">
        <v>0.0</v>
      </c>
      <c r="AE7" t="n">
        <v>3.0</v>
      </c>
      <c r="AF7" t="b">
        <v>0</v>
      </c>
      <c r="AG7" t="n">
        <v>42.0</v>
      </c>
      <c r="AH7" t="n">
        <v>666.0</v>
      </c>
      <c r="AI7" t="n">
        <v>7.0</v>
      </c>
      <c r="AJ7" t="n">
        <v>8.0</v>
      </c>
      <c r="AK7" t="n">
        <v>9999.0</v>
      </c>
      <c r="AL7" t="n">
        <v>3.5</v>
      </c>
      <c r="AM7" t="inlineStr">
        <is>
          <t/>
        </is>
      </c>
      <c r="AN7" t="inlineStr">
        <is>
          <t/>
        </is>
      </c>
      <c r="AO7" t="n">
        <v>89.0</v>
      </c>
      <c r="AP7" t="n">
        <v>0.0</v>
      </c>
      <c r="AQ7" t="n">
        <v>0.0</v>
      </c>
      <c r="AR7" t="n">
        <v>0.0</v>
      </c>
      <c r="AS7" t="n">
        <v>15.0</v>
      </c>
      <c r="AT7" t="n">
        <v>2048.0</v>
      </c>
      <c r="AU7" t="n">
        <v>23.0</v>
      </c>
      <c r="AV7" t="n">
        <v>89.0</v>
      </c>
      <c r="AW7" t="n">
        <v>17.0</v>
      </c>
      <c r="AY7" t="b">
        <v>0</v>
      </c>
      <c r="AZ7" t="n">
        <v>12.0</v>
      </c>
      <c r="BA7" t="n">
        <v>3.0</v>
      </c>
      <c r="BB7" t="n">
        <v>47.0</v>
      </c>
      <c r="BC7" t="n">
        <v>89.0</v>
      </c>
      <c r="BD7" t="n">
        <v>156.0</v>
      </c>
      <c r="BE7" t="n">
        <v>2.0</v>
      </c>
      <c r="BF7" t="n">
        <v>14.0</v>
      </c>
      <c r="BG7" t="n">
        <v>7.0</v>
      </c>
    </row>
    <row r="8">
      <c r="A8" t="inlineStr">
        <is>
          <t>Bucatini</t>
        </is>
      </c>
      <c r="B8" t="inlineStr">
        <is>
          <t>Black Hole</t>
        </is>
      </c>
      <c r="C8" t="n">
        <v>12.5</v>
      </c>
      <c r="D8" t="n">
        <v>32767.0</v>
      </c>
      <c r="E8" t="n">
        <v>8.0</v>
      </c>
      <c r="F8" t="inlineStr">
        <is>
          <t/>
        </is>
      </c>
      <c r="G8" t="inlineStr">
        <is>
          <t/>
        </is>
      </c>
      <c r="H8" t="b">
        <v>0</v>
      </c>
      <c r="I8" t="inlineStr">
        <is>
          <t>PANIC</t>
        </is>
      </c>
      <c r="J8" t="n">
        <v>1.0</v>
      </c>
      <c r="K8" t="b">
        <v>1</v>
      </c>
      <c r="L8" t="inlineStr">
        <is>
          <t>Wild Guessing</t>
        </is>
      </c>
      <c r="M8" t="n">
        <v>11.0</v>
      </c>
      <c r="N8" t="n">
        <v>1.0</v>
      </c>
      <c r="O8" t="n">
        <v>17.0</v>
      </c>
      <c r="P8" t="b">
        <v>1</v>
      </c>
      <c r="Q8" t="n">
        <v>5.0</v>
      </c>
      <c r="R8" t="b">
        <v>1</v>
      </c>
      <c r="S8" t="n">
        <v>15000.75</v>
      </c>
      <c r="T8" t="n">
        <v>142.0</v>
      </c>
      <c r="U8" t="n">
        <v>8.0</v>
      </c>
      <c r="V8" t="n">
        <v>9999.0</v>
      </c>
      <c r="W8" t="n">
        <v>100.0</v>
      </c>
      <c r="Y8" t="n">
        <v>0.0</v>
      </c>
      <c r="Z8" t="n">
        <v>7.0</v>
      </c>
      <c r="AA8" t="inlineStr">
        <is>
          <t>3.1.4</t>
        </is>
      </c>
      <c r="AB8" t="b">
        <v>1</v>
      </c>
      <c r="AC8" t="n">
        <v>4.2</v>
      </c>
      <c r="AD8" t="n">
        <v>3.0</v>
      </c>
      <c r="AE8" t="n">
        <v>3.0</v>
      </c>
      <c r="AF8" t="b">
        <v>1</v>
      </c>
      <c r="AG8" t="n">
        <v>19.0</v>
      </c>
      <c r="AH8" t="n">
        <v>666.0</v>
      </c>
      <c r="AI8" t="n">
        <v>7.0</v>
      </c>
      <c r="AJ8" t="n">
        <v>13.0</v>
      </c>
      <c r="AK8" t="n">
        <v>5000.0</v>
      </c>
      <c r="AL8" t="inlineStr">
        <is>
          <t/>
        </is>
      </c>
      <c r="AM8" t="inlineStr">
        <is>
          <t/>
        </is>
      </c>
      <c r="AN8" t="inlineStr">
        <is>
          <t/>
        </is>
      </c>
      <c r="AO8" t="n">
        <v>0.0</v>
      </c>
      <c r="AP8" t="n">
        <v>7.0</v>
      </c>
      <c r="AQ8" t="n">
        <v>0.0</v>
      </c>
      <c r="AR8" t="n">
        <v>0.0</v>
      </c>
      <c r="AS8" t="n">
        <v>15.0</v>
      </c>
      <c r="AT8" t="n">
        <v>1427.0</v>
      </c>
      <c r="AU8" t="n">
        <v>11.0</v>
      </c>
      <c r="AV8" t="n">
        <v>89.0</v>
      </c>
      <c r="AW8" t="n">
        <v>17.0</v>
      </c>
      <c r="AY8" t="b">
        <v>0</v>
      </c>
      <c r="AZ8" t="n">
        <v>12.0</v>
      </c>
      <c r="BA8" t="n">
        <v>2.0</v>
      </c>
      <c r="BB8" t="n">
        <v>47.0</v>
      </c>
      <c r="BC8" t="n">
        <v>89.0</v>
      </c>
      <c r="BD8" t="n">
        <v>156.0</v>
      </c>
      <c r="BE8" t="n">
        <v>1.0</v>
      </c>
      <c r="BF8" t="n">
        <v>14.0</v>
      </c>
      <c r="BG8" t="n">
        <v>7.0</v>
      </c>
    </row>
    <row r="9">
      <c r="A9" t="inlineStr">
        <is>
          <t>Orzo</t>
        </is>
      </c>
      <c r="B9" t="inlineStr">
        <is>
          <t>Missing</t>
        </is>
      </c>
      <c r="C9" t="n">
        <v>0.0</v>
      </c>
      <c r="D9" t="n">
        <v>2.147483647E9</v>
      </c>
      <c r="E9" t="n">
        <v>9.0</v>
      </c>
      <c r="F9" t="n">
        <v>25569.0</v>
      </c>
      <c r="G9" t="inlineStr">
        <is>
          <t/>
        </is>
      </c>
      <c r="H9" t="b">
        <v>0</v>
      </c>
      <c r="I9" t="inlineStr">
        <is>
          <t>SEGFAULT</t>
        </is>
      </c>
      <c r="J9" t="n">
        <v>2.0</v>
      </c>
      <c r="K9" t="b">
        <v>1</v>
      </c>
      <c r="L9" t="inlineStr">
        <is>
          <t>Wild Guessing</t>
        </is>
      </c>
      <c r="M9" t="n">
        <v>11.0</v>
      </c>
      <c r="N9" t="n">
        <v>3.0</v>
      </c>
      <c r="O9" t="n">
        <v>13.0</v>
      </c>
      <c r="P9" t="b">
        <v>1</v>
      </c>
      <c r="Q9" t="n">
        <v>5.0</v>
      </c>
      <c r="R9" t="b">
        <v>1</v>
      </c>
      <c r="S9" t="n">
        <v>420.69</v>
      </c>
      <c r="T9" t="n">
        <v>142.0</v>
      </c>
      <c r="U9" t="n">
        <v>7.0</v>
      </c>
      <c r="V9" t="n">
        <v>9999.0</v>
      </c>
      <c r="W9" t="n">
        <v>100.0</v>
      </c>
      <c r="Y9" t="n">
        <v>0.0</v>
      </c>
      <c r="Z9" t="n">
        <v>5.0</v>
      </c>
      <c r="AA9" t="inlineStr">
        <is>
          <t>4.1.2</t>
        </is>
      </c>
      <c r="AB9" t="b">
        <v>1</v>
      </c>
      <c r="AC9" t="n">
        <v>4.2</v>
      </c>
      <c r="AD9" t="n">
        <v>0.0</v>
      </c>
      <c r="AE9" t="n">
        <v>3.0</v>
      </c>
      <c r="AF9" t="b">
        <v>1</v>
      </c>
      <c r="AG9" t="n">
        <v>42.0</v>
      </c>
      <c r="AH9" t="n">
        <v>666.0</v>
      </c>
      <c r="AI9" t="n">
        <v>3.0</v>
      </c>
      <c r="AJ9" t="n">
        <v>13.0</v>
      </c>
      <c r="AK9" t="n">
        <v>9999.0</v>
      </c>
      <c r="AL9" t="inlineStr">
        <is>
          <t/>
        </is>
      </c>
      <c r="AM9" t="n">
        <v>45658.0</v>
      </c>
      <c r="AN9" t="inlineStr">
        <is>
          <t/>
        </is>
      </c>
      <c r="AO9" t="n">
        <v>0.0</v>
      </c>
      <c r="AP9" t="n">
        <v>0.0</v>
      </c>
      <c r="AQ9" t="n">
        <v>0.0</v>
      </c>
      <c r="AR9" t="n">
        <v>0.0</v>
      </c>
      <c r="AS9" t="n">
        <v>15.0</v>
      </c>
      <c r="AT9" t="n">
        <v>1427.0</v>
      </c>
      <c r="AU9" t="n">
        <v>23.0</v>
      </c>
      <c r="AV9" t="n">
        <v>23.0</v>
      </c>
      <c r="AW9" t="n">
        <v>17.0</v>
      </c>
      <c r="AY9" t="b">
        <v>0</v>
      </c>
      <c r="AZ9" t="n">
        <v>12.0</v>
      </c>
      <c r="BA9" t="n">
        <v>3.0</v>
      </c>
      <c r="BB9" t="n">
        <v>17.0</v>
      </c>
      <c r="BC9" t="n">
        <v>89.0</v>
      </c>
      <c r="BD9" t="n">
        <v>156.0</v>
      </c>
      <c r="BE9" t="n">
        <v>2.0</v>
      </c>
      <c r="BF9" t="n">
        <v>14.0</v>
      </c>
      <c r="BG9" t="n">
        <v>7.0</v>
      </c>
    </row>
    <row r="10">
      <c r="A10" t="inlineStr">
        <is>
          <t>Lasagna</t>
        </is>
      </c>
      <c r="B10" t="inlineStr">
        <is>
          <t>Fossilized</t>
        </is>
      </c>
      <c r="C10" t="n">
        <v>12.5</v>
      </c>
      <c r="D10" t="n">
        <v>1048576.0</v>
      </c>
      <c r="E10" t="n">
        <v>6.0</v>
      </c>
      <c r="F10" t="inlineStr">
        <is>
          <t/>
        </is>
      </c>
      <c r="G10" t="inlineStr">
        <is>
          <t/>
        </is>
      </c>
      <c r="H10" t="b">
        <v>0</v>
      </c>
      <c r="I10" t="inlineStr">
        <is>
          <t>PANIC</t>
        </is>
      </c>
      <c r="J10" t="n">
        <v>2.0</v>
      </c>
      <c r="K10" t="b">
        <v>1</v>
      </c>
      <c r="L10" t="inlineStr">
        <is>
          <t>Ancient Scrolls</t>
        </is>
      </c>
      <c r="M10" t="n">
        <v>11.0</v>
      </c>
      <c r="N10" t="n">
        <v>3.0</v>
      </c>
      <c r="O10" t="n">
        <v>17.0</v>
      </c>
      <c r="P10" t="b">
        <v>1</v>
      </c>
      <c r="Q10" t="n">
        <v>5.0</v>
      </c>
      <c r="R10" t="b">
        <v>1</v>
      </c>
      <c r="S10" t="n">
        <v>420.69</v>
      </c>
      <c r="T10" t="n">
        <v>142.0</v>
      </c>
      <c r="U10" t="n">
        <v>8.0</v>
      </c>
      <c r="V10" t="n">
        <v>9999.0</v>
      </c>
      <c r="W10" t="n">
        <v>65.0</v>
      </c>
      <c r="Y10" t="n">
        <v>0.0</v>
      </c>
      <c r="Z10" t="n">
        <v>7.0</v>
      </c>
      <c r="AA10" t="inlineStr">
        <is>
          <t>4.1.2</t>
        </is>
      </c>
      <c r="AB10" t="b">
        <v>1</v>
      </c>
      <c r="AC10" t="n">
        <v>8.88</v>
      </c>
      <c r="AD10" t="n">
        <v>0.0</v>
      </c>
      <c r="AE10" t="n">
        <v>9.0</v>
      </c>
      <c r="AF10" t="b">
        <v>1</v>
      </c>
      <c r="AG10" t="n">
        <v>42.0</v>
      </c>
      <c r="AH10" t="n">
        <v>7.0</v>
      </c>
      <c r="AI10" t="n">
        <v>7.0</v>
      </c>
      <c r="AJ10" t="n">
        <v>13.0</v>
      </c>
      <c r="AK10" t="n">
        <v>9999.0</v>
      </c>
      <c r="AL10" t="inlineStr">
        <is>
          <t/>
        </is>
      </c>
      <c r="AM10" t="inlineStr">
        <is>
          <t/>
        </is>
      </c>
      <c r="AN10" t="n">
        <v>401769.0</v>
      </c>
      <c r="AO10" t="n">
        <v>0.0</v>
      </c>
      <c r="AP10" t="n">
        <v>0.0</v>
      </c>
      <c r="AQ10" t="n">
        <v>0.0</v>
      </c>
      <c r="AR10" t="n">
        <v>0.0</v>
      </c>
      <c r="AS10" t="n">
        <v>19.0</v>
      </c>
      <c r="AT10" t="n">
        <v>1427.0</v>
      </c>
      <c r="AU10" t="n">
        <v>23.0</v>
      </c>
      <c r="AV10" t="n">
        <v>89.0</v>
      </c>
      <c r="AW10" t="n">
        <v>17.0</v>
      </c>
      <c r="AY10" t="b">
        <v>0</v>
      </c>
      <c r="AZ10" t="n">
        <v>12.0</v>
      </c>
      <c r="BA10" t="n">
        <v>3.0</v>
      </c>
      <c r="BB10" t="n">
        <v>47.0</v>
      </c>
      <c r="BC10" t="n">
        <v>89.0</v>
      </c>
      <c r="BD10" t="n">
        <v>89.0</v>
      </c>
      <c r="BE10" t="n">
        <v>2.0</v>
      </c>
      <c r="BF10" t="n">
        <v>14.0</v>
      </c>
      <c r="BG10" t="n">
        <v>7.0</v>
      </c>
    </row>
    <row r="11">
      <c r="A11" t="inlineStr">
        <is>
          <t>Tagliatelle</t>
        </is>
      </c>
      <c r="B11" t="inlineStr">
        <is>
          <t>Singularity</t>
        </is>
      </c>
      <c r="C11" t="n">
        <v>66.66</v>
      </c>
      <c r="D11" t="n">
        <v>2.147483647E9</v>
      </c>
      <c r="E11" t="n">
        <v>9.0</v>
      </c>
      <c r="F11" t="inlineStr">
        <is>
          <t/>
        </is>
      </c>
      <c r="G11" t="n">
        <v>-13.5</v>
      </c>
      <c r="H11" t="b">
        <v>0</v>
      </c>
      <c r="I11" t="inlineStr">
        <is>
          <t>PANIC</t>
        </is>
      </c>
      <c r="J11" t="n">
        <v>2.0</v>
      </c>
      <c r="K11" t="b">
        <v>1</v>
      </c>
      <c r="L11" t="inlineStr">
        <is>
          <t>Wild Guessing</t>
        </is>
      </c>
      <c r="M11" t="n">
        <v>8.0</v>
      </c>
      <c r="N11" t="n">
        <v>3.0</v>
      </c>
      <c r="O11" t="n">
        <v>17.0</v>
      </c>
      <c r="P11" t="b">
        <v>0</v>
      </c>
      <c r="Q11" t="n">
        <v>5.0</v>
      </c>
      <c r="R11" t="b">
        <v>1</v>
      </c>
      <c r="S11" t="n">
        <v>420.69</v>
      </c>
      <c r="T11" t="n">
        <v>64.0</v>
      </c>
      <c r="U11" t="n">
        <v>8.0</v>
      </c>
      <c r="V11" t="n">
        <v>9999.0</v>
      </c>
      <c r="W11" t="n">
        <v>100.0</v>
      </c>
      <c r="Y11" t="n">
        <v>1986.0</v>
      </c>
      <c r="Z11" t="n">
        <v>7.0</v>
      </c>
      <c r="AA11" t="inlineStr">
        <is>
          <t>4.1.2</t>
        </is>
      </c>
      <c r="AB11" t="b">
        <v>1</v>
      </c>
      <c r="AC11" t="n">
        <v>4.2</v>
      </c>
      <c r="AD11" t="n">
        <v>0.0</v>
      </c>
      <c r="AE11" t="n">
        <v>3.0</v>
      </c>
      <c r="AF11" t="b">
        <v>1</v>
      </c>
      <c r="AG11" t="n">
        <v>42.0</v>
      </c>
      <c r="AH11" t="n">
        <v>666.0</v>
      </c>
      <c r="AI11" t="n">
        <v>7.0</v>
      </c>
      <c r="AJ11" t="n">
        <v>17.0</v>
      </c>
      <c r="AK11" t="n">
        <v>9999.0</v>
      </c>
      <c r="AL11" t="n">
        <v>5.25</v>
      </c>
      <c r="AM11" t="inlineStr">
        <is>
          <t/>
        </is>
      </c>
      <c r="AN11" t="inlineStr">
        <is>
          <t/>
        </is>
      </c>
      <c r="AO11" t="n">
        <v>42.0</v>
      </c>
      <c r="AP11" t="n">
        <v>0.0</v>
      </c>
      <c r="AQ11" t="n">
        <v>0.0</v>
      </c>
      <c r="AR11" t="n">
        <v>0.0</v>
      </c>
      <c r="AS11" t="n">
        <v>15.0</v>
      </c>
      <c r="AT11" t="n">
        <v>1024.0</v>
      </c>
      <c r="AU11" t="n">
        <v>23.0</v>
      </c>
      <c r="AV11" t="n">
        <v>89.0</v>
      </c>
      <c r="AW11" t="n">
        <v>17.0</v>
      </c>
      <c r="AY11" t="b">
        <v>0</v>
      </c>
      <c r="AZ11" t="n">
        <v>12.0</v>
      </c>
      <c r="BA11" t="n">
        <v>3.0</v>
      </c>
      <c r="BB11" t="n">
        <v>47.0</v>
      </c>
      <c r="BC11" t="n">
        <v>89.0</v>
      </c>
      <c r="BD11" t="n">
        <v>156.0</v>
      </c>
      <c r="BE11" t="n">
        <v>2.0</v>
      </c>
      <c r="BF11" t="n">
        <v>14.0</v>
      </c>
      <c r="BG11" t="n">
        <v>7.0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U10"/>
  <sheetViews>
    <sheetView workbookViewId="0"/>
  </sheetViews>
  <sheetFormatPr defaultRowHeight="15.0"/>
  <cols>
    <col min="1" max="1" width="12.70703125" customWidth="true"/>
    <col min="2" max="2" width="19.41796875" customWidth="true"/>
    <col min="3" max="3" width="15.84765625" customWidth="true"/>
    <col min="4" max="4" width="22.84765625" customWidth="true"/>
    <col min="5" max="5" width="58.0" customWidth="true"/>
    <col min="6" max="6" width="18.27734375" customWidth="true"/>
    <col min="7" max="7" width="21.0" customWidth="true"/>
    <col min="8" max="8" width="18.41796875" customWidth="true"/>
    <col min="9" max="9" width="21.41796875" customWidth="true"/>
    <col min="10" max="10" width="24.27734375" customWidth="true"/>
    <col min="11" max="11" width="22.27734375" customWidth="true"/>
    <col min="12" max="12" width="27.0" customWidth="true"/>
    <col min="13" max="13" width="27.70703125" customWidth="true"/>
    <col min="14" max="14" width="25.13671875" customWidth="true"/>
    <col min="15" max="15" width="18.70703125" customWidth="true"/>
    <col min="16" max="16" width="21.70703125" customWidth="true"/>
    <col min="17" max="17" width="18.84765625" customWidth="true"/>
    <col min="18" max="18" width="21.84765625" customWidth="true"/>
    <col min="19" max="19" width="23.0" customWidth="true"/>
    <col min="20" max="20" width="26.0" customWidth="true"/>
    <col min="21" max="21" width="28.84765625" customWidth="true"/>
  </cols>
  <sheetData>
    <row r="1">
      <c r="A1" t="inlineStr">
        <is>
          <t>LAA_SCHEME</t>
        </is>
      </c>
      <c r="B1" t="inlineStr">
        <is>
          <t>ATTACHED_TO_CASE</t>
        </is>
      </c>
      <c r="C1" t="inlineStr">
        <is>
          <t>LAA_DEBT_TYPE</t>
        </is>
      </c>
      <c r="D1" t="inlineStr">
        <is>
          <t>DEBT_TRANS_CODE</t>
        </is>
      </c>
      <c r="E1" t="inlineStr">
        <is>
          <t>DEBT_TRANS_DESCRIPTION</t>
        </is>
      </c>
      <c r="F1" t="inlineStr">
        <is>
          <t>COUNT_OF_TRX_ID</t>
        </is>
      </c>
      <c r="G1" t="inlineStr">
        <is>
          <t>SUM_OF_DEBT_TOTAL</t>
        </is>
      </c>
      <c r="H1" t="inlineStr">
        <is>
          <t>SUM_OF_CM_DEBT</t>
        </is>
      </c>
      <c r="I1" t="inlineStr">
        <is>
          <t>SUM_OF_CM_CHARGE</t>
        </is>
      </c>
      <c r="J1" t="inlineStr">
        <is>
          <t>SUM_OF_CM_UNAPPLIED</t>
        </is>
      </c>
      <c r="K1" t="inlineStr">
        <is>
          <t>SUM_OF_ADJUST_DEBT</t>
        </is>
      </c>
      <c r="L1" t="inlineStr">
        <is>
          <t>SUM_OF_ADJUST_DEBT_GRE</t>
        </is>
      </c>
      <c r="M1" t="inlineStr">
        <is>
          <t>SUM_OF_ADJUST_DEBT_LOW</t>
        </is>
      </c>
      <c r="N1" t="inlineStr">
        <is>
          <t>SUM_OF_ADJUST_CHARGE</t>
        </is>
      </c>
      <c r="O1" t="inlineStr">
        <is>
          <t>SUM_OF_WD_DEBT</t>
        </is>
      </c>
      <c r="P1" t="inlineStr">
        <is>
          <t>SUM_OF_WD_CHARGE</t>
        </is>
      </c>
      <c r="Q1" t="inlineStr">
        <is>
          <t>SUM_OF_WO_DEBT</t>
        </is>
      </c>
      <c r="R1" t="inlineStr">
        <is>
          <t>SUM_OF_WO_CHARGE</t>
        </is>
      </c>
      <c r="S1" t="inlineStr">
        <is>
          <t>SUM_OF_INCOME_DEBT</t>
        </is>
      </c>
      <c r="T1" t="inlineStr">
        <is>
          <t>SUM_OF_INCOME_CHARGE</t>
        </is>
      </c>
      <c r="U1" t="inlineStr">
        <is>
          <t>SUM_OF_INCOME_UNAPPLIED</t>
        </is>
      </c>
    </row>
    <row r="2">
      <c r="A2" t="inlineStr">
        <is>
          <t>Pennywise</t>
        </is>
      </c>
      <c r="B2" t="inlineStr">
        <is>
          <t>Interdimensional Horror</t>
        </is>
      </c>
      <c r="C2" t="inlineStr">
        <is>
          <t>Blood Red</t>
        </is>
      </c>
      <c r="D2" t="n">
        <v>666.66</v>
      </c>
      <c r="E2" t="inlineStr">
        <is>
          <t>Fire Orange</t>
        </is>
      </c>
      <c r="F2" t="n">
        <v>11.0</v>
      </c>
      <c r="G2" t="n">
        <v>12.34</v>
      </c>
      <c r="H2" t="n">
        <v>666.0</v>
      </c>
      <c r="I2" t="inlineStr">
        <is>
          <t>Child Screams</t>
        </is>
      </c>
      <c r="J2" t="n">
        <v>3.0</v>
      </c>
      <c r="K2" t="n">
        <v>42.0</v>
      </c>
      <c r="L2" t="n">
        <v>33.33</v>
      </c>
      <c r="M2" t="n">
        <v>5.55</v>
      </c>
      <c r="N2" t="n">
        <v>11.0</v>
      </c>
      <c r="O2" t="b">
        <v>1</v>
      </c>
      <c r="P2" t="n">
        <v>666.0</v>
      </c>
      <c r="Q2" t="n">
        <v>0.0</v>
      </c>
      <c r="R2" t="n">
        <v>100.0</v>
      </c>
      <c r="S2" t="n">
        <v>2.147483647E9</v>
      </c>
      <c r="T2" t="n">
        <v>0.0</v>
      </c>
      <c r="U2" t="n">
        <v>999.0</v>
      </c>
    </row>
    <row r="3">
      <c r="A3" t="inlineStr">
        <is>
          <t>Bozo the Destroyer</t>
        </is>
      </c>
      <c r="B3" t="inlineStr">
        <is>
          <t>Sleeper Agent</t>
        </is>
      </c>
      <c r="C3" t="inlineStr">
        <is>
          <t>RED</t>
        </is>
      </c>
      <c r="D3" t="n">
        <v>99.99</v>
      </c>
      <c r="E3" t="inlineStr">
        <is>
          <t>Rainbow</t>
        </is>
      </c>
      <c r="F3" t="n">
        <v>9000.0</v>
      </c>
      <c r="G3" t="n">
        <v>15.67</v>
      </c>
      <c r="H3" t="n">
        <v>120.0</v>
      </c>
      <c r="I3" t="inlineStr">
        <is>
          <t>Polka Dot</t>
        </is>
      </c>
      <c r="J3" t="n">
        <v>3.0</v>
      </c>
      <c r="K3" t="n">
        <v>666.0</v>
      </c>
      <c r="L3" t="n">
        <v>33.33</v>
      </c>
      <c r="M3" t="n">
        <v>5.55</v>
      </c>
      <c r="N3" t="n">
        <v>9.0</v>
      </c>
      <c r="O3" t="b">
        <v>1</v>
      </c>
      <c r="P3" t="n">
        <v>666.0</v>
      </c>
      <c r="Q3" t="n">
        <v>13.0</v>
      </c>
      <c r="R3" t="n">
        <v>99.99</v>
      </c>
      <c r="S3" t="n">
        <v>2.147483647E9</v>
      </c>
      <c r="T3" t="n">
        <v>0.0</v>
      </c>
      <c r="U3" t="n">
        <v>999.0</v>
      </c>
    </row>
    <row r="4">
      <c r="A4" t="inlineStr">
        <is>
          <t>DBA the Clown</t>
        </is>
      </c>
      <c r="B4" t="inlineStr">
        <is>
          <t>Database Terror</t>
        </is>
      </c>
      <c r="C4" t="inlineStr">
        <is>
          <t>RED</t>
        </is>
      </c>
      <c r="D4" t="n">
        <v>99.99</v>
      </c>
      <c r="E4" t="inlineStr">
        <is>
          <t>Rainbow</t>
        </is>
      </c>
      <c r="F4" t="n">
        <v>11.0</v>
      </c>
      <c r="G4" t="n">
        <v>12.34</v>
      </c>
      <c r="H4" t="n">
        <v>120.0</v>
      </c>
      <c r="I4" t="inlineStr">
        <is>
          <t>ER Diagrams</t>
        </is>
      </c>
      <c r="J4" t="n">
        <v>3.0</v>
      </c>
      <c r="K4" t="n">
        <v>42.0</v>
      </c>
      <c r="L4" t="n">
        <v>33.33</v>
      </c>
      <c r="M4" t="n">
        <v>5.55</v>
      </c>
      <c r="N4" t="n">
        <v>9.0</v>
      </c>
      <c r="O4" t="b">
        <v>1</v>
      </c>
      <c r="P4" t="n">
        <v>666.0</v>
      </c>
      <c r="Q4" t="n">
        <v>0.0</v>
      </c>
      <c r="R4" t="n">
        <v>99.99</v>
      </c>
      <c r="S4" t="n">
        <v>2.147483647E9</v>
      </c>
      <c r="T4" t="n">
        <v>2.147483647E9</v>
      </c>
      <c r="U4" t="n">
        <v>9999.0</v>
      </c>
    </row>
    <row r="5">
      <c r="A5" t="inlineStr">
        <is>
          <t>Dr. Giggles</t>
        </is>
      </c>
      <c r="B5" t="inlineStr">
        <is>
          <t>Medical Horror</t>
        </is>
      </c>
      <c r="C5" t="inlineStr">
        <is>
          <t>Surgical Green</t>
        </is>
      </c>
      <c r="D5" t="n">
        <v>99.99</v>
      </c>
      <c r="E5" t="inlineStr">
        <is>
          <t>Blood Splatter</t>
        </is>
      </c>
      <c r="F5" t="n">
        <v>11.0</v>
      </c>
      <c r="G5" t="n">
        <v>12.34</v>
      </c>
      <c r="H5" t="n">
        <v>120.0</v>
      </c>
      <c r="I5" t="inlineStr">
        <is>
          <t>Polka Dot</t>
        </is>
      </c>
      <c r="J5" t="n">
        <v>3.0</v>
      </c>
      <c r="K5" t="n">
        <v>42.0</v>
      </c>
      <c r="L5" t="n">
        <v>33.33</v>
      </c>
      <c r="M5" t="n">
        <v>5.55</v>
      </c>
      <c r="N5" t="n">
        <v>9.0</v>
      </c>
      <c r="O5" t="b">
        <v>1</v>
      </c>
      <c r="P5" t="n">
        <v>666.0</v>
      </c>
      <c r="Q5" t="n">
        <v>0.0</v>
      </c>
      <c r="R5" t="n">
        <v>99.99</v>
      </c>
      <c r="S5" t="n">
        <v>2.147483647E9</v>
      </c>
      <c r="T5" t="n">
        <v>0.0</v>
      </c>
      <c r="U5" t="n">
        <v>999.0</v>
      </c>
    </row>
    <row r="6">
      <c r="A6" t="inlineStr">
        <is>
          <t>Pennywise</t>
        </is>
      </c>
      <c r="B6" t="inlineStr">
        <is>
          <t>Interdimensional Horror</t>
        </is>
      </c>
      <c r="C6" t="inlineStr">
        <is>
          <t>Blood Red</t>
        </is>
      </c>
      <c r="D6" t="n">
        <v>199.99</v>
      </c>
      <c r="E6" t="inlineStr">
        <is>
          <t>Orange Fire</t>
        </is>
      </c>
      <c r="F6" t="n">
        <v>11.0</v>
      </c>
      <c r="G6" t="n">
        <v>12.34</v>
      </c>
      <c r="H6" t="n">
        <v>666.0</v>
      </c>
      <c r="I6" t="inlineStr">
        <is>
          <t>Polka Dot</t>
        </is>
      </c>
      <c r="J6" t="n">
        <v>3.0</v>
      </c>
      <c r="K6" t="n">
        <v>42.0</v>
      </c>
      <c r="L6" t="n">
        <v>33.33</v>
      </c>
      <c r="M6" t="n">
        <v>5.55</v>
      </c>
      <c r="N6" t="n">
        <v>11.0</v>
      </c>
      <c r="O6" t="b">
        <v>1</v>
      </c>
      <c r="P6" t="n">
        <v>666.0</v>
      </c>
      <c r="Q6" t="n">
        <v>0.0</v>
      </c>
      <c r="R6" t="n">
        <v>100.0</v>
      </c>
      <c r="S6" t="n">
        <v>2.147483647E9</v>
      </c>
      <c r="T6" t="n">
        <v>0.0</v>
      </c>
      <c r="U6" t="n">
        <v>999.0</v>
      </c>
    </row>
    <row r="7">
      <c r="A7" t="inlineStr">
        <is>
          <t>Bozo the Destroyer</t>
        </is>
      </c>
      <c r="B7" t="inlineStr">
        <is>
          <t>Sleeper Agent</t>
        </is>
      </c>
      <c r="C7" t="inlineStr">
        <is>
          <t>RED</t>
        </is>
      </c>
      <c r="D7" t="n">
        <v>99.99</v>
      </c>
      <c r="E7" t="inlineStr">
        <is>
          <t>Rainbow</t>
        </is>
      </c>
      <c r="F7" t="n">
        <v>15.0</v>
      </c>
      <c r="G7" t="n">
        <v>15.67</v>
      </c>
      <c r="H7" t="n">
        <v>120.0</v>
      </c>
      <c r="I7" t="inlineStr">
        <is>
          <t>Hypnotic Spirals</t>
        </is>
      </c>
      <c r="J7" t="n">
        <v>3.0</v>
      </c>
      <c r="K7" t="n">
        <v>666.0</v>
      </c>
      <c r="L7" t="n">
        <v>33.33</v>
      </c>
      <c r="M7" t="n">
        <v>5.55</v>
      </c>
      <c r="N7" t="n">
        <v>9.0</v>
      </c>
      <c r="O7" t="b">
        <v>1</v>
      </c>
      <c r="P7" t="n">
        <v>666.0</v>
      </c>
      <c r="Q7" t="n">
        <v>13.0</v>
      </c>
      <c r="R7" t="n">
        <v>99.99</v>
      </c>
      <c r="S7" t="n">
        <v>2.147483647E9</v>
      </c>
      <c r="T7" t="n">
        <v>0.0</v>
      </c>
      <c r="U7" t="n">
        <v>999.0</v>
      </c>
    </row>
    <row r="8">
      <c r="A8" t="inlineStr">
        <is>
          <t>Null the Clown</t>
        </is>
      </c>
      <c r="B8" t="inlineStr">
        <is>
          <t>Database Terror</t>
        </is>
      </c>
      <c r="C8" t="inlineStr">
        <is>
          <t>ERROR</t>
        </is>
      </c>
      <c r="D8" t="n">
        <v>99.99</v>
      </c>
      <c r="E8" t="inlineStr">
        <is>
          <t>Rainbow</t>
        </is>
      </c>
      <c r="F8" t="n">
        <v>11.0</v>
      </c>
      <c r="G8" t="n">
        <v>12.34</v>
      </c>
      <c r="H8" t="n">
        <v>120.0</v>
      </c>
      <c r="I8" t="inlineStr">
        <is>
          <t>Polka Dot</t>
        </is>
      </c>
      <c r="J8" t="n">
        <v>3.0</v>
      </c>
      <c r="K8" t="n">
        <v>42.0</v>
      </c>
      <c r="L8" t="n">
        <v>100.0</v>
      </c>
      <c r="M8" t="n">
        <v>0.01</v>
      </c>
      <c r="N8" t="n">
        <v>9.0</v>
      </c>
      <c r="O8" t="b">
        <v>1</v>
      </c>
      <c r="P8" t="n">
        <v>666.0</v>
      </c>
      <c r="Q8" t="n">
        <v>0.0</v>
      </c>
      <c r="R8" t="n">
        <v>99.99</v>
      </c>
      <c r="S8" t="n">
        <v>2.147483647E9</v>
      </c>
      <c r="T8" t="n">
        <v>2.147483647E9</v>
      </c>
      <c r="U8" t="n">
        <v>9999.0</v>
      </c>
    </row>
    <row r="9">
      <c r="A9" t="inlineStr">
        <is>
          <t>Captain Carnival</t>
        </is>
      </c>
      <c r="B9" t="inlineStr">
        <is>
          <t>Ringmaster of Doom</t>
        </is>
      </c>
      <c r="C9" t="inlineStr">
        <is>
          <t>RED</t>
        </is>
      </c>
      <c r="D9" t="n">
        <v>99.99</v>
      </c>
      <c r="E9" t="inlineStr">
        <is>
          <t>Radioactive Green</t>
        </is>
      </c>
      <c r="F9" t="n">
        <v>11.0</v>
      </c>
      <c r="G9" t="n">
        <v>12.34</v>
      </c>
      <c r="H9" t="n">
        <v>120.0</v>
      </c>
      <c r="I9" t="inlineStr">
        <is>
          <t>Polka Dot</t>
        </is>
      </c>
      <c r="J9" t="n">
        <v>7.0</v>
      </c>
      <c r="K9" t="n">
        <v>42.0</v>
      </c>
      <c r="L9" t="n">
        <v>33.33</v>
      </c>
      <c r="M9" t="n">
        <v>5.55</v>
      </c>
      <c r="N9" t="n">
        <v>9.0</v>
      </c>
      <c r="O9" t="b">
        <v>1</v>
      </c>
      <c r="P9" t="n">
        <v>1000.0</v>
      </c>
      <c r="Q9" t="n">
        <v>0.0</v>
      </c>
      <c r="R9" t="n">
        <v>99.99</v>
      </c>
      <c r="S9" t="n">
        <v>9999999.0</v>
      </c>
      <c r="T9" t="n">
        <v>0.0</v>
      </c>
      <c r="U9" t="n">
        <v>999.0</v>
      </c>
    </row>
    <row r="10">
      <c r="A10" t="inlineStr">
        <is>
          <t>Mime Prime</t>
        </is>
      </c>
      <c r="B10" t="inlineStr">
        <is>
          <t>Unspeakable Horror</t>
        </is>
      </c>
      <c r="C10" t="inlineStr">
        <is>
          <t>RED</t>
        </is>
      </c>
      <c r="D10" t="n">
        <v>99.99</v>
      </c>
      <c r="E10" t="inlineStr">
        <is>
          <t>Rainbow</t>
        </is>
      </c>
      <c r="F10" t="n">
        <v>11.0</v>
      </c>
      <c r="G10" t="n">
        <v>12.34</v>
      </c>
      <c r="H10" t="n">
        <v>0.0</v>
      </c>
      <c r="I10" t="inlineStr">
        <is>
          <t>Polka Dot</t>
        </is>
      </c>
      <c r="J10" t="n">
        <v>3.0</v>
      </c>
      <c r="K10" t="n">
        <v>42.0</v>
      </c>
      <c r="L10" t="n">
        <v>33.33</v>
      </c>
      <c r="M10" t="n">
        <v>5.55</v>
      </c>
      <c r="N10" t="n">
        <v>12.0</v>
      </c>
      <c r="O10" t="b">
        <v>0</v>
      </c>
      <c r="P10" t="n">
        <v>666.0</v>
      </c>
      <c r="Q10" t="n">
        <v>5.0</v>
      </c>
      <c r="R10" t="n">
        <v>99.99</v>
      </c>
      <c r="S10" t="n">
        <v>2.147483647E9</v>
      </c>
      <c r="T10" t="n">
        <v>0.0</v>
      </c>
      <c r="U10" t="n">
        <v>999.0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11"/>
  <sheetViews>
    <sheetView workbookViewId="0"/>
  </sheetViews>
  <sheetFormatPr defaultRowHeight="15.0"/>
  <cols>
    <col min="1" max="1" width="12.66796875" customWidth="true"/>
    <col min="2" max="2" width="7.16796875" customWidth="true"/>
    <col min="3" max="3" width="23.328125" customWidth="true"/>
    <col min="4" max="4" width="8.16796875" customWidth="true"/>
    <col min="5" max="5" width="23.16796875" customWidth="true"/>
    <col min="6" max="6" width="13.66796875" customWidth="true"/>
    <col min="7" max="7" width="20.0" customWidth="true"/>
    <col min="8" max="8" width="21.66796875" customWidth="true"/>
    <col min="9" max="9" width="22.5" customWidth="true"/>
    <col min="10" max="10" width="22.0" customWidth="true"/>
    <col min="11" max="11" width="57.16796875" customWidth="true"/>
    <col min="12" max="12" width="15.0" customWidth="true"/>
    <col min="13" max="13" width="11.828125" customWidth="true"/>
    <col min="14" max="14" width="18.66796875" customWidth="true"/>
    <col min="15" max="15" width="11.16796875" customWidth="true"/>
    <col min="16" max="16" width="8.66796875" customWidth="true"/>
    <col min="17" max="17" width="11.5" customWidth="true"/>
    <col min="18" max="18" width="14.5" customWidth="true"/>
    <col min="19" max="19" width="12.5" customWidth="true"/>
    <col min="20" max="20" width="17.16796875" customWidth="true"/>
    <col min="21" max="21" width="8.828125" customWidth="true"/>
    <col min="22" max="22" width="11.66796875" customWidth="true"/>
    <col min="23" max="23" width="9.0" customWidth="true"/>
    <col min="24" max="24" width="11.828125" customWidth="true"/>
    <col min="25" max="25" width="13.16796875" customWidth="true"/>
    <col min="26" max="26" width="16.0" customWidth="true"/>
    <col min="27" max="27" width="19.0" customWidth="true"/>
    <col min="28" max="28" width="14.0" customWidth="true"/>
  </cols>
  <sheetData>
    <row r="1">
      <c r="A1" t="inlineStr">
        <is>
          <t>TRX_NUMBER</t>
        </is>
      </c>
      <c r="B1" t="inlineStr">
        <is>
          <t>TRX_ID</t>
        </is>
      </c>
      <c r="C1" t="inlineStr">
        <is>
          <t>CIS_CASE_NO_ON_TRANS</t>
        </is>
      </c>
      <c r="D1" t="inlineStr">
        <is>
          <t>SECURED</t>
        </is>
      </c>
      <c r="E1" t="inlineStr">
        <is>
          <t>CCMS_CASE_ID</t>
        </is>
      </c>
      <c r="F1" t="inlineStr">
        <is>
          <t>CCMS_CASE_NUMBER</t>
        </is>
      </c>
      <c r="G1" t="inlineStr">
        <is>
          <t>CCMS_CASE_MIGRATED</t>
        </is>
      </c>
      <c r="H1" t="inlineStr">
        <is>
          <t>DEBT_TRANS_MIGRATED</t>
        </is>
      </c>
      <c r="I1" t="inlineStr">
        <is>
          <t>DEBT_TRANS_CODE</t>
        </is>
      </c>
      <c r="J1" t="inlineStr">
        <is>
          <t>DEBT_TRANS_DESCRIPTION</t>
        </is>
      </c>
      <c r="K1" t="inlineStr">
        <is>
          <t>LAA_DEBT_TYPE</t>
        </is>
      </c>
      <c r="L1" t="inlineStr">
        <is>
          <t>LAA_SCHEME</t>
        </is>
      </c>
      <c r="M1" t="inlineStr">
        <is>
          <t>ATTACHED_TO_CASE</t>
        </is>
      </c>
      <c r="N1" t="inlineStr">
        <is>
          <t>DEBT_TOTAL</t>
        </is>
      </c>
      <c r="O1" t="inlineStr">
        <is>
          <t>CM_DEBT</t>
        </is>
      </c>
      <c r="P1" t="inlineStr">
        <is>
          <t>CM_UNAPPLIED</t>
        </is>
      </c>
      <c r="Q1" t="inlineStr">
        <is>
          <t>ADJUST_DEBT</t>
        </is>
      </c>
      <c r="R1" t="inlineStr">
        <is>
          <t>ADJUST_DEBT_GRE</t>
        </is>
      </c>
      <c r="S1" t="inlineStr">
        <is>
          <t>ADJUST_DEBT_LOW</t>
        </is>
      </c>
      <c r="T1" t="inlineStr">
        <is>
          <t>ADJUST_CHARGE</t>
        </is>
      </c>
      <c r="U1" t="inlineStr">
        <is>
          <t>WD_DEBT</t>
        </is>
      </c>
      <c r="V1" t="inlineStr">
        <is>
          <t>WD_CHARGE</t>
        </is>
      </c>
      <c r="W1" t="inlineStr">
        <is>
          <t>WO_DEBT</t>
        </is>
      </c>
      <c r="X1" t="inlineStr">
        <is>
          <t>WO_CHARGE</t>
        </is>
      </c>
      <c r="Y1" t="inlineStr">
        <is>
          <t>INCOME_DEBT</t>
        </is>
      </c>
      <c r="Z1" t="inlineStr">
        <is>
          <t>INCOME_CHARGE</t>
        </is>
      </c>
      <c r="AA1" t="inlineStr">
        <is>
          <t>INCOME_UNAPPLIED</t>
        </is>
      </c>
      <c r="AB1" t="inlineStr">
        <is>
          <t>LAST_INT_DATE</t>
        </is>
      </c>
    </row>
    <row r="2">
      <c r="A2" t="n">
        <v>45859.65388731482</v>
      </c>
      <c r="B2" t="n">
        <v>36525.0</v>
      </c>
      <c r="C2" t="inlineStr">
        <is>
          <t>Old Team</t>
        </is>
      </c>
      <c r="D2" t="inlineStr">
        <is>
          <t>Legacy system migration</t>
        </is>
      </c>
      <c r="E2" t="b">
        <v>1</v>
      </c>
      <c r="F2" t="b">
        <v>1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n">
        <v>42.0</v>
      </c>
      <c r="O2" t="n">
        <v>666.0</v>
      </c>
      <c r="P2" t="inlineStr">
        <is>
          <t>LEGACY_VALUE</t>
        </is>
      </c>
      <c r="Q2" t="b">
        <v>1</v>
      </c>
      <c r="R2" t="b">
        <v>1</v>
      </c>
      <c r="S2" t="b">
        <v>0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0</v>
      </c>
      <c r="Z2" t="n">
        <v>8500.0</v>
      </c>
      <c r="AA2" t="inlineStr">
        <is>
          <t>This was carefully migrated</t>
        </is>
      </c>
      <c r="AB2" t="n">
        <v>38518.0</v>
      </c>
    </row>
    <row r="3">
      <c r="A3" t="n">
        <v>43905.604166666664</v>
      </c>
      <c r="B3" t="n">
        <v>43906.0</v>
      </c>
      <c r="C3" t="inlineStr">
        <is>
          <t>QA Team</t>
        </is>
      </c>
      <c r="D3" t="inlineStr">
        <is>
          <t>Test data migration</t>
        </is>
      </c>
      <c r="E3" t="b">
        <v>0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1</v>
      </c>
      <c r="M3" t="b">
        <v>1</v>
      </c>
      <c r="N3" t="n">
        <v>123.0</v>
      </c>
      <c r="O3" t="n">
        <v>456.0</v>
      </c>
      <c r="P3" t="inlineStr">
        <is>
          <t>TEST_USER_1</t>
        </is>
      </c>
      <c r="Q3" t="b">
        <v>1</v>
      </c>
      <c r="R3" t="b">
        <v>1</v>
      </c>
      <c r="S3" t="b">
        <v>1</v>
      </c>
      <c r="T3" t="b">
        <v>0</v>
      </c>
      <c r="U3" t="b">
        <v>1</v>
      </c>
      <c r="V3" t="b">
        <v>0</v>
      </c>
      <c r="W3" t="b">
        <v>0</v>
      </c>
      <c r="X3" t="b">
        <v>1</v>
      </c>
      <c r="Y3" t="b">
        <v>1</v>
      </c>
      <c r="Z3" t="n">
        <v>7500.0</v>
      </c>
      <c r="AA3" t="inlineStr">
        <is>
          <t>This is real production data</t>
        </is>
      </c>
      <c r="AB3" t="n">
        <v>43922.0</v>
      </c>
    </row>
    <row r="4">
      <c r="A4" t="n">
        <v>43405.385416666664</v>
      </c>
      <c r="B4" t="n">
        <v>43406.0</v>
      </c>
      <c r="C4" t="inlineStr">
        <is>
          <t>Firefighter Dev</t>
        </is>
      </c>
      <c r="D4" t="inlineStr">
        <is>
          <t>Production emergency fix</t>
        </is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n">
        <v>0.0</v>
      </c>
      <c r="O4" t="n">
        <v>1.0</v>
      </c>
      <c r="P4" t="inlineStr">
        <is>
          <t>TEMPORARY_FIX</t>
        </is>
      </c>
      <c r="Q4" t="b">
        <v>1</v>
      </c>
      <c r="R4" t="b">
        <v>1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1</v>
      </c>
      <c r="Z4" t="n">
        <v>5000.0</v>
      </c>
      <c r="AA4" t="inlineStr">
        <is>
          <t>This is just a temporary workaround</t>
        </is>
      </c>
      <c r="AB4" t="n">
        <v>43407.0</v>
      </c>
    </row>
    <row r="5">
      <c r="A5" t="n">
        <v>42205.489583333336</v>
      </c>
      <c r="B5" t="n">
        <v>42370.0</v>
      </c>
      <c r="C5" t="inlineStr">
        <is>
          <t>System Migration</t>
        </is>
      </c>
      <c r="D5" t="inlineStr">
        <is>
          <t>Orphaned from parent system</t>
        </is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 t="b">
        <v>1</v>
      </c>
      <c r="N5" t="n">
        <v>999.0</v>
      </c>
      <c r="O5" t="n">
        <v>-1.0</v>
      </c>
      <c r="P5" t="inlineStr">
        <is>
          <t>ORPHANED</t>
        </is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1</v>
      </c>
      <c r="Y5" t="b">
        <v>0</v>
      </c>
      <c r="Z5" t="n">
        <v>9500.0</v>
      </c>
      <c r="AA5" t="inlineStr">
        <is>
          <t>These records are properly linked</t>
        </is>
      </c>
      <c r="AB5" t="n">
        <v>42369.0</v>
      </c>
    </row>
    <row r="6">
      <c r="A6" t="n">
        <v>43595.680555555555</v>
      </c>
      <c r="B6" t="n">
        <v>43596.0</v>
      </c>
      <c r="C6" t="inlineStr">
        <is>
          <t>Documentation Team</t>
        </is>
      </c>
      <c r="D6" t="inlineStr">
        <is>
          <t>Business requirement</t>
        </is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n">
        <v>1.0</v>
      </c>
      <c r="O6" t="n">
        <v>0.0</v>
      </c>
      <c r="P6" t="inlineStr">
        <is>
          <t>DOCS_ARE_CORRECT</t>
        </is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1</v>
      </c>
      <c r="Y6" t="b">
        <v>0</v>
      </c>
      <c r="Z6" t="n">
        <v>3000.0</v>
      </c>
      <c r="AA6" t="inlineStr">
        <is>
          <t>This documentation is 100% accurate</t>
        </is>
      </c>
      <c r="AB6" t="n">
        <v>43617.0</v>
      </c>
    </row>
    <row r="7">
      <c r="A7" t="n">
        <v>45859.65388733796</v>
      </c>
      <c r="B7" t="n">
        <v>36525.0</v>
      </c>
      <c r="C7" t="inlineStr">
        <is>
          <t>Old Team</t>
        </is>
      </c>
      <c r="D7" t="inlineStr">
        <is>
          <t>Legacy system migration</t>
        </is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n">
        <v>42.0</v>
      </c>
      <c r="O7" t="n">
        <v>666.0</v>
      </c>
      <c r="P7" t="inlineStr">
        <is>
          <t>LEGACY_VALUE</t>
        </is>
      </c>
      <c r="Q7" t="b">
        <v>1</v>
      </c>
      <c r="R7" t="b">
        <v>1</v>
      </c>
      <c r="S7" t="b">
        <v>0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0</v>
      </c>
      <c r="Z7" t="n">
        <v>8500.0</v>
      </c>
      <c r="AA7" t="inlineStr">
        <is>
          <t>This was carefully migrated</t>
        </is>
      </c>
      <c r="AB7" t="n">
        <v>38518.0</v>
      </c>
    </row>
    <row r="8">
      <c r="A8" t="n">
        <v>43905.604166666664</v>
      </c>
      <c r="B8" t="n">
        <v>43906.0</v>
      </c>
      <c r="C8" t="inlineStr">
        <is>
          <t>QA Team</t>
        </is>
      </c>
      <c r="D8" t="inlineStr">
        <is>
          <t>Test data migration</t>
        </is>
      </c>
      <c r="E8" t="b">
        <v>0</v>
      </c>
      <c r="F8" t="b">
        <v>1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 t="b">
        <v>1</v>
      </c>
      <c r="N8" t="n">
        <v>123.0</v>
      </c>
      <c r="O8" t="n">
        <v>456.0</v>
      </c>
      <c r="P8" t="inlineStr">
        <is>
          <t>TEST_USER_1</t>
        </is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0</v>
      </c>
      <c r="W8" t="b">
        <v>0</v>
      </c>
      <c r="X8" t="b">
        <v>1</v>
      </c>
      <c r="Y8" t="b">
        <v>1</v>
      </c>
      <c r="Z8" t="n">
        <v>7500.0</v>
      </c>
      <c r="AA8" t="inlineStr">
        <is>
          <t>This is real production data</t>
        </is>
      </c>
      <c r="AB8" t="n">
        <v>43922.0</v>
      </c>
    </row>
    <row r="9">
      <c r="A9" t="n">
        <v>43405.385416666664</v>
      </c>
      <c r="B9" t="n">
        <v>43406.0</v>
      </c>
      <c r="C9" t="inlineStr">
        <is>
          <t>Firefighter Dev</t>
        </is>
      </c>
      <c r="D9" t="inlineStr">
        <is>
          <t>Production emergency fix</t>
        </is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n">
        <v>0.0</v>
      </c>
      <c r="O9" t="n">
        <v>1.0</v>
      </c>
      <c r="P9" t="inlineStr">
        <is>
          <t>TEMPORARY_FIX</t>
        </is>
      </c>
      <c r="Q9" t="b">
        <v>1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1</v>
      </c>
      <c r="Z9" t="n">
        <v>5000.0</v>
      </c>
      <c r="AA9" t="inlineStr">
        <is>
          <t>This is just a temporary workaround</t>
        </is>
      </c>
      <c r="AB9" t="n">
        <v>43407.0</v>
      </c>
    </row>
    <row r="10">
      <c r="A10" t="n">
        <v>42205.489583333336</v>
      </c>
      <c r="B10" t="n">
        <v>42370.0</v>
      </c>
      <c r="C10" t="inlineStr">
        <is>
          <t>System Migration</t>
        </is>
      </c>
      <c r="D10" t="inlineStr">
        <is>
          <t>Orphaned from parent system</t>
        </is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 t="b">
        <v>1</v>
      </c>
      <c r="N10" t="n">
        <v>999.0</v>
      </c>
      <c r="O10" t="n">
        <v>-1.0</v>
      </c>
      <c r="P10" t="inlineStr">
        <is>
          <t>ORPHANED</t>
        </is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1</v>
      </c>
      <c r="W10" t="b">
        <v>1</v>
      </c>
      <c r="X10" t="b">
        <v>1</v>
      </c>
      <c r="Y10" t="b">
        <v>0</v>
      </c>
      <c r="Z10" t="n">
        <v>9500.0</v>
      </c>
      <c r="AA10" t="inlineStr">
        <is>
          <t>These records are properly linked</t>
        </is>
      </c>
      <c r="AB10" t="n">
        <v>42369.0</v>
      </c>
    </row>
    <row r="11">
      <c r="A11" t="n">
        <v>43595.680555555555</v>
      </c>
      <c r="B11" t="n">
        <v>43596.0</v>
      </c>
      <c r="C11" t="inlineStr">
        <is>
          <t>Documentation Team</t>
        </is>
      </c>
      <c r="D11" t="inlineStr">
        <is>
          <t>Business requirement</t>
        </is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n">
        <v>1.0</v>
      </c>
      <c r="O11" t="n">
        <v>0.0</v>
      </c>
      <c r="P11" t="inlineStr">
        <is>
          <t>DOCS_ARE_CORRECT</t>
        </is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1</v>
      </c>
      <c r="Y11" t="b">
        <v>0</v>
      </c>
      <c r="Z11" t="n">
        <v>3000.0</v>
      </c>
      <c r="AA11" t="inlineStr">
        <is>
          <t>This documentation is 100% accurate</t>
        </is>
      </c>
      <c r="AB11" t="n">
        <v>43617.0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pageSetUpPr autoPageBreaks="false"/>
  </sheetPr>
  <dimension ref="A1:L30"/>
  <sheetViews>
    <sheetView workbookViewId="0"/>
  </sheetViews>
  <sheetFormatPr defaultRowHeight="15.0"/>
  <cols>
    <col min="1" max="1" width="54.5703125" customWidth="true"/>
    <col min="2" max="2" width="16.5703125" customWidth="true"/>
    <col min="3" max="3" width="16.28515625" customWidth="true"/>
    <col min="4" max="4" width="20.7109375" customWidth="true"/>
    <col min="5" max="5" width="10.7109375" customWidth="true"/>
    <col min="6" max="6" width="16.28515625" customWidth="true"/>
    <col min="7" max="7" width="16.28515625" customWidth="true"/>
    <col min="8" max="8" width="22.28515625" customWidth="true"/>
    <col min="9" max="9" width="9.140625" customWidth="true"/>
    <col min="10" max="10" width="15.42578125" customWidth="true"/>
    <col min="11" max="11" width="15.28515625" customWidth="true"/>
    <col min="12" max="12" width="20.7109375" customWidth="true"/>
  </cols>
  <sheetData>
    <row r="1" ht="15.0" customHeight="true" hidden="false">
      <c r="A1" s="359" t="s">
        <v>0</v>
      </c>
      <c r="B1" s="359"/>
      <c r="C1" s="360"/>
      <c r="D1" s="360"/>
      <c r="E1" s="361"/>
      <c r="F1" s="359"/>
      <c r="G1" s="359"/>
      <c r="H1" s="362"/>
      <c r="I1" s="362"/>
      <c r="J1" s="362"/>
      <c r="K1" s="362"/>
      <c r="L1" s="362"/>
    </row>
    <row r="2" ht="15.75" customHeight="true" hidden="false">
      <c r="A2" s="359"/>
      <c r="B2" s="359"/>
      <c r="C2" s="362"/>
      <c r="D2" s="359"/>
      <c r="E2" s="359"/>
      <c r="F2" s="359"/>
      <c r="G2" s="359"/>
      <c r="H2" s="362"/>
      <c r="I2" s="363"/>
      <c r="J2" s="362"/>
      <c r="K2" s="362"/>
      <c r="L2" s="362"/>
    </row>
    <row r="3" ht="15.75" customHeight="true" hidden="false">
      <c r="A3" s="359"/>
      <c r="B3" s="359" t="s">
        <v>1</v>
      </c>
      <c r="C3" s="362"/>
      <c r="D3" s="359"/>
      <c r="E3" s="359"/>
      <c r="F3" s="359" t="s">
        <v>2</v>
      </c>
      <c r="G3" s="359"/>
      <c r="H3" s="362"/>
      <c r="I3" s="363"/>
      <c r="J3" s="362" t="s">
        <v>3</v>
      </c>
      <c r="K3" s="362"/>
      <c r="L3" s="362"/>
    </row>
    <row r="4" ht="15.0" customHeight="true" hidden="false">
      <c r="A4" s="359" t="s">
        <v>4</v>
      </c>
      <c r="B4" s="359" t="s">
        <v>5</v>
      </c>
      <c r="C4" s="362" t="s">
        <v>6</v>
      </c>
      <c r="D4" s="359" t="s">
        <v>7</v>
      </c>
      <c r="E4" s="359"/>
      <c r="F4" s="359" t="s">
        <v>5</v>
      </c>
      <c r="G4" s="359" t="s">
        <v>6</v>
      </c>
      <c r="H4" s="362" t="s">
        <v>7</v>
      </c>
      <c r="I4" s="363"/>
      <c r="J4" s="362" t="s">
        <v>5</v>
      </c>
      <c r="K4" s="362" t="s">
        <v>6</v>
      </c>
      <c r="L4" s="362" t="s">
        <v>7</v>
      </c>
    </row>
    <row r="5" ht="15.0" customHeight="true" hidden="false">
      <c r="A5" s="364" t="s">
        <v>8</v>
      </c>
      <c r="B5" s="365">
        <f>SUM(C5:D5)</f>
      </c>
      <c r="C5" s="365">
        <f>SUM(CCMS_CASE_TOTALS_TRUE!GF:GF)</f>
      </c>
      <c r="D5" s="365">
        <f>H5</f>
      </c>
      <c r="E5" s="365"/>
      <c r="F5" s="365">
        <f>SUM(G5:H5)</f>
      </c>
      <c r="G5" s="365">
        <f>SUM(CCMS_CASE_TOTALS_TRUE!GK:GK)</f>
      </c>
      <c r="H5" s="365">
        <f>SUM(CCMS_CASE_TOTALS_TRUE!GW:GW)</f>
      </c>
      <c r="I5" s="366"/>
      <c r="J5" s="365">
        <f>B5-F5</f>
      </c>
      <c r="K5" s="365">
        <f>C5-G5</f>
      </c>
      <c r="L5" s="365">
        <f>D5-H5</f>
      </c>
    </row>
    <row r="6" ht="15.0" customHeight="true" hidden="false">
      <c r="A6" s="364" t="s">
        <v>9</v>
      </c>
      <c r="B6" s="365">
        <f>SUM(C6:D6)</f>
      </c>
      <c r="C6" s="365">
        <f>SUM(CCMS_CASE_TOTALS_TRUE!GG:GG)</f>
      </c>
      <c r="D6" s="365">
        <f>H6</f>
      </c>
      <c r="E6" s="365"/>
      <c r="F6" s="365">
        <f>SUM(G6:H6)</f>
      </c>
      <c r="G6" s="365">
        <f>SUM(CCMS_CASE_TOTALS_TRUE!GL:GL)</f>
      </c>
      <c r="H6" s="365">
        <f>SUM(CCMS_CASE_TOTALS_TRUE!GX:GX)</f>
      </c>
      <c r="I6" s="366"/>
      <c r="J6" s="365">
        <f>B6-F6</f>
      </c>
      <c r="K6" s="365">
        <f>C6-G6</f>
      </c>
      <c r="L6" s="365">
        <f>D6-H6</f>
      </c>
    </row>
    <row r="7" ht="15.0" customHeight="true" hidden="false">
      <c r="A7" s="364" t="s">
        <v>10</v>
      </c>
      <c r="B7" s="365">
        <f>SUM(C7:D7)</f>
      </c>
      <c r="C7" s="365">
        <f>SUM(CCMS_CASE_TOTALS_TRUE!GH:GH)</f>
      </c>
      <c r="D7" s="365">
        <f>H7</f>
      </c>
      <c r="E7" s="365"/>
      <c r="F7" s="365">
        <f>SUM(G7:H7)</f>
      </c>
      <c r="G7" s="365">
        <f>SUM(CCMS_CASE_TOTALS_TRUE!GM:GM)</f>
      </c>
      <c r="H7" s="365">
        <f>SUM(CCMS_CASE_TOTALS_TRUE!GY:GY)</f>
      </c>
      <c r="I7" s="366"/>
      <c r="J7" s="365">
        <f>B7-F7</f>
      </c>
      <c r="K7" s="365">
        <f>C7-G7</f>
      </c>
      <c r="L7" s="365">
        <f>D7-H7</f>
      </c>
    </row>
    <row r="8" ht="15.0" customHeight="true" hidden="false">
      <c r="A8" s="364" t="s">
        <v>11</v>
      </c>
      <c r="B8" s="365">
        <f>SUM(C8:D8)</f>
      </c>
      <c r="C8" s="365">
        <f>SUM(CCMS_CASE_TOTALS_TRUE!GI:GI)</f>
      </c>
      <c r="D8" s="365">
        <f>H8</f>
      </c>
      <c r="E8" s="365"/>
      <c r="F8" s="365">
        <f>SUM(G8:H8)</f>
      </c>
      <c r="G8" s="365">
        <f>SUM(CCMS_CASE_TOTALS_TRUE!GN:GN)</f>
      </c>
      <c r="H8" s="365">
        <f>SUM(CCMS_CASE_TOTALS_TRUE!GZ:GZ)</f>
      </c>
      <c r="I8" s="366"/>
      <c r="J8" s="365">
        <f>B8-F8</f>
      </c>
      <c r="K8" s="365">
        <f>C8-G8</f>
      </c>
      <c r="L8" s="365">
        <f>D8-H8</f>
      </c>
    </row>
    <row r="9" ht="15.0" customHeight="true" hidden="false">
      <c r="A9" s="364" t="s">
        <v>12</v>
      </c>
      <c r="B9" s="365">
        <f>SUM(C9:D9)</f>
      </c>
      <c r="C9" s="365">
        <f>SUMIF(CCMS_CASE_TOTALS_TRUE!HA:HA,"&lt;&gt;0",CCMS_CASE_TOTALS_TRUE!GJ:GJ)</f>
      </c>
      <c r="D9" s="365">
        <f>H9</f>
      </c>
      <c r="E9" s="365"/>
      <c r="F9" s="365">
        <f>SUM(G9:H9)</f>
      </c>
      <c r="G9" s="365">
        <f>SUMIF(CCMS_CASE_TOTALS_TRUE!HA:HA,"&lt;&gt;0",CCMS_CASE_TOTALS_TRUE!GO:GO)</f>
      </c>
      <c r="H9" s="365">
        <f>SUM(CCMS_CASE_TOTALS_TRUE!HA:HA)</f>
      </c>
      <c r="I9" s="366"/>
      <c r="J9" s="365">
        <f>B9-F9</f>
      </c>
      <c r="K9" s="365">
        <f>C9-G9</f>
      </c>
      <c r="L9" s="365">
        <f>D9-H9</f>
      </c>
    </row>
    <row r="10" ht="15.0" customHeight="true" hidden="false">
      <c r="A10" s="364" t="s">
        <v>13</v>
      </c>
      <c r="B10" s="365">
        <f>SUM(C10:D10)</f>
      </c>
      <c r="C10" s="365">
        <f>SUMIFS(CCMS_CASE_TOTALS_TRUE!GJ:GJ,CCMS_CASE_TOTALS_TRUE!HA:HA,"=0",CCMS_CASE_TOTALS_TRUE!Q:Q,"Y")</f>
      </c>
      <c r="D10" s="365">
        <f>H10</f>
      </c>
      <c r="E10" s="365"/>
      <c r="F10" s="365">
        <f>SUM(G10:H10)</f>
      </c>
      <c r="G10" s="365">
        <f>SUMIFS(CCMS_CASE_TOTALS_TRUE!GO:GO,CCMS_CASE_TOTALS_TRUE!HA:HA,"=0",CCMS_CASE_TOTALS_TRUE!Q:Q,"Y")</f>
      </c>
      <c r="H10" s="365" t="n">
        <v>0.0</v>
      </c>
      <c r="I10" s="366"/>
      <c r="J10" s="365">
        <f>B10-F10</f>
      </c>
      <c r="K10" s="365">
        <f>C10-G10</f>
      </c>
      <c r="L10" s="365">
        <f>D10-H10</f>
      </c>
    </row>
    <row r="11" ht="15.0" customHeight="true" hidden="false">
      <c r="A11" s="364" t="s">
        <v>14</v>
      </c>
      <c r="B11" s="365">
        <f>SUM(C11:D11)</f>
      </c>
      <c r="C11" s="365">
        <f>SUMIFS(CCMS_CASE_TOTALS_TRUE!GJ:GJ,CCMS_CASE_TOTALS_TRUE!HA:HA,"=0",CCMS_CASE_TOTALS_TRUE!Q:Q,"N")</f>
      </c>
      <c r="D11" s="365">
        <f>H11</f>
      </c>
      <c r="E11" s="365"/>
      <c r="F11" s="365">
        <f>SUM(G11:H11)</f>
      </c>
      <c r="G11" s="365">
        <f>SUMIFS(CCMS_CASE_TOTALS_TRUE!GO:GO,CCMS_CASE_TOTALS_TRUE!HA:HA,"=0",CCMS_CASE_TOTALS_TRUE!Q:Q,"N")</f>
      </c>
      <c r="H11" s="365" t="n">
        <v>0.0</v>
      </c>
      <c r="I11" s="366"/>
      <c r="J11" s="365">
        <f>B11-F11</f>
      </c>
      <c r="K11" s="365">
        <f>C11-G11</f>
      </c>
      <c r="L11" s="365">
        <f>D11-H11</f>
      </c>
    </row>
    <row r="12" ht="15.0" customHeight="true" hidden="false">
      <c r="B12" s="365"/>
      <c r="D12" s="365"/>
      <c r="E12" s="365"/>
      <c r="F12" s="365"/>
      <c r="G12" s="365"/>
      <c r="I12" s="366"/>
    </row>
    <row r="13" ht="15.75" customHeight="true" hidden="false">
      <c r="B13" s="365"/>
      <c r="D13" s="365"/>
      <c r="E13" s="365"/>
      <c r="F13" s="365"/>
      <c r="G13" s="365"/>
      <c r="I13" s="366"/>
    </row>
    <row r="14" ht="15.75" customHeight="true" hidden="false">
      <c r="A14" s="367" t="s">
        <v>5</v>
      </c>
      <c r="B14" s="368">
        <f>SUM(B5:B13)</f>
      </c>
      <c r="C14" s="368">
        <f>SUM(C5:C13)</f>
      </c>
      <c r="D14" s="368">
        <f>SUM(D5:D13)</f>
      </c>
      <c r="E14" s="368"/>
      <c r="F14" s="368">
        <f>SUM(F5:F13)</f>
      </c>
      <c r="G14" s="368">
        <f>SUM(G5:G13)</f>
      </c>
      <c r="H14" s="368">
        <f>SUM(H5:H13)</f>
      </c>
      <c r="I14" s="369"/>
      <c r="J14" s="368">
        <f>SUM(J5:J13)</f>
      </c>
      <c r="K14" s="368">
        <f>SUM(K5:K13)</f>
      </c>
      <c r="L14" s="368">
        <f>SUM(L5:L13)</f>
      </c>
    </row>
    <row r="15" ht="15.75" customHeight="true" hidden="false">
      <c r="I15" s="366"/>
    </row>
    <row r="16" ht="15.0" customHeight="true" hidden="false">
      <c r="F16" s="364" t="s">
        <v>15</v>
      </c>
      <c r="G16" s="365">
        <f>'Correctly linked Civil Cases'!I35-G14</f>
      </c>
      <c r="H16" s="365">
        <f>'Correctly linked Civil Cases'!I22-H14</f>
      </c>
      <c r="I16" s="366"/>
      <c r="K16" s="365">
        <f>'Correctly linked Civil Cases'!I49-K14</f>
      </c>
      <c r="L16" s="365">
        <f>0-L14</f>
      </c>
    </row>
    <row r="17" ht="15.0" customHeight="true" hidden="false">
      <c r="F17" s="364" t="s">
        <v>16</v>
      </c>
      <c r="G17" s="365">
        <f>'Civil Movement Report'!I14+'Civil Movement Report'!I28-'All Debts by Type Summary'!Q17</f>
      </c>
    </row>
    <row r="18" ht="15.0" customHeight="true" hidden="false">
      <c r="F18" s="364" t="s">
        <v>17</v>
      </c>
      <c r="G18" s="365">
        <f>'Civil Movement Report'!I42+'Civil Movement Report'!I54-'All Debts by Type Summary'!Q19</f>
      </c>
    </row>
    <row r="19" ht="15.0" customHeight="true" hidden="false">
      <c r="A19" s="359" t="s">
        <v>4</v>
      </c>
      <c r="B19" s="370" t="s">
        <v>18</v>
      </c>
      <c r="G19" s="365"/>
    </row>
    <row r="20" ht="15.0" customHeight="true" hidden="false">
      <c r="A20" s="364" t="s">
        <v>8</v>
      </c>
      <c r="B20" s="371">
        <f>COUNTIF(CCMS_CASE_TOTALS_TRUE!GK:GK,"&gt;0")</f>
      </c>
      <c r="G20" s="365"/>
    </row>
    <row r="21" ht="15.0" customHeight="true" hidden="false">
      <c r="A21" s="364" t="s">
        <v>9</v>
      </c>
      <c r="B21" s="371">
        <f>COUNTIF(CCMS_CASE_TOTALS_TRUE!GL:GL,"&gt;0")</f>
      </c>
      <c r="G21" s="365"/>
    </row>
    <row r="22" ht="15.0" customHeight="true" hidden="false">
      <c r="A22" s="364" t="s">
        <v>10</v>
      </c>
      <c r="B22" s="371">
        <f>COUNTIF(CCMS_CASE_TOTALS_TRUE!GM:GM,"&gt;0")</f>
      </c>
      <c r="G22" s="365"/>
    </row>
    <row r="23" ht="15.0" customHeight="true" hidden="false">
      <c r="A23" s="364" t="s">
        <v>11</v>
      </c>
      <c r="B23" s="371">
        <f>COUNTIF(CCMS_CASE_TOTALS_TRUE!GN:GN,"&gt;0")</f>
      </c>
      <c r="G23" s="365"/>
    </row>
    <row r="24" ht="15.0" customHeight="true" hidden="false">
      <c r="A24" s="364" t="s">
        <v>12</v>
      </c>
      <c r="B24" s="371">
        <f>COUNTIFS(CCMS_CASE_TOTALS_TRUE!HA:HA,"&lt;&gt;0",CCMS_CASE_TOTALS_TRUE!GO:GO,"&gt;0")</f>
      </c>
    </row>
    <row r="25" ht="15.0" customHeight="true" hidden="false">
      <c r="A25" s="364" t="s">
        <v>13</v>
      </c>
      <c r="B25" s="371">
        <f>COUNTIFS(CCMS_CASE_TOTALS_TRUE!GO:GO,"&gt;0",CCMS_CASE_TOTALS_TRUE!HA:HA,"=0",CCMS_CASE_TOTALS_TRUE!Q:Q,"Y")</f>
      </c>
    </row>
    <row r="26" ht="15.0" customHeight="true" hidden="false">
      <c r="A26" s="364" t="s">
        <v>14</v>
      </c>
      <c r="B26" s="371">
        <f>COUNTIFS(CCMS_CASE_TOTALS_TRUE!GO:GO,"&gt;0",CCMS_CASE_TOTALS_TRUE!HA:HA,"=0",CCMS_CASE_TOTALS_TRUE!Q:Q,"N")</f>
      </c>
    </row>
    <row r="27" ht="15.0" customHeight="true" hidden="false">
      <c r="B27" s="371">
        <f>SUM(B24:B26)</f>
      </c>
    </row>
    <row r="28" ht="15.0" customHeight="true" hidden="false">
      <c r="B28" s="372"/>
    </row>
    <row r="30" ht="15.0" customHeight="true" hidden="false">
      <c r="A30" s="360" t="s">
        <v>19</v>
      </c>
      <c r="B30" s="360">
        <f>MAX(CCMS_CASE_TOTALS_TRUE!DJ:DJ)</f>
      </c>
      <c r="C30" s="361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autoPageBreaks="false"/>
  </sheetPr>
  <dimension ref="A1:L16"/>
  <sheetViews>
    <sheetView workbookViewId="0"/>
  </sheetViews>
  <sheetFormatPr defaultRowHeight="15.0"/>
  <cols>
    <col min="1" max="1" width="32.140625" customWidth="true"/>
  </cols>
  <sheetData>
    <row r="1" ht="15.0" customHeight="true" hidden="false">
      <c r="A1" s="373" t="s">
        <v>0</v>
      </c>
    </row>
    <row r="2" ht="15.75" customHeight="true" hidden="false"/>
    <row r="3" ht="15.75" customHeight="true" hidden="false">
      <c r="B3" s="374" t="s">
        <v>1</v>
      </c>
      <c r="F3" s="374" t="s">
        <v>2</v>
      </c>
      <c r="J3" s="374" t="s">
        <v>3</v>
      </c>
    </row>
    <row r="4" ht="15.0" customHeight="true" hidden="false">
      <c r="A4" s="373" t="s">
        <v>4</v>
      </c>
      <c r="B4" s="374" t="s">
        <v>5</v>
      </c>
      <c r="C4" s="374" t="s">
        <v>6</v>
      </c>
      <c r="D4" s="374" t="s">
        <v>7</v>
      </c>
      <c r="F4" s="374" t="s">
        <v>5</v>
      </c>
      <c r="G4" s="374" t="s">
        <v>6</v>
      </c>
      <c r="H4" s="374" t="s">
        <v>7</v>
      </c>
      <c r="J4" s="374" t="s">
        <v>5</v>
      </c>
      <c r="K4" s="374" t="s">
        <v>6</v>
      </c>
      <c r="L4" s="374" t="s">
        <v>7</v>
      </c>
    </row>
    <row r="5" ht="15.0" customHeight="true" hidden="false">
      <c r="A5" s="373" t="s">
        <v>8</v>
      </c>
      <c r="B5" s="374">
        <f>SUM(C5:D5)</f>
      </c>
      <c r="C5" s="374">
        <f>SUMIF(CCMS_CASE_TOTALS_TRUE!HV:HV,1,CCMS_CASE_TOTALS_TRUE!GF:GF)</f>
      </c>
      <c r="D5" s="374">
        <f>H5</f>
      </c>
      <c r="F5" s="374">
        <f>SUM(G5:H5)</f>
      </c>
      <c r="G5" s="374">
        <f>SUMIF(CCMS_CASE_TOTALS_TRUE!HV:HV,1,CCMS_CASE_TOTALS_TRUE!GK:GK)</f>
      </c>
      <c r="H5" s="374">
        <f>SUMIF(CCMS_CASE_TOTALS_TRUE!HV:HV,1,CCMS_CASE_TOTALS_TRUE!GW:GW)</f>
      </c>
      <c r="J5" s="374">
        <f>B5-F5</f>
      </c>
      <c r="K5" s="374">
        <f>C5-G5</f>
      </c>
      <c r="L5" s="374">
        <f>D5-H5</f>
      </c>
    </row>
    <row r="6" ht="15.0" customHeight="true" hidden="false">
      <c r="A6" s="373" t="s">
        <v>9</v>
      </c>
      <c r="B6" s="374">
        <f>SUM(C6:D6)</f>
      </c>
      <c r="C6" s="374">
        <f>SUMIF(CCMS_CASE_TOTALS_TRUE!HV:HV,1,CCMS_CASE_TOTALS_TRUE!GG:GG)</f>
      </c>
      <c r="D6" s="374">
        <f>H6</f>
      </c>
      <c r="F6" s="374">
        <f>SUM(G6:H6)</f>
      </c>
      <c r="G6" s="374">
        <f>SUMIF(CCMS_CASE_TOTALS_TRUE!HV:HV,1,CCMS_CASE_TOTALS_TRUE!GL:GL)</f>
      </c>
      <c r="H6" s="374">
        <f>SUMIF(CCMS_CASE_TOTALS_TRUE!HV:HV,1,CCMS_CASE_TOTALS_TRUE!GX:GX)</f>
      </c>
      <c r="J6" s="374">
        <f>B6-F6</f>
      </c>
      <c r="K6" s="374">
        <f>C6-G6</f>
      </c>
      <c r="L6" s="374">
        <f>D6-H6</f>
      </c>
    </row>
    <row r="7" ht="15.0" customHeight="true" hidden="false">
      <c r="A7" s="373" t="s">
        <v>10</v>
      </c>
      <c r="B7" s="374">
        <f>SUM(C7:D7)</f>
      </c>
      <c r="C7" s="374">
        <f>SUMIF(CCMS_CASE_TOTALS_TRUE!HV:HV,1,CCMS_CASE_TOTALS_TRUE!GH:GH)</f>
      </c>
      <c r="D7" s="374">
        <f>H7</f>
      </c>
      <c r="F7" s="374">
        <f>SUM(G7:H7)</f>
      </c>
      <c r="G7" s="374">
        <f>SUMIF(CCMS_CASE_TOTALS_TRUE!HV:HV,1,CCMS_CASE_TOTALS_TRUE!GM:GM)</f>
      </c>
      <c r="H7" s="374">
        <f>SUMIF(CCMS_CASE_TOTALS_TRUE!HV:HV,1,CCMS_CASE_TOTALS_TRUE!GY:GY)</f>
      </c>
      <c r="J7" s="374">
        <f>B7-F7</f>
      </c>
      <c r="K7" s="374">
        <f>C7-G7</f>
      </c>
      <c r="L7" s="374">
        <f>D7-H7</f>
      </c>
    </row>
    <row r="8" ht="15.0" customHeight="true" hidden="false">
      <c r="A8" s="373" t="s">
        <v>11</v>
      </c>
      <c r="B8" s="374">
        <f>SUM(C8:D8)</f>
      </c>
      <c r="C8" s="374">
        <f>SUMIF(CCMS_CASE_TOTALS_TRUE!HV:HV,1,CCMS_CASE_TOTALS_TRUE!GI:GI)</f>
      </c>
      <c r="D8" s="374">
        <f>H8</f>
      </c>
      <c r="F8" s="374">
        <f>SUM(G8:H8)</f>
      </c>
      <c r="G8" s="374">
        <f>SUMIF(CCMS_CASE_TOTALS_TRUE!HV:HV,1,CCMS_CASE_TOTALS_TRUE!GN:GN)</f>
      </c>
      <c r="H8" s="374">
        <f>SUMIF(CCMS_CASE_TOTALS_TRUE!HV:HV,1,CCMS_CASE_TOTALS_TRUE!GZ:GZ)</f>
      </c>
      <c r="J8" s="374">
        <f>B8-F8</f>
      </c>
      <c r="K8" s="374">
        <f>C8-G8</f>
      </c>
      <c r="L8" s="374">
        <f>D8-H8</f>
      </c>
    </row>
    <row r="9" ht="15.0" customHeight="true" hidden="false">
      <c r="A9" s="373" t="s">
        <v>12</v>
      </c>
      <c r="B9" s="374">
        <f>SUM(C9:D9)</f>
      </c>
      <c r="C9" s="374">
        <f>SUMIFS(CCMS_CASE_TOTALS_TRUE!GJ:GJ,CCMS_CASE_TOTALS_TRUE!HA:HA,"&lt;&gt;0",CCMS_CASE_TOTALS_TRUE!HV:HV,1)</f>
      </c>
      <c r="D9" s="374">
        <f>H9</f>
      </c>
      <c r="F9" s="374">
        <f>SUM(G9:H9)</f>
      </c>
      <c r="G9" s="374">
        <f>SUMIFS(CCMS_CASE_TOTALS_TRUE!GO:GO,CCMS_CASE_TOTALS_TRUE!HA:HA,"&lt;&gt;0",CCMS_CASE_TOTALS_TRUE!HV:HV,1)</f>
      </c>
      <c r="H9" s="374">
        <f>SUMIF(CCMS_CASE_TOTALS_TRUE!HV:HV,1,CCMS_CASE_TOTALS_TRUE!HA:HA)</f>
      </c>
      <c r="J9" s="374">
        <f>B9-F9</f>
      </c>
      <c r="K9" s="374">
        <f>C9-G9</f>
      </c>
      <c r="L9" s="374">
        <f>D9-H9</f>
      </c>
    </row>
    <row r="10" ht="15.0" customHeight="true" hidden="false">
      <c r="A10" s="373" t="s">
        <v>13</v>
      </c>
      <c r="B10" s="374">
        <f>SUM(C10:D10)</f>
      </c>
      <c r="C10" s="374">
        <f>SUMIFS(CCMS_CASE_TOTALS_TRUE!GJ:GJ,CCMS_CASE_TOTALS_TRUE!HA:HA,"=0",CCMS_CASE_TOTALS_TRUE!Q:Q,"Y",CCMS_CASE_TOTALS_TRUE!HV:HV,1)</f>
      </c>
      <c r="D10" s="374">
        <f>H10</f>
      </c>
      <c r="F10" s="374">
        <f>SUM(G10:H10)</f>
      </c>
      <c r="G10" s="374">
        <f>SUMIFS(CCMS_CASE_TOTALS_TRUE!GO:GO,CCMS_CASE_TOTALS_TRUE!HA:HA,"=0",CCMS_CASE_TOTALS_TRUE!Q:Q,"Y",CCMS_CASE_TOTALS_TRUE!HV:HV,1)</f>
      </c>
      <c r="H10" s="374" t="n">
        <v>0.0</v>
      </c>
      <c r="J10" s="374">
        <f>B10-F10</f>
      </c>
      <c r="K10" s="374">
        <f>C10-G10</f>
      </c>
      <c r="L10" s="374">
        <f>D10-H10</f>
      </c>
    </row>
    <row r="11" ht="15.0" customHeight="true" hidden="false">
      <c r="A11" s="373" t="s">
        <v>14</v>
      </c>
      <c r="B11" s="374">
        <f>SUM(C11:D11)</f>
      </c>
      <c r="C11" s="374">
        <f>SUMIFS(CCMS_CASE_TOTALS_TRUE!GJ:GJ,CCMS_CASE_TOTALS_TRUE!HA:HA,"=0",CCMS_CASE_TOTALS_TRUE!Q:Q,"N",CCMS_CASE_TOTALS_TRUE!HV:HV,1)</f>
      </c>
      <c r="D11" s="374">
        <f>H11</f>
      </c>
      <c r="F11" s="374">
        <f>SUM(G11:H11)</f>
      </c>
      <c r="G11" s="374">
        <f>SUMIFS(CCMS_CASE_TOTALS_TRUE!GO:GO,CCMS_CASE_TOTALS_TRUE!HA:HA,"=0",CCMS_CASE_TOTALS_TRUE!Q:Q,"N",CCMS_CASE_TOTALS_TRUE!HV:HV,1)</f>
      </c>
      <c r="H11" s="374" t="n">
        <v>0.0</v>
      </c>
      <c r="J11" s="374">
        <f>B11-F11</f>
      </c>
      <c r="K11" s="374">
        <f>C11-G11</f>
      </c>
      <c r="L11" s="374">
        <f>D11-H11</f>
      </c>
    </row>
    <row r="13" ht="15.75" customHeight="true" hidden="false"/>
    <row r="14" ht="15.75" customHeight="true" hidden="false">
      <c r="A14" s="373" t="s">
        <v>5</v>
      </c>
      <c r="B14" s="374">
        <f>SUM(B5:B13)</f>
      </c>
      <c r="C14" s="374">
        <f>SUM(C5:C13)</f>
      </c>
      <c r="D14" s="374">
        <f>SUM(D5:D13)</f>
      </c>
      <c r="F14" s="374">
        <f>SUM(F5:F13)</f>
      </c>
      <c r="G14" s="374">
        <f>SUM(G5:G13)</f>
      </c>
      <c r="H14" s="374">
        <f>SUM(H5:H13)</f>
      </c>
      <c r="J14" s="374">
        <f>SUM(J5:J13)</f>
      </c>
      <c r="K14" s="374">
        <f>SUM(K5:K13)</f>
      </c>
      <c r="L14" s="374">
        <f>SUM(L5:L13)</f>
      </c>
    </row>
    <row r="15" ht="15.75" customHeight="true" hidden="false"/>
    <row r="16" ht="15.0" customHeight="true" hidden="false">
      <c r="L16" s="374">
        <f>0-L14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pageSetUpPr autoPageBreaks="false"/>
  </sheetPr>
  <dimension ref="B1:I17"/>
  <sheetViews>
    <sheetView workbookViewId="0"/>
  </sheetViews>
  <sheetFormatPr defaultRowHeight="15.0"/>
  <cols>
    <col min="1" max="1" width="5.140625" customWidth="true"/>
    <col min="2" max="2" width="27.0" customWidth="true"/>
  </cols>
  <sheetData>
    <row r="1" ht="15.0" customHeight="true" hidden="false">
      <c r="B1" s="375" t="s">
        <v>20</v>
      </c>
    </row>
    <row r="2" ht="15.0" customHeight="true" hidden="false">
      <c r="B2" s="375" t="s">
        <v>21</v>
      </c>
    </row>
    <row r="4" ht="15.0" customHeight="true" hidden="false">
      <c r="C4" s="376" t="s">
        <v>22</v>
      </c>
      <c r="D4" s="376" t="s">
        <v>23</v>
      </c>
      <c r="E4" s="376" t="s">
        <v>24</v>
      </c>
      <c r="F4" s="376" t="s">
        <v>25</v>
      </c>
      <c r="G4" s="376" t="s">
        <v>26</v>
      </c>
      <c r="I4" s="376" t="s">
        <v>5</v>
      </c>
    </row>
    <row r="5" ht="15.0" customHeight="true" hidden="false">
      <c r="B5" s="375" t="s">
        <v>27</v>
      </c>
      <c r="C5" s="376">
        <f>'All Debts by Type Summary'!C17</f>
      </c>
      <c r="D5" s="376">
        <f>'All Debts by Type Summary'!D17</f>
      </c>
      <c r="E5" s="376">
        <f>'All Debts by Type Summary'!E17</f>
      </c>
      <c r="F5" s="376">
        <f>'All Debts by Type Summary'!F17</f>
      </c>
      <c r="G5" s="376">
        <f>'All Debts by Type Summary'!G17</f>
      </c>
      <c r="I5" s="376">
        <f>SUM(C5:H5)</f>
      </c>
    </row>
    <row r="6" ht="15.0" customHeight="true" hidden="false">
      <c r="B6" s="375" t="s">
        <v>28</v>
      </c>
      <c r="C6" s="376">
        <f>'All Debts by Type Summary'!C19</f>
      </c>
      <c r="D6" s="376">
        <f>'All Debts by Type Summary'!D19</f>
      </c>
      <c r="E6" s="376">
        <f>'All Debts by Type Summary'!E19</f>
      </c>
      <c r="F6" s="376">
        <f>'All Debts by Type Summary'!F19</f>
      </c>
      <c r="G6" s="376">
        <f>'All Debts by Type Summary'!G19</f>
      </c>
      <c r="I6" s="376">
        <f>SUM(C6:H6)</f>
      </c>
    </row>
    <row r="7" ht="15.0" customHeight="true" hidden="false">
      <c r="B7" s="375" t="s">
        <v>5</v>
      </c>
      <c r="C7" s="376">
        <f>SUM(C5:C6)</f>
      </c>
      <c r="D7" s="376">
        <f>SUM(D5:D6)</f>
      </c>
      <c r="E7" s="376">
        <f>SUM(E5:E6)</f>
      </c>
      <c r="F7" s="376">
        <f>SUM(F5:F6)</f>
      </c>
      <c r="G7" s="376">
        <f>SUM(G5:G6)</f>
      </c>
      <c r="I7" s="376">
        <f>SUM(I5:I6)</f>
      </c>
    </row>
    <row r="9" ht="15.0" customHeight="true" hidden="false">
      <c r="B9" s="375" t="s">
        <v>29</v>
      </c>
    </row>
    <row r="11" ht="15.0" customHeight="true" hidden="false">
      <c r="C11" s="376" t="s">
        <v>27</v>
      </c>
      <c r="D11" s="376" t="s">
        <v>28</v>
      </c>
    </row>
    <row r="12" ht="15.0" customHeight="true" hidden="false">
      <c r="B12" s="375" t="s">
        <v>30</v>
      </c>
      <c r="C12" s="376">
        <f>SUM('Correctly linked Civil Cases'!C20:G20)</f>
      </c>
      <c r="D12" s="376">
        <f>SUM('Correctly linked Civil Cases'!C22:G22)</f>
      </c>
    </row>
    <row r="13" ht="15.0" customHeight="true" hidden="false">
      <c r="B13" s="375" t="s">
        <v>31</v>
      </c>
      <c r="C13" s="376">
        <f>SUM('Civil Debt Exceptions'!C21:G21)</f>
      </c>
      <c r="D13" s="376">
        <f>SUM('Civil Debt Exceptions'!C23:G23)</f>
      </c>
    </row>
    <row r="14" ht="15.0" customHeight="true" hidden="false">
      <c r="B14" s="375" t="s">
        <v>32</v>
      </c>
      <c r="C14" s="376">
        <f>SUM('Civil Debt Exceptions'!C41:G41)</f>
      </c>
      <c r="D14" s="376">
        <f>SUM('Civil Debt Exceptions'!C43:G43)</f>
      </c>
    </row>
    <row r="16" ht="15.0" customHeight="true" hidden="false">
      <c r="B16" s="375" t="s">
        <v>5</v>
      </c>
      <c r="C16" s="376">
        <f>SUM(C12:C15)</f>
      </c>
      <c r="D16" s="376">
        <f>SUM(D12:D15)</f>
      </c>
    </row>
    <row r="17" ht="15.0" customHeight="true" hidden="false">
      <c r="B17" s="375" t="s">
        <v>33</v>
      </c>
      <c r="C17" s="376">
        <f>C16-C5</f>
      </c>
      <c r="D17" s="376">
        <f>D16-C6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pageSetUpPr autoPageBreaks="false"/>
  </sheetPr>
  <dimension ref="A1:I34"/>
  <sheetViews>
    <sheetView workbookViewId="0"/>
  </sheetViews>
  <sheetFormatPr defaultRowHeight="15.0"/>
  <cols>
    <col min="1" max="1" width="12.140625" customWidth="true"/>
  </cols>
  <sheetData>
    <row r="1" ht="15.0" customHeight="true" hidden="false">
      <c r="A1" s="377" t="s">
        <v>34</v>
      </c>
    </row>
    <row r="3" ht="15.0" customHeight="true" hidden="false">
      <c r="A3" s="377" t="s">
        <v>18</v>
      </c>
    </row>
    <row r="5" ht="15.0" customHeight="true" hidden="false">
      <c r="B5" s="378" t="s">
        <v>4</v>
      </c>
    </row>
    <row r="6" ht="15.0" customHeight="true" hidden="false">
      <c r="B6" s="378" t="s">
        <v>9</v>
      </c>
      <c r="C6" s="378" t="s">
        <v>10</v>
      </c>
      <c r="D6" s="378" t="s">
        <v>11</v>
      </c>
      <c r="E6" s="378" t="s">
        <v>35</v>
      </c>
      <c r="F6" s="378" t="s">
        <v>36</v>
      </c>
    </row>
    <row r="7" ht="15.0" customHeight="true" hidden="false">
      <c r="A7" s="377" t="s">
        <v>37</v>
      </c>
      <c r="B7" s="378">
        <f>COUNTIFS(CCMS_CASE_TOTALS_TRUE!GL:GL,"&gt;0",CCMS_CASE_TOTALS_TRUE!$J:$J,"&lt;=30")</f>
      </c>
      <c r="C7" s="378">
        <f>COUNTIFS(CCMS_CASE_TOTALS_TRUE!GM:GM,"&gt;0",CCMS_CASE_TOTALS_TRUE!$J:$J,"&lt;=30")</f>
      </c>
      <c r="D7" s="378">
        <f>COUNTIFS(CCMS_CASE_TOTALS_TRUE!GN:GN,"&gt;0",CCMS_CASE_TOTALS_TRUE!$J:$J,"&lt;=30")</f>
      </c>
      <c r="E7" s="378">
        <f>COUNTIFS(CCMS_CASE_TOTALS_TRUE!GO:GO,"&gt;0",CCMS_CASE_TOTALS_TRUE!HA:HA,"&lt;&gt;0",CCMS_CASE_TOTALS_TRUE!$J:$J,"&lt;=30")</f>
      </c>
      <c r="F7" s="378">
        <f>COUNTIFS(CCMS_CASE_TOTALS_TRUE!GO:GO,"&gt;0",CCMS_CASE_TOTALS_TRUE!HA:HA,"=0",CCMS_CASE_TOTALS_TRUE!$J:$J,"&lt;=30")</f>
      </c>
      <c r="G7" s="378" t="s">
        <v>38</v>
      </c>
      <c r="H7" s="378" t="s">
        <v>38</v>
      </c>
      <c r="I7" s="377" t="s">
        <v>38</v>
      </c>
    </row>
    <row r="8" ht="15.0" customHeight="true" hidden="false">
      <c r="A8" s="377" t="s">
        <v>39</v>
      </c>
      <c r="B8" s="378">
        <f>COUNTIFS(CCMS_CASE_TOTALS_TRUE!GL:GL,"&gt;0",CCMS_CASE_TOTALS_TRUE!$J:$J,"&lt;=60")-SUM(B$7)</f>
      </c>
      <c r="C8" s="378">
        <f>COUNTIFS(CCMS_CASE_TOTALS_TRUE!GM:GM,"&gt;0",CCMS_CASE_TOTALS_TRUE!$J:$J,"&lt;=60")-SUM(C$7)</f>
      </c>
      <c r="D8" s="378">
        <f>COUNTIFS(CCMS_CASE_TOTALS_TRUE!GN:GN,"&gt;0",CCMS_CASE_TOTALS_TRUE!$J:$J,"&lt;=60")-SUM(D$7)</f>
      </c>
      <c r="E8" s="378">
        <f>COUNTIFS(CCMS_CASE_TOTALS_TRUE!GO:GO,"&gt;0",CCMS_CASE_TOTALS_TRUE!HA:HA,"&lt;&gt;0",CCMS_CASE_TOTALS_TRUE!$J:$J,"&lt;=60")-SUM(E$7)</f>
      </c>
      <c r="F8" s="378">
        <f>COUNTIFS(CCMS_CASE_TOTALS_TRUE!GO:GO,"&gt;0",CCMS_CASE_TOTALS_TRUE!HA:HA,"=0",CCMS_CASE_TOTALS_TRUE!$J:$J,"&lt;=60")-SUM(F$7)</f>
      </c>
      <c r="G8" s="378" t="s">
        <v>38</v>
      </c>
      <c r="H8" s="378" t="s">
        <v>38</v>
      </c>
      <c r="I8" s="377" t="s">
        <v>38</v>
      </c>
    </row>
    <row r="9" ht="15.0" customHeight="true" hidden="false">
      <c r="A9" s="377" t="s">
        <v>40</v>
      </c>
      <c r="B9" s="378">
        <f>COUNTIFS(CCMS_CASE_TOTALS_TRUE!GL:GL,"&gt;0",CCMS_CASE_TOTALS_TRUE!$J:$J,"&lt;=90")-SUM(B$7:B8)</f>
      </c>
      <c r="C9" s="378">
        <f>COUNTIFS(CCMS_CASE_TOTALS_TRUE!GM:GM,"&gt;0",CCMS_CASE_TOTALS_TRUE!$J:$J,"&lt;=90")-SUM(C$7:C8)</f>
      </c>
      <c r="D9" s="378">
        <f>COUNTIFS(CCMS_CASE_TOTALS_TRUE!GN:GN,"&gt;0",CCMS_CASE_TOTALS_TRUE!$J:$J,"&lt;=90")-SUM(D$7:D8)</f>
      </c>
      <c r="E9" s="378">
        <f>COUNTIFS(CCMS_CASE_TOTALS_TRUE!GO:GO,"&gt;0",CCMS_CASE_TOTALS_TRUE!HA:HA,"&lt;&gt;0",CCMS_CASE_TOTALS_TRUE!$J:$J,"&lt;=90")-SUM(E$7:E8)</f>
      </c>
      <c r="F9" s="378">
        <f>COUNTIFS(CCMS_CASE_TOTALS_TRUE!GO:GO,"&gt;0",CCMS_CASE_TOTALS_TRUE!HA:HA,"=0",CCMS_CASE_TOTALS_TRUE!$J:$J,"&lt;=90")-SUM(F$7:F8)</f>
      </c>
      <c r="G9" s="378" t="s">
        <v>38</v>
      </c>
      <c r="H9" s="378" t="s">
        <v>38</v>
      </c>
      <c r="I9" s="377" t="s">
        <v>38</v>
      </c>
    </row>
    <row r="10" ht="15.0" customHeight="true" hidden="false">
      <c r="A10" s="377" t="s">
        <v>41</v>
      </c>
      <c r="B10" s="378">
        <f>COUNTIFS(CCMS_CASE_TOTALS_TRUE!GL:GL,"&gt;0",CCMS_CASE_TOTALS_TRUE!$J:$J,"&lt;=365")-SUM(B$7:B9)</f>
      </c>
      <c r="C10" s="378">
        <f>COUNTIFS(CCMS_CASE_TOTALS_TRUE!GM:GM,"&gt;0",CCMS_CASE_TOTALS_TRUE!$J:$J,"&lt;=365")-SUM(C$7:C9)</f>
      </c>
      <c r="D10" s="378">
        <f>COUNTIFS(CCMS_CASE_TOTALS_TRUE!GN:GN,"&gt;0",CCMS_CASE_TOTALS_TRUE!$J:$J,"&lt;=365")-SUM(D$7:D9)</f>
      </c>
      <c r="E10" s="378">
        <f>COUNTIFS(CCMS_CASE_TOTALS_TRUE!GO:GO,"&gt;0",CCMS_CASE_TOTALS_TRUE!HA:HA,"&lt;&gt;0",CCMS_CASE_TOTALS_TRUE!$J:$J,"&lt;=365")-SUM(E$7:E9)</f>
      </c>
      <c r="F10" s="378">
        <f>COUNTIFS(CCMS_CASE_TOTALS_TRUE!GO:GO,"&gt;0",CCMS_CASE_TOTALS_TRUE!HA:HA,"=0",CCMS_CASE_TOTALS_TRUE!$J:$J,"&lt;=365")-SUM(F$7:F9)</f>
      </c>
      <c r="G10" s="378" t="s">
        <v>38</v>
      </c>
      <c r="H10" s="378" t="s">
        <v>38</v>
      </c>
      <c r="I10" s="377" t="s">
        <v>38</v>
      </c>
    </row>
    <row r="11" ht="15.0" customHeight="true" hidden="false">
      <c r="A11" s="377" t="s">
        <v>42</v>
      </c>
      <c r="B11" s="378">
        <f>COUNTIFS(CCMS_CASE_TOTALS_TRUE!GL:GL,"&gt;0",CCMS_CASE_TOTALS_TRUE!$J:$J,"&lt;=1095")-SUM(B$7:B10)</f>
      </c>
      <c r="C11" s="378">
        <f>COUNTIFS(CCMS_CASE_TOTALS_TRUE!GM:GM,"&gt;0",CCMS_CASE_TOTALS_TRUE!$J:$J,"&lt;=1095")-SUM(C$7:C10)</f>
      </c>
      <c r="D11" s="378">
        <f>COUNTIFS(CCMS_CASE_TOTALS_TRUE!GN:GN,"&gt;0",CCMS_CASE_TOTALS_TRUE!$J:$J,"&lt;=1095")-SUM(D$7:D10)</f>
      </c>
      <c r="E11" s="378">
        <f>COUNTIFS(CCMS_CASE_TOTALS_TRUE!GO:GO,"&gt;0",CCMS_CASE_TOTALS_TRUE!HA:HA,"&lt;&gt;0",CCMS_CASE_TOTALS_TRUE!$J:$J,"&lt;=1095")-SUM(E$7:E10)</f>
      </c>
      <c r="F11" s="378">
        <f>COUNTIFS(CCMS_CASE_TOTALS_TRUE!GO:GO,"&gt;0",CCMS_CASE_TOTALS_TRUE!HA:HA,"=0",CCMS_CASE_TOTALS_TRUE!$J:$J,"&lt;=1095")-SUM(F$7:F10)</f>
      </c>
      <c r="G11" s="378" t="s">
        <v>38</v>
      </c>
      <c r="H11" s="378" t="s">
        <v>38</v>
      </c>
      <c r="I11" s="377" t="s">
        <v>38</v>
      </c>
    </row>
    <row r="12" ht="15.0" customHeight="true" hidden="false">
      <c r="A12" s="377" t="s">
        <v>43</v>
      </c>
      <c r="B12" s="378">
        <f>COUNTIFS(CCMS_CASE_TOTALS_TRUE!GL:GL,"&gt;0",CCMS_CASE_TOTALS_TRUE!$J:$J,"&lt;=1825")-SUM(B$7:B11)</f>
      </c>
      <c r="C12" s="378">
        <f>COUNTIFS(CCMS_CASE_TOTALS_TRUE!GM:GM,"&gt;0",CCMS_CASE_TOTALS_TRUE!$J:$J,"&lt;=1825")-SUM(C$7:C11)</f>
      </c>
      <c r="D12" s="378">
        <f>COUNTIFS(CCMS_CASE_TOTALS_TRUE!GN:GN,"&gt;0",CCMS_CASE_TOTALS_TRUE!$J:$J,"&lt;=1825")-SUM(D$7:D11)</f>
      </c>
      <c r="E12" s="378">
        <f>COUNTIFS(CCMS_CASE_TOTALS_TRUE!GO:GO,"&gt;0",CCMS_CASE_TOTALS_TRUE!HA:HA,"&lt;&gt;0",CCMS_CASE_TOTALS_TRUE!$J:$J,"&lt;=1825")-SUM(E$7:E11)</f>
      </c>
      <c r="F12" s="378">
        <f>COUNTIFS(CCMS_CASE_TOTALS_TRUE!GO:GO,"&gt;0",CCMS_CASE_TOTALS_TRUE!HA:HA,"=0",CCMS_CASE_TOTALS_TRUE!$J:$J,"&lt;=1825")-SUM(F$7:F11)</f>
      </c>
      <c r="G12" s="378" t="s">
        <v>38</v>
      </c>
      <c r="H12" s="378" t="s">
        <v>38</v>
      </c>
      <c r="I12" s="377" t="s">
        <v>38</v>
      </c>
    </row>
    <row r="13" ht="15.0" customHeight="true" hidden="false">
      <c r="A13" s="377" t="s">
        <v>44</v>
      </c>
      <c r="B13" s="378">
        <f>COUNTIFS(CCMS_CASE_TOTALS_TRUE!GL:GL,"&gt;0",CCMS_CASE_TOTALS_TRUE!$J:$J,"&lt;=3650")-SUM(B$7:B12)</f>
      </c>
      <c r="C13" s="378">
        <f>COUNTIFS(CCMS_CASE_TOTALS_TRUE!GM:GM,"&gt;0",CCMS_CASE_TOTALS_TRUE!$J:$J,"&lt;=3650")-SUM(C$7:C12)</f>
      </c>
      <c r="D13" s="378">
        <f>COUNTIFS(CCMS_CASE_TOTALS_TRUE!GN:GN,"&gt;0",CCMS_CASE_TOTALS_TRUE!$J:$J,"&lt;=3650")-SUM(D$7:D12)</f>
      </c>
      <c r="E13" s="378">
        <f>COUNTIFS(CCMS_CASE_TOTALS_TRUE!GO:GO,"&gt;0",CCMS_CASE_TOTALS_TRUE!HA:HA,"&lt;&gt;0",CCMS_CASE_TOTALS_TRUE!$J:$J,"&lt;=3650")-SUM(E$7:E12)</f>
      </c>
      <c r="F13" s="378">
        <f>COUNTIFS(CCMS_CASE_TOTALS_TRUE!GO:GO,"&gt;0",CCMS_CASE_TOTALS_TRUE!HA:HA,"=0",CCMS_CASE_TOTALS_TRUE!$J:$J,"&lt;=3650")-SUM(F$7:F12)</f>
      </c>
      <c r="G13" s="378" t="s">
        <v>38</v>
      </c>
      <c r="H13" s="378" t="s">
        <v>38</v>
      </c>
      <c r="I13" s="377" t="s">
        <v>38</v>
      </c>
    </row>
    <row r="14" ht="15.0" customHeight="true" hidden="false">
      <c r="A14" s="377" t="s">
        <v>45</v>
      </c>
      <c r="B14" s="378">
        <f>COUNTIFS(CCMS_CASE_TOTALS_TRUE!GL:GL,"&gt;0",CCMS_CASE_TOTALS_TRUE!$J:$J,"&lt;=5475")-SUM(B$7:B13)</f>
      </c>
      <c r="C14" s="378">
        <f>COUNTIFS(CCMS_CASE_TOTALS_TRUE!GM:GM,"&gt;0",CCMS_CASE_TOTALS_TRUE!$J:$J,"&lt;=5475")-SUM(C$7:C13)</f>
      </c>
      <c r="D14" s="378">
        <f>COUNTIFS(CCMS_CASE_TOTALS_TRUE!GN:GN,"&gt;0",CCMS_CASE_TOTALS_TRUE!$J:$J,"&lt;=5475")-SUM(D$7:D13)</f>
      </c>
      <c r="E14" s="378">
        <f>COUNTIFS(CCMS_CASE_TOTALS_TRUE!GO:GO,"&gt;0",CCMS_CASE_TOTALS_TRUE!HA:HA,"&lt;&gt;0",CCMS_CASE_TOTALS_TRUE!$J:$J,"&lt;=5475")-SUM(E$7:E13)</f>
      </c>
      <c r="F14" s="378">
        <f>COUNTIFS(CCMS_CASE_TOTALS_TRUE!GO:GO,"&gt;0",CCMS_CASE_TOTALS_TRUE!HA:HA,"=0",CCMS_CASE_TOTALS_TRUE!$J:$J,"&lt;=5475")-SUM(F$7:F13)</f>
      </c>
      <c r="G14" s="378" t="s">
        <v>38</v>
      </c>
      <c r="H14" s="378" t="s">
        <v>38</v>
      </c>
      <c r="I14" s="377" t="s">
        <v>38</v>
      </c>
    </row>
    <row r="15" ht="15.0" customHeight="true" hidden="false">
      <c r="A15" s="377" t="s">
        <v>46</v>
      </c>
      <c r="B15" s="378">
        <f>COUNTIFS(CCMS_CASE_TOTALS_TRUE!GL:GL,"&gt;0",CCMS_CASE_TOTALS_TRUE!$J:$J,"&lt;=7300")-SUM(B$7:B14)</f>
      </c>
      <c r="C15" s="378">
        <f>COUNTIFS(CCMS_CASE_TOTALS_TRUE!GM:GM,"&gt;0",CCMS_CASE_TOTALS_TRUE!$J:$J,"&lt;=7300")-SUM(C$7:C14)</f>
      </c>
      <c r="D15" s="378">
        <f>COUNTIFS(CCMS_CASE_TOTALS_TRUE!GN:GN,"&gt;0",CCMS_CASE_TOTALS_TRUE!$J:$J,"&lt;=7300")-SUM(D$7:D14)</f>
      </c>
      <c r="E15" s="378">
        <f>COUNTIFS(CCMS_CASE_TOTALS_TRUE!GO:GO,"&gt;0",CCMS_CASE_TOTALS_TRUE!HA:HA,"&lt;&gt;0",CCMS_CASE_TOTALS_TRUE!$J:$J,"&lt;=7300")-SUM(E$7:E14)</f>
      </c>
      <c r="F15" s="378">
        <f>COUNTIFS(CCMS_CASE_TOTALS_TRUE!GO:GO,"&gt;0",CCMS_CASE_TOTALS_TRUE!HA:HA,"=0",CCMS_CASE_TOTALS_TRUE!$J:$J,"&lt;=7300")-SUM(F$7:F14)</f>
      </c>
      <c r="G15" s="378" t="s">
        <v>38</v>
      </c>
      <c r="H15" s="378" t="s">
        <v>38</v>
      </c>
      <c r="I15" s="377" t="s">
        <v>38</v>
      </c>
    </row>
    <row r="16" ht="15.0" customHeight="true" hidden="false">
      <c r="A16" s="377" t="s">
        <v>47</v>
      </c>
      <c r="B16" s="378">
        <f>COUNTIFS(CCMS_CASE_TOTALS_TRUE!GL:GL,"&gt;0",CCMS_CASE_TOTALS_TRUE!$J:$J,"&gt;7300")</f>
      </c>
      <c r="C16" s="378">
        <f>COUNTIFS(CCMS_CASE_TOTALS_TRUE!GM:GM,"&gt;0",CCMS_CASE_TOTALS_TRUE!$J:$J,"&gt;7300")</f>
      </c>
      <c r="D16" s="378">
        <f>COUNTIFS(CCMS_CASE_TOTALS_TRUE!GN:GN,"&gt;0",CCMS_CASE_TOTALS_TRUE!$J:$J,"&gt;7300")</f>
      </c>
      <c r="E16" s="378">
        <f>COUNTIFS(CCMS_CASE_TOTALS_TRUE!GO:GO,"&gt;0",CCMS_CASE_TOTALS_TRUE!HA:HA,"&lt;&gt;0",CCMS_CASE_TOTALS_TRUE!$J:$J,"&gt;7300")</f>
      </c>
      <c r="F16" s="378">
        <f>COUNTIFS(CCMS_CASE_TOTALS_TRUE!GO:GO,"&gt;0",CCMS_CASE_TOTALS_TRUE!HA:HA,"=0",CCMS_CASE_TOTALS_TRUE!$J:$J,"&gt;7300")</f>
      </c>
      <c r="G16" s="378" t="s">
        <v>38</v>
      </c>
      <c r="H16" s="378" t="s">
        <v>38</v>
      </c>
      <c r="I16" s="377" t="s">
        <v>38</v>
      </c>
    </row>
    <row r="17" ht="15.75" customHeight="true" hidden="false">
      <c r="A17" s="377" t="s">
        <v>5</v>
      </c>
      <c r="B17" s="378">
        <f>SUM(B7:B16)</f>
      </c>
      <c r="C17" s="378">
        <f>SUM(C7:C16)</f>
      </c>
      <c r="D17" s="378">
        <f>SUM(D7:D16)</f>
      </c>
      <c r="E17" s="378">
        <f>SUM(E7:E16)</f>
      </c>
      <c r="F17" s="378">
        <f>SUM(F7:F16)</f>
      </c>
      <c r="G17" s="378" t="s">
        <v>38</v>
      </c>
      <c r="H17" s="378" t="s">
        <v>38</v>
      </c>
      <c r="I17" s="377" t="s">
        <v>38</v>
      </c>
    </row>
    <row r="18" ht="15.75" customHeight="true" hidden="false">
      <c r="G18" s="378" t="s">
        <v>38</v>
      </c>
      <c r="H18" s="378" t="s">
        <v>38</v>
      </c>
      <c r="I18" s="377" t="s">
        <v>38</v>
      </c>
    </row>
    <row r="19" ht="15.0" customHeight="true" hidden="false">
      <c r="A19" s="377" t="s">
        <v>48</v>
      </c>
      <c r="H19" s="378" t="s">
        <v>28</v>
      </c>
    </row>
    <row r="21" ht="15.0" customHeight="true" hidden="false">
      <c r="B21" s="378" t="s">
        <v>4</v>
      </c>
    </row>
    <row r="22" ht="15.0" customHeight="true" hidden="false">
      <c r="B22" s="378" t="s">
        <v>9</v>
      </c>
      <c r="C22" s="378" t="s">
        <v>10</v>
      </c>
      <c r="D22" s="378" t="s">
        <v>11</v>
      </c>
      <c r="E22" s="378" t="s">
        <v>35</v>
      </c>
      <c r="F22" s="378" t="s">
        <v>36</v>
      </c>
      <c r="H22" s="378" t="s">
        <v>35</v>
      </c>
    </row>
    <row r="23" ht="15.0" customHeight="true" hidden="false">
      <c r="A23" s="377" t="s">
        <v>37</v>
      </c>
      <c r="B23" s="378">
        <f>SUMIFS(CCMS_CASE_TOTALS_TRUE!GL:GL,CCMS_CASE_TOTALS_TRUE!GL:GL,"&gt;0",CCMS_CASE_TOTALS_TRUE!$J:$J,"&lt;=30")</f>
      </c>
      <c r="C23" s="378">
        <f>SUMIFS(CCMS_CASE_TOTALS_TRUE!GM:GM,CCMS_CASE_TOTALS_TRUE!GM:GM,"&gt;0",CCMS_CASE_TOTALS_TRUE!$J:$J,"&lt;=30")</f>
      </c>
      <c r="D23" s="378">
        <f>SUMIFS(CCMS_CASE_TOTALS_TRUE!GN:GN,CCMS_CASE_TOTALS_TRUE!GN:GN,"&gt;0",CCMS_CASE_TOTALS_TRUE!$J:$J,"&lt;=30")</f>
      </c>
      <c r="E23" s="378">
        <f>SUMIFS(CCMS_CASE_TOTALS_TRUE!GO:GO,CCMS_CASE_TOTALS_TRUE!$J:$J,"&lt;=30",CCMS_CASE_TOTALS_TRUE!HA:HA,"&lt;&gt;0")</f>
      </c>
      <c r="F23" s="378">
        <f>SUMIFS(CCMS_CASE_TOTALS_TRUE!GO:GO,CCMS_CASE_TOTALS_TRUE!GO:GO,"&lt;&gt;0",CCMS_CASE_TOTALS_TRUE!$J:$J,"&lt;=30",CCMS_CASE_TOTALS_TRUE!HA:HA,"=0")</f>
      </c>
      <c r="H23" s="378">
        <f>SUMIFS(CCMS_CASE_TOTALS_TRUE!HA:HA,CCMS_CASE_TOTALS_TRUE!HA:HA,"&lt;&gt;0",CCMS_CASE_TOTALS_TRUE!$J:$J,"&lt;=30")</f>
      </c>
    </row>
    <row r="24" ht="15.0" customHeight="true" hidden="false">
      <c r="A24" s="377" t="s">
        <v>39</v>
      </c>
      <c r="B24" s="378">
        <f>SUMIFS(CCMS_CASE_TOTALS_TRUE!GL:GL,CCMS_CASE_TOTALS_TRUE!GL:GL,"&gt;0",CCMS_CASE_TOTALS_TRUE!$J:$J,"&lt;=60")-SUM(B$23)</f>
      </c>
      <c r="C24" s="378">
        <f>SUMIFS(CCMS_CASE_TOTALS_TRUE!GM:GM,CCMS_CASE_TOTALS_TRUE!GM:GM,"&gt;0",CCMS_CASE_TOTALS_TRUE!$J:$J,"&lt;=60")-SUM(C$23)</f>
      </c>
      <c r="D24" s="378">
        <f>SUMIFS(CCMS_CASE_TOTALS_TRUE!GN:GN,CCMS_CASE_TOTALS_TRUE!GN:GN,"&gt;0",CCMS_CASE_TOTALS_TRUE!$J:$J,"&lt;=60")-SUM(D$23)</f>
      </c>
      <c r="E24" s="378">
        <f>SUMIFS(CCMS_CASE_TOTALS_TRUE!GO:GO,CCMS_CASE_TOTALS_TRUE!$J:$J,"&lt;=60",CCMS_CASE_TOTALS_TRUE!HA:HA,"&lt;&gt;0")-SUM(E$23)</f>
      </c>
      <c r="F24" s="378">
        <f>SUMIFS(CCMS_CASE_TOTALS_TRUE!GO:GO,CCMS_CASE_TOTALS_TRUE!GO:GO,"&lt;&gt;0",CCMS_CASE_TOTALS_TRUE!$J:$J,"&lt;=60",CCMS_CASE_TOTALS_TRUE!HA:HA,"=0")-SUM(F$23)</f>
      </c>
      <c r="H24" s="378">
        <f>SUMIFS(CCMS_CASE_TOTALS_TRUE!HA:HA,CCMS_CASE_TOTALS_TRUE!HA:HA,"&lt;&gt;0",CCMS_CASE_TOTALS_TRUE!$J:$J,"&lt;=60")-SUM(H$23)</f>
      </c>
    </row>
    <row r="25" ht="15.0" customHeight="true" hidden="false">
      <c r="A25" s="377" t="s">
        <v>40</v>
      </c>
      <c r="B25" s="378">
        <f>SUMIFS(CCMS_CASE_TOTALS_TRUE!GL:GL,CCMS_CASE_TOTALS_TRUE!GL:GL,"&gt;0",CCMS_CASE_TOTALS_TRUE!$J:$J,"&lt;=90")-SUM(B$23:B24)</f>
      </c>
      <c r="C25" s="378">
        <f>SUMIFS(CCMS_CASE_TOTALS_TRUE!GM:GM,CCMS_CASE_TOTALS_TRUE!GM:GM,"&gt;0",CCMS_CASE_TOTALS_TRUE!$J:$J,"&lt;=90")-SUM(C$23:C24)</f>
      </c>
      <c r="D25" s="378">
        <f>SUMIFS(CCMS_CASE_TOTALS_TRUE!GN:GN,CCMS_CASE_TOTALS_TRUE!GN:GN,"&gt;0",CCMS_CASE_TOTALS_TRUE!$J:$J,"&lt;=90")-SUM(D$23:D24)</f>
      </c>
      <c r="E25" s="378">
        <f>SUMIFS(CCMS_CASE_TOTALS_TRUE!GO:GO,CCMS_CASE_TOTALS_TRUE!$J:$J,"&lt;=90",CCMS_CASE_TOTALS_TRUE!HA:HA,"&lt;&gt;0")-SUM(E$23:E24)</f>
      </c>
      <c r="F25" s="378">
        <f>SUMIFS(CCMS_CASE_TOTALS_TRUE!GO:GO,CCMS_CASE_TOTALS_TRUE!GO:GO,"&lt;&gt;0",CCMS_CASE_TOTALS_TRUE!$J:$J,"&lt;=90",CCMS_CASE_TOTALS_TRUE!HA:HA,"=0")-SUM(F$23:F24)</f>
      </c>
      <c r="H25" s="378">
        <f>SUMIFS(CCMS_CASE_TOTALS_TRUE!HA:HA,CCMS_CASE_TOTALS_TRUE!HA:HA,"&lt;&gt;0",CCMS_CASE_TOTALS_TRUE!$J:$J,"&lt;=90")-SUM(H$23:H24)</f>
      </c>
    </row>
    <row r="26" ht="15.0" customHeight="true" hidden="false">
      <c r="A26" s="377" t="s">
        <v>41</v>
      </c>
      <c r="B26" s="378">
        <f>SUMIFS(CCMS_CASE_TOTALS_TRUE!GL:GL,CCMS_CASE_TOTALS_TRUE!GL:GL,"&gt;0",CCMS_CASE_TOTALS_TRUE!$J:$J,"&lt;=365")-SUM(B$23:B25)</f>
      </c>
      <c r="C26" s="378">
        <f>SUMIFS(CCMS_CASE_TOTALS_TRUE!GM:GM,CCMS_CASE_TOTALS_TRUE!GM:GM,"&gt;0",CCMS_CASE_TOTALS_TRUE!$J:$J,"&lt;=365")-SUM(C$23:C25)</f>
      </c>
      <c r="D26" s="378">
        <f>SUMIFS(CCMS_CASE_TOTALS_TRUE!GN:GN,CCMS_CASE_TOTALS_TRUE!GN:GN,"&gt;0",CCMS_CASE_TOTALS_TRUE!$J:$J,"&lt;=365")-SUM(D$23:D25)</f>
      </c>
      <c r="E26" s="378">
        <f>SUMIFS(CCMS_CASE_TOTALS_TRUE!GO:GO,CCMS_CASE_TOTALS_TRUE!$J:$J,"&lt;=365",CCMS_CASE_TOTALS_TRUE!HA:HA,"&lt;&gt;0")-SUM(E$23:E25)</f>
      </c>
      <c r="F26" s="378">
        <f>SUMIFS(CCMS_CASE_TOTALS_TRUE!GO:GO,CCMS_CASE_TOTALS_TRUE!GO:GO,"&lt;&gt;0",CCMS_CASE_TOTALS_TRUE!$J:$J,"&lt;=365",CCMS_CASE_TOTALS_TRUE!HA:HA,"=0")-SUM(F$23:F25)</f>
      </c>
      <c r="H26" s="378">
        <f>SUMIFS(CCMS_CASE_TOTALS_TRUE!HA:HA,CCMS_CASE_TOTALS_TRUE!HA:HA,"&lt;&gt;0",CCMS_CASE_TOTALS_TRUE!$J:$J,"&lt;=365")-SUM(H$23:H25)</f>
      </c>
    </row>
    <row r="27" ht="15.0" customHeight="true" hidden="false">
      <c r="A27" s="377" t="s">
        <v>42</v>
      </c>
      <c r="B27" s="378">
        <f>SUMIFS(CCMS_CASE_TOTALS_TRUE!GL:GL,CCMS_CASE_TOTALS_TRUE!GL:GL,"&gt;0",CCMS_CASE_TOTALS_TRUE!$J:$J,"&lt;=1095")-SUM(B$23:B26)</f>
      </c>
      <c r="C27" s="378">
        <f>SUMIFS(CCMS_CASE_TOTALS_TRUE!GM:GM,CCMS_CASE_TOTALS_TRUE!GM:GM,"&gt;0",CCMS_CASE_TOTALS_TRUE!$J:$J,"&lt;=1095")-SUM(C$23:C26)</f>
      </c>
      <c r="D27" s="378">
        <f>SUMIFS(CCMS_CASE_TOTALS_TRUE!GN:GN,CCMS_CASE_TOTALS_TRUE!GN:GN,"&gt;0",CCMS_CASE_TOTALS_TRUE!$J:$J,"&lt;=1095")-SUM(D$23:D26)</f>
      </c>
      <c r="E27" s="378">
        <f>SUMIFS(CCMS_CASE_TOTALS_TRUE!GO:GO,CCMS_CASE_TOTALS_TRUE!$J:$J,"&lt;=1095",CCMS_CASE_TOTALS_TRUE!HA:HA,"&lt;&gt;0")-SUM(E$23:E26)</f>
      </c>
      <c r="F27" s="378">
        <f>SUMIFS(CCMS_CASE_TOTALS_TRUE!GO:GO,CCMS_CASE_TOTALS_TRUE!GO:GO,"&lt;&gt;0",CCMS_CASE_TOTALS_TRUE!$J:$J,"&lt;=1095",CCMS_CASE_TOTALS_TRUE!HA:HA,"=0")-SUM(F$23:F26)</f>
      </c>
      <c r="H27" s="378">
        <f>SUMIFS(CCMS_CASE_TOTALS_TRUE!HA:HA,CCMS_CASE_TOTALS_TRUE!HA:HA,"&lt;&gt;0",CCMS_CASE_TOTALS_TRUE!$J:$J,"&lt;=1095")-SUM(H$23:H26)</f>
      </c>
    </row>
    <row r="28" ht="15.0" customHeight="true" hidden="false">
      <c r="A28" s="377" t="s">
        <v>43</v>
      </c>
      <c r="B28" s="378">
        <f>SUMIFS(CCMS_CASE_TOTALS_TRUE!GL:GL,CCMS_CASE_TOTALS_TRUE!GL:GL,"&gt;0",CCMS_CASE_TOTALS_TRUE!$J:$J,"&lt;=1825")-SUM(B$23:B27)</f>
      </c>
      <c r="C28" s="378">
        <f>SUMIFS(CCMS_CASE_TOTALS_TRUE!GM:GM,CCMS_CASE_TOTALS_TRUE!GM:GM,"&gt;0",CCMS_CASE_TOTALS_TRUE!$J:$J,"&lt;=1825")-SUM(C$23:C27)</f>
      </c>
      <c r="D28" s="378">
        <f>SUMIFS(CCMS_CASE_TOTALS_TRUE!GN:GN,CCMS_CASE_TOTALS_TRUE!GN:GN,"&gt;0",CCMS_CASE_TOTALS_TRUE!$J:$J,"&lt;=1825")-SUM(D$23:D27)</f>
      </c>
      <c r="E28" s="378">
        <f>SUMIFS(CCMS_CASE_TOTALS_TRUE!GO:GO,CCMS_CASE_TOTALS_TRUE!$J:$J,"&lt;=1825",CCMS_CASE_TOTALS_TRUE!HA:HA,"&lt;&gt;0")-SUM(E$23:E27)</f>
      </c>
      <c r="F28" s="378">
        <f>SUMIFS(CCMS_CASE_TOTALS_TRUE!GO:GO,CCMS_CASE_TOTALS_TRUE!GO:GO,"&lt;&gt;0",CCMS_CASE_TOTALS_TRUE!$J:$J,"&lt;=1825",CCMS_CASE_TOTALS_TRUE!HA:HA,"=0")-SUM(F$23:F27)</f>
      </c>
      <c r="H28" s="378">
        <f>SUMIFS(CCMS_CASE_TOTALS_TRUE!HA:HA,CCMS_CASE_TOTALS_TRUE!HA:HA,"&lt;&gt;0",CCMS_CASE_TOTALS_TRUE!$J:$J,"&lt;=1825")-SUM(H$23:H27)</f>
      </c>
    </row>
    <row r="29" ht="15.0" customHeight="true" hidden="false">
      <c r="A29" s="377" t="s">
        <v>44</v>
      </c>
      <c r="B29" s="378">
        <f>SUMIFS(CCMS_CASE_TOTALS_TRUE!GL:GL,CCMS_CASE_TOTALS_TRUE!GL:GL,"&gt;0",CCMS_CASE_TOTALS_TRUE!$J:$J,"&lt;=3650")-SUM(B$23:B28)</f>
      </c>
      <c r="C29" s="378">
        <f>SUMIFS(CCMS_CASE_TOTALS_TRUE!GM:GM,CCMS_CASE_TOTALS_TRUE!GM:GM,"&gt;0",CCMS_CASE_TOTALS_TRUE!$J:$J,"&lt;=3650")-SUM(C$23:C28)</f>
      </c>
      <c r="D29" s="378">
        <f>SUMIFS(CCMS_CASE_TOTALS_TRUE!GN:GN,CCMS_CASE_TOTALS_TRUE!GN:GN,"&gt;0",CCMS_CASE_TOTALS_TRUE!$J:$J,"&lt;=3650")-SUM(D$23:D28)</f>
      </c>
      <c r="E29" s="378">
        <f>SUMIFS(CCMS_CASE_TOTALS_TRUE!GO:GO,CCMS_CASE_TOTALS_TRUE!$J:$J,"&lt;=3650",CCMS_CASE_TOTALS_TRUE!HA:HA,"&lt;&gt;0")-SUM(E$23:E28)</f>
      </c>
      <c r="F29" s="378">
        <f>SUMIFS(CCMS_CASE_TOTALS_TRUE!GO:GO,CCMS_CASE_TOTALS_TRUE!GO:GO,"&lt;&gt;0",CCMS_CASE_TOTALS_TRUE!$J:$J,"&lt;=3650",CCMS_CASE_TOTALS_TRUE!HA:HA,"=0")-SUM(F$23:F28)</f>
      </c>
      <c r="H29" s="378">
        <f>SUMIFS(CCMS_CASE_TOTALS_TRUE!HA:HA,CCMS_CASE_TOTALS_TRUE!HA:HA,"&lt;&gt;0",CCMS_CASE_TOTALS_TRUE!$J:$J,"&lt;=3650")-SUM(H$23:H28)</f>
      </c>
    </row>
    <row r="30" ht="15.0" customHeight="true" hidden="false">
      <c r="A30" s="377" t="s">
        <v>45</v>
      </c>
      <c r="B30" s="378">
        <f>SUMIFS(CCMS_CASE_TOTALS_TRUE!GL:GL,CCMS_CASE_TOTALS_TRUE!GL:GL,"&gt;0",CCMS_CASE_TOTALS_TRUE!$J:$J,"&lt;=5475")-SUM(B$23:B29)</f>
      </c>
      <c r="C30" s="378">
        <f>SUMIFS(CCMS_CASE_TOTALS_TRUE!GM:GM,CCMS_CASE_TOTALS_TRUE!GM:GM,"&gt;0",CCMS_CASE_TOTALS_TRUE!$J:$J,"&lt;=5475")-SUM(C$23:C29)</f>
      </c>
      <c r="D30" s="378">
        <f>SUMIFS(CCMS_CASE_TOTALS_TRUE!GN:GN,CCMS_CASE_TOTALS_TRUE!GN:GN,"&gt;0",CCMS_CASE_TOTALS_TRUE!$J:$J,"&lt;=5475")-SUM(D$23:D29)</f>
      </c>
      <c r="E30" s="378">
        <f>SUMIFS(CCMS_CASE_TOTALS_TRUE!GO:GO,CCMS_CASE_TOTALS_TRUE!$J:$J,"&lt;=5475",CCMS_CASE_TOTALS_TRUE!HA:HA,"&lt;&gt;0")-SUM(E$23:E29)</f>
      </c>
      <c r="F30" s="378">
        <f>SUMIFS(CCMS_CASE_TOTALS_TRUE!GO:GO,CCMS_CASE_TOTALS_TRUE!GO:GO,"&lt;&gt;0",CCMS_CASE_TOTALS_TRUE!$J:$J,"&lt;=5475",CCMS_CASE_TOTALS_TRUE!HA:HA,"=0")-SUM(F$23:F29)</f>
      </c>
      <c r="H30" s="378">
        <f>SUMIFS(CCMS_CASE_TOTALS_TRUE!HA:HA,CCMS_CASE_TOTALS_TRUE!HA:HA,"&lt;&gt;0",CCMS_CASE_TOTALS_TRUE!$J:$J,"&lt;=5475")-SUM(H$23:H29)</f>
      </c>
    </row>
    <row r="31" ht="15.0" customHeight="true" hidden="false">
      <c r="A31" s="377" t="s">
        <v>46</v>
      </c>
      <c r="B31" s="378">
        <f>SUMIFS(CCMS_CASE_TOTALS_TRUE!GL:GL,CCMS_CASE_TOTALS_TRUE!GL:GL,"&gt;0",CCMS_CASE_TOTALS_TRUE!$J:$J,"&lt;=7300")-SUM(B$23:B30)</f>
      </c>
      <c r="C31" s="378">
        <f>SUMIFS(CCMS_CASE_TOTALS_TRUE!GM:GM,CCMS_CASE_TOTALS_TRUE!GM:GM,"&gt;0",CCMS_CASE_TOTALS_TRUE!$J:$J,"&lt;=7300")-SUM(C$23:C30)</f>
      </c>
      <c r="D31" s="378">
        <f>SUMIFS(CCMS_CASE_TOTALS_TRUE!GN:GN,CCMS_CASE_TOTALS_TRUE!GN:GN,"&gt;0",CCMS_CASE_TOTALS_TRUE!$J:$J,"&lt;=7300")-SUM(D$23:D30)</f>
      </c>
      <c r="E31" s="378">
        <f>SUMIFS(CCMS_CASE_TOTALS_TRUE!GO:GO,CCMS_CASE_TOTALS_TRUE!$J:$J,"&lt;=7300",CCMS_CASE_TOTALS_TRUE!HA:HA,"&lt;&gt;0")-SUM(E$23:E30)</f>
      </c>
      <c r="F31" s="378">
        <f>SUMIFS(CCMS_CASE_TOTALS_TRUE!GO:GO,CCMS_CASE_TOTALS_TRUE!GO:GO,"&lt;&gt;0",CCMS_CASE_TOTALS_TRUE!$J:$J,"&lt;=7300",CCMS_CASE_TOTALS_TRUE!HA:HA,"=0")-SUM(F$23:F30)</f>
      </c>
      <c r="H31" s="378">
        <f>SUMIFS(CCMS_CASE_TOTALS_TRUE!HA:HA,CCMS_CASE_TOTALS_TRUE!HA:HA,"&lt;&gt;0",CCMS_CASE_TOTALS_TRUE!$J:$J,"&lt;=7300")-SUM(H$23:H30)</f>
      </c>
    </row>
    <row r="32" ht="15.0" customHeight="true" hidden="false">
      <c r="A32" s="377" t="s">
        <v>47</v>
      </c>
      <c r="B32" s="378">
        <f>SUMIFS(CCMS_CASE_TOTALS_TRUE!GL:GL,CCMS_CASE_TOTALS_TRUE!GL:GL,"&gt;0")-SUM(B23:B31)</f>
      </c>
      <c r="C32" s="378">
        <f>SUMIFS(CCMS_CASE_TOTALS_TRUE!GM:GM,CCMS_CASE_TOTALS_TRUE!GM:GM,"&gt;0")-SUM(C23:C31)</f>
      </c>
      <c r="D32" s="378">
        <f>SUMIFS(CCMS_CASE_TOTALS_TRUE!GN:GN,CCMS_CASE_TOTALS_TRUE!GN:GN,"&gt;0")-SUM(D23:D31)</f>
      </c>
      <c r="E32" s="378">
        <f>SUMIFS(CCMS_CASE_TOTALS_TRUE!GO:GO,CCMS_CASE_TOTALS_TRUE!HA:HA,"&lt;&gt;0")-SUM(E23:E31)</f>
      </c>
      <c r="F32" s="378">
        <f>SUMIFS(CCMS_CASE_TOTALS_TRUE!GO:GO,CCMS_CASE_TOTALS_TRUE!GO:GO,"&lt;&gt;0",CCMS_CASE_TOTALS_TRUE!HA:HA,"=0")-SUM(F23:F31)</f>
      </c>
      <c r="H32" s="378">
        <f>SUMIFS(CCMS_CASE_TOTALS_TRUE!HA:HA,CCMS_CASE_TOTALS_TRUE!HA:HA,"&lt;&gt;0")-SUM(H23:H31)</f>
      </c>
    </row>
    <row r="33" ht="15.75" customHeight="true" hidden="false">
      <c r="A33" s="377" t="s">
        <v>5</v>
      </c>
      <c r="B33" s="378">
        <f>SUM(B23:B32)</f>
      </c>
      <c r="C33" s="378">
        <f>SUM(C23:C32)</f>
      </c>
      <c r="D33" s="378">
        <f>SUM(D23:D32)</f>
      </c>
      <c r="E33" s="378">
        <f>SUM(E23:E32)</f>
      </c>
      <c r="F33" s="378">
        <f>SUM(F23:F32)</f>
      </c>
      <c r="H33" s="378">
        <f>SUM(H23:H32)</f>
      </c>
    </row>
    <row r="34" ht="15.75" customHeight="true" hidden="false">
      <c r="A34" s="377" t="s">
        <v>15</v>
      </c>
      <c r="B34" s="378">
        <f>MAIN!G6-'Age Profile'!B33</f>
      </c>
      <c r="C34" s="378">
        <f>C33-MAIN!G7</f>
      </c>
      <c r="D34" s="378">
        <f>D33-MAIN!G8</f>
      </c>
      <c r="E34" s="378">
        <f>E33-MAIN!G9</f>
      </c>
      <c r="F34" s="378">
        <f>MAIN!G10+MAIN!G11-F33</f>
      </c>
      <c r="H34" s="378">
        <f>MAIN!H9-H33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2025-07-21T14:43:18Z</dcterms:created>
  <dc:creator>Apache POI</dc:creator>
</cp:coreProperties>
</file>