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MAIN" sheetId="1" state="visible" r:id="rId1"/>
    <sheet name="MAIN WOFF MIG ERROR" sheetId="2" state="visible" r:id="rId2"/>
    <sheet name="Reconciliation" sheetId="3" state="visible" r:id="rId3"/>
    <sheet name="Age Profile" sheetId="4" state="visible" r:id="rId4"/>
    <sheet name="Civil Movement Report" sheetId="5" state="visible" r:id="rId5"/>
    <sheet name="All Debts by Type Summary" sheetId="6" state="visible" r:id="rId6"/>
    <sheet name="Correctly linked Civil Cases" sheetId="7" state="visible" r:id="rId7"/>
    <sheet name="Civil Debt Exceptions" sheetId="8" state="visible" r:id="rId8"/>
    <sheet name="Third Party Cash Receipt Income" sheetId="9" state="visible" r:id="rId9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(&quot;£&quot;* #,##0.00_);_(&quot;£&quot;* \(#,##0.00\);_(&quot;£&quot;* &quot;-&quot;??_);_(@_)"/>
    <numFmt numFmtId="165" formatCode="_-[$£-809]* #,##0.00_-;\-[$£-809]* #,##0.00_-;_-[$£-809]* &quot;-&quot;??_-;_-@_-"/>
    <numFmt numFmtId="166" formatCode="dd/mm/yyyy;@"/>
    <numFmt numFmtId="167" formatCode="_(* #,##0_);_(* \(#,##0\);_(* &quot;-&quot;??_);_(@_)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1" fillId="0" borderId="0"/>
    <xf numFmtId="43" fontId="1" fillId="0" borderId="0"/>
    <xf numFmtId="16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7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2"/>
    <xf numFmtId="43" fontId="0" fillId="0" borderId="0" pivotButton="0" quotePrefix="0" xfId="1"/>
    <xf numFmtId="43" fontId="16" fillId="0" borderId="0" pivotButton="0" quotePrefix="0" xfId="1"/>
    <xf numFmtId="164" fontId="16" fillId="0" borderId="0" pivotButton="0" quotePrefix="0" xfId="2"/>
    <xf numFmtId="0" fontId="16" fillId="0" borderId="10" pivotButton="0" quotePrefix="0" xfId="0"/>
    <xf numFmtId="164" fontId="16" fillId="0" borderId="10" pivotButton="0" quotePrefix="0" xfId="2"/>
    <xf numFmtId="14" fontId="16" fillId="0" borderId="0" pivotButton="0" quotePrefix="0" xfId="2"/>
    <xf numFmtId="14" fontId="0" fillId="0" borderId="0" pivotButton="0" quotePrefix="0" xfId="2"/>
    <xf numFmtId="14" fontId="16" fillId="0" borderId="10" pivotButton="0" quotePrefix="0" xfId="2"/>
    <xf numFmtId="0" fontId="16" fillId="0" borderId="11" pivotButton="0" quotePrefix="0" xfId="0"/>
    <xf numFmtId="15" fontId="0" fillId="0" borderId="0" pivotButton="0" quotePrefix="0" xfId="0"/>
    <xf numFmtId="165" fontId="0" fillId="0" borderId="0" pivotButton="0" quotePrefix="0" xfId="0"/>
    <xf numFmtId="166" fontId="16" fillId="0" borderId="0" pivotButton="0" quotePrefix="0" xfId="2"/>
    <xf numFmtId="166" fontId="16" fillId="0" borderId="0" pivotButton="0" quotePrefix="0" xfId="0"/>
    <xf numFmtId="167" fontId="0" fillId="0" borderId="0" pivotButton="0" quotePrefix="0" xfId="1"/>
  </cellXfs>
  <cellStyles count="44">
    <cellStyle name="Normal" xfId="0" builtinId="0"/>
    <cellStyle name="Comma" xfId="1" builtinId="3"/>
    <cellStyle name="Currency" xfId="2" builtinId="4"/>
    <cellStyle name="Title" xfId="3" builtinId="15"/>
    <cellStyle name="Heading 1" xfId="4" builtinId="16"/>
    <cellStyle name="Heading 2" xfId="5" builtinId="17"/>
    <cellStyle name="Heading 3" xfId="6" builtinId="18"/>
    <cellStyle name="Heading 4" xfId="7" builtinId="19"/>
    <cellStyle name="Good" xfId="8" builtinId="26"/>
    <cellStyle name="Bad" xfId="9" builtinId="27"/>
    <cellStyle name="Neutral" xfId="10" builtinId="28"/>
    <cellStyle name="Input" xfId="11" builtinId="20"/>
    <cellStyle name="Output" xfId="12" builtinId="21"/>
    <cellStyle name="Calculation" xfId="13" builtinId="22"/>
    <cellStyle name="Linked Cell" xfId="14" builtinId="24"/>
    <cellStyle name="Check Cell" xfId="15" builtinId="23"/>
    <cellStyle name="Warning Text" xfId="16" builtinId="11"/>
    <cellStyle name="Note" xfId="17" builtinId="10"/>
    <cellStyle name="Explanatory Text" xfId="18" builtinId="53"/>
    <cellStyle name="Total" xfId="19" builtinId="25"/>
    <cellStyle name="Accent1" xfId="20" builtinId="29"/>
    <cellStyle name="20% - Accent1" xfId="21" builtinId="30"/>
    <cellStyle name="40% - Accent1" xfId="22" builtinId="31"/>
    <cellStyle name="60% - Accent1" xfId="23" builtinId="32"/>
    <cellStyle name="Accent2" xfId="24" builtinId="33"/>
    <cellStyle name="20% - Accent2" xfId="25" builtinId="34"/>
    <cellStyle name="40% - Accent2" xfId="26" builtinId="35"/>
    <cellStyle name="60% - Accent2" xfId="27" builtinId="36"/>
    <cellStyle name="Accent3" xfId="28" builtinId="37"/>
    <cellStyle name="20% - Accent3" xfId="29" builtinId="38"/>
    <cellStyle name="40% - Accent3" xfId="30" builtinId="39"/>
    <cellStyle name="60% - Accent3" xfId="31" builtinId="40"/>
    <cellStyle name="Accent4" xfId="32" builtinId="41"/>
    <cellStyle name="20% - Accent4" xfId="33" builtinId="42"/>
    <cellStyle name="40% - Accent4" xfId="34" builtinId="43"/>
    <cellStyle name="60% - Accent4" xfId="35" builtinId="44"/>
    <cellStyle name="Accent5" xfId="36" builtinId="45"/>
    <cellStyle name="20% - Accent5" xfId="37" builtinId="46"/>
    <cellStyle name="40% - Accent5" xfId="38" builtinId="47"/>
    <cellStyle name="60% - Accent5" xfId="39" builtinId="48"/>
    <cellStyle name="Accent6" xfId="40" builtinId="49"/>
    <cellStyle name="20% - Accent6" xfId="41" builtinId="50"/>
    <cellStyle name="40% - Accent6" xfId="42" builtinId="51"/>
    <cellStyle name="60% - Accent6" xfId="43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L30"/>
  <sheetViews>
    <sheetView tabSelected="1" workbookViewId="0">
      <selection activeCell="B9" sqref="B9"/>
    </sheetView>
  </sheetViews>
  <sheetFormatPr baseColWidth="8" defaultRowHeight="15"/>
  <cols>
    <col width="54.5703125" bestFit="1" customWidth="1" min="1" max="1"/>
    <col width="16.5703125" bestFit="1" customWidth="1" min="2" max="2"/>
    <col width="16.28515625" bestFit="1" customWidth="1" style="2" min="3" max="3"/>
    <col width="20.7109375" bestFit="1" customWidth="1" min="4" max="4"/>
    <col width="10.7109375" bestFit="1" customWidth="1" min="5" max="5"/>
    <col width="16.28515625" bestFit="1" customWidth="1" min="6" max="7"/>
    <col width="22.28515625" bestFit="1" customWidth="1" style="2" min="8" max="8"/>
    <col width="9.140625" customWidth="1" style="2" min="9" max="9"/>
    <col width="15.42578125" bestFit="1" customWidth="1" style="2" min="10" max="10"/>
    <col width="15.28515625" bestFit="1" customWidth="1" style="2" min="11" max="11"/>
    <col width="20.7109375" bestFit="1" customWidth="1" style="2" min="12" max="12"/>
    <col width="32.140625" bestFit="1" customWidth="1" min="13" max="13"/>
    <col width="22.5703125" bestFit="1" customWidth="1" min="14" max="14"/>
  </cols>
  <sheetData>
    <row r="1">
      <c r="A1" s="1" t="inlineStr">
        <is>
          <t>CCMS Third party report</t>
        </is>
      </c>
      <c r="B1" s="1" t="n"/>
      <c r="C1" s="14" t="n"/>
      <c r="D1" s="14" t="n"/>
      <c r="E1" s="15" t="n"/>
      <c r="F1" s="1" t="n"/>
      <c r="G1" s="1" t="n"/>
      <c r="H1" s="5" t="n"/>
      <c r="I1" s="5" t="n"/>
      <c r="J1" s="5" t="n"/>
      <c r="K1" s="5" t="n"/>
      <c r="L1" s="5" t="n"/>
    </row>
    <row r="2" ht="15.75" customHeight="1" thickBot="1">
      <c r="A2" s="1" t="n"/>
      <c r="B2" s="1" t="n"/>
      <c r="C2" s="5" t="n"/>
      <c r="D2" s="1" t="n"/>
      <c r="E2" s="1" t="n"/>
      <c r="F2" s="1" t="n"/>
      <c r="G2" s="1" t="n"/>
      <c r="H2" s="5" t="n"/>
      <c r="I2" s="8" t="n"/>
      <c r="J2" s="5" t="n"/>
      <c r="K2" s="5" t="n"/>
      <c r="L2" s="5" t="n"/>
    </row>
    <row r="3" ht="15.75" customHeight="1" thickBot="1">
      <c r="A3" s="1" t="n"/>
      <c r="B3" s="1" t="inlineStr">
        <is>
          <t>Total outstanding</t>
        </is>
      </c>
      <c r="C3" s="5" t="n"/>
      <c r="D3" s="1" t="n"/>
      <c r="E3" s="1" t="n"/>
      <c r="F3" s="1" t="inlineStr">
        <is>
          <t>LAA Debt</t>
        </is>
      </c>
      <c r="G3" s="1" t="n"/>
      <c r="H3" s="5" t="n"/>
      <c r="I3" s="8" t="n"/>
      <c r="J3" s="5" t="inlineStr">
        <is>
          <t>Third Party Debt</t>
        </is>
      </c>
      <c r="K3" s="5" t="n"/>
      <c r="L3" s="5" t="n"/>
    </row>
    <row r="4">
      <c r="A4" s="1" t="inlineStr">
        <is>
          <t>Debt Type</t>
        </is>
      </c>
      <c r="B4" s="1" t="inlineStr">
        <is>
          <t>Total</t>
        </is>
      </c>
      <c r="C4" s="5" t="inlineStr">
        <is>
          <t>Principal Debt</t>
        </is>
      </c>
      <c r="D4" s="1" t="inlineStr">
        <is>
          <t>Interest (late charges)</t>
        </is>
      </c>
      <c r="E4" s="1" t="n"/>
      <c r="F4" s="1" t="inlineStr">
        <is>
          <t>Total</t>
        </is>
      </c>
      <c r="G4" s="1" t="inlineStr">
        <is>
          <t>Principal Debt</t>
        </is>
      </c>
      <c r="H4" s="5" t="inlineStr">
        <is>
          <t>Interest (late charges)</t>
        </is>
      </c>
      <c r="I4" s="8" t="n"/>
      <c r="J4" s="5" t="inlineStr">
        <is>
          <t>Total</t>
        </is>
      </c>
      <c r="K4" s="5" t="inlineStr">
        <is>
          <t>Principal Debt</t>
        </is>
      </c>
      <c r="L4" s="5" t="inlineStr">
        <is>
          <t>Interest (late charges)</t>
        </is>
      </c>
    </row>
    <row r="5">
      <c r="A5" t="inlineStr">
        <is>
          <t>Contributions</t>
        </is>
      </c>
      <c r="B5" s="2">
        <f>SUM(C5:D5)</f>
        <v/>
      </c>
      <c r="C5" s="2">
        <f>SUM(CCMS_CASE_TOTALS_TRUE!GF:GF)</f>
        <v/>
      </c>
      <c r="D5" s="2">
        <f>H5</f>
        <v/>
      </c>
      <c r="E5" s="2" t="n"/>
      <c r="F5" s="2">
        <f>SUM(G5:H5)</f>
        <v/>
      </c>
      <c r="G5" s="2">
        <f>SUM(CCMS_CASE_TOTALS_TRUE!GK:GK)</f>
        <v/>
      </c>
      <c r="H5" s="2">
        <f>SUM(CCMS_CASE_TOTALS_TRUE!GW:GW)</f>
        <v/>
      </c>
      <c r="I5" s="9" t="n"/>
      <c r="J5" s="2">
        <f>B5-F5</f>
        <v/>
      </c>
      <c r="K5" s="2">
        <f>C5-G5</f>
        <v/>
      </c>
      <c r="L5" s="2">
        <f>D5-H5</f>
        <v/>
      </c>
    </row>
    <row r="6">
      <c r="A6" t="inlineStr">
        <is>
          <t>Costs</t>
        </is>
      </c>
      <c r="B6" s="2">
        <f>SUM(C6:D6)</f>
        <v/>
      </c>
      <c r="C6" s="2">
        <f>SUM(CCMS_CASE_TOTALS_TRUE!GG:GG)</f>
        <v/>
      </c>
      <c r="D6" s="2">
        <f>H6</f>
        <v/>
      </c>
      <c r="E6" s="2" t="n"/>
      <c r="F6" s="2">
        <f>SUM(G6:H6)</f>
        <v/>
      </c>
      <c r="G6" s="2">
        <f>SUM(CCMS_CASE_TOTALS_TRUE!GL:GL)</f>
        <v/>
      </c>
      <c r="H6" s="2">
        <f>SUM(CCMS_CASE_TOTALS_TRUE!GX:GX)</f>
        <v/>
      </c>
      <c r="I6" s="9" t="n"/>
      <c r="J6" s="2">
        <f>B6-F6</f>
        <v/>
      </c>
      <c r="K6" s="2">
        <f>C6-G6</f>
        <v/>
      </c>
      <c r="L6" s="2">
        <f>D6-H6</f>
        <v/>
      </c>
    </row>
    <row r="7">
      <c r="A7" t="inlineStr">
        <is>
          <t>Damages</t>
        </is>
      </c>
      <c r="B7" s="2">
        <f>SUM(C7:D7)</f>
        <v/>
      </c>
      <c r="C7" s="2">
        <f>SUM(CCMS_CASE_TOTALS_TRUE!GH:GH)</f>
        <v/>
      </c>
      <c r="D7" s="2">
        <f>H7</f>
        <v/>
      </c>
      <c r="E7" s="2" t="n"/>
      <c r="F7" s="2">
        <f>SUM(G7:H7)</f>
        <v/>
      </c>
      <c r="G7" s="2">
        <f>SUM(CCMS_CASE_TOTALS_TRUE!GM:GM)</f>
        <v/>
      </c>
      <c r="H7" s="2">
        <f>SUM(CCMS_CASE_TOTALS_TRUE!GY:GY)</f>
        <v/>
      </c>
      <c r="I7" s="9" t="n"/>
      <c r="J7" s="2">
        <f>B7-F7</f>
        <v/>
      </c>
      <c r="K7" s="2">
        <f>C7-G7</f>
        <v/>
      </c>
      <c r="L7" s="2">
        <f>D7-H7</f>
        <v/>
      </c>
    </row>
    <row r="8">
      <c r="A8" t="inlineStr">
        <is>
          <t>Revocation</t>
        </is>
      </c>
      <c r="B8" s="2">
        <f>SUM(C8:D8)</f>
        <v/>
      </c>
      <c r="C8" s="2">
        <f>SUM(CCMS_CASE_TOTALS_TRUE!GI:GI)</f>
        <v/>
      </c>
      <c r="D8" s="2">
        <f>H8</f>
        <v/>
      </c>
      <c r="E8" s="2" t="n"/>
      <c r="F8" s="2">
        <f>SUM(G8:H8)</f>
        <v/>
      </c>
      <c r="G8" s="2">
        <f>SUM(CCMS_CASE_TOTALS_TRUE!GN:GN)</f>
        <v/>
      </c>
      <c r="H8" s="2">
        <f>SUM(CCMS_CASE_TOTALS_TRUE!GZ:GZ)</f>
        <v/>
      </c>
      <c r="I8" s="9" t="n"/>
      <c r="J8" s="2">
        <f>B8-F8</f>
        <v/>
      </c>
      <c r="K8" s="2">
        <f>C8-G8</f>
        <v/>
      </c>
      <c r="L8" s="2">
        <f>D8-H8</f>
        <v/>
      </c>
    </row>
    <row r="9">
      <c r="A9" t="inlineStr">
        <is>
          <t>Statutory Charge - Interest Bearing</t>
        </is>
      </c>
      <c r="B9" s="2">
        <f>SUM(C9:D9)</f>
        <v/>
      </c>
      <c r="C9" s="2">
        <f>SUMIF(CCMS_CASE_TOTALS_TRUE!HA:HA,"&lt;&gt;0",CCMS_CASE_TOTALS_TRUE!GJ:GJ)</f>
        <v/>
      </c>
      <c r="D9" s="2">
        <f>H9</f>
        <v/>
      </c>
      <c r="E9" s="2" t="n"/>
      <c r="F9" s="2">
        <f>SUM(G9:H9)</f>
        <v/>
      </c>
      <c r="G9" s="2">
        <f>SUMIF(CCMS_CASE_TOTALS_TRUE!HA:HA,"&lt;&gt;0",CCMS_CASE_TOTALS_TRUE!GO:GO)</f>
        <v/>
      </c>
      <c r="H9" s="2">
        <f>SUM(CCMS_CASE_TOTALS_TRUE!HA:HA)</f>
        <v/>
      </c>
      <c r="I9" s="9" t="n"/>
      <c r="J9" s="2">
        <f>B9-F9</f>
        <v/>
      </c>
      <c r="K9" s="2">
        <f>C9-G9</f>
        <v/>
      </c>
      <c r="L9" s="2">
        <f>D9-H9</f>
        <v/>
      </c>
    </row>
    <row r="10">
      <c r="A10" t="inlineStr">
        <is>
          <t>Statutory Charge - Secured</t>
        </is>
      </c>
      <c r="B10" s="2">
        <f>SUM(C10:D10)</f>
        <v/>
      </c>
      <c r="C10" s="2">
        <f>SUMIFS(CCMS_CASE_TOTALS_TRUE!GJ:GJ,CCMS_CASE_TOTALS_TRUE!HA:HA,"=0",CCMS_CASE_TOTALS_TRUE!Q:Q,"Y")</f>
        <v/>
      </c>
      <c r="D10" s="2">
        <f>H10</f>
        <v/>
      </c>
      <c r="E10" s="2" t="n"/>
      <c r="F10" s="2">
        <f>SUM(G10:H10)</f>
        <v/>
      </c>
      <c r="G10" s="2">
        <f>SUMIFS(CCMS_CASE_TOTALS_TRUE!GO:GO,CCMS_CASE_TOTALS_TRUE!HA:HA,"=0",CCMS_CASE_TOTALS_TRUE!Q:Q,"Y")</f>
        <v/>
      </c>
      <c r="H10" s="2" t="n">
        <v>0</v>
      </c>
      <c r="I10" s="9" t="n"/>
      <c r="J10" s="2">
        <f>B10-F10</f>
        <v/>
      </c>
      <c r="K10" s="2">
        <f>C10-G10</f>
        <v/>
      </c>
      <c r="L10" s="2">
        <f>D10-H10</f>
        <v/>
      </c>
    </row>
    <row r="11">
      <c r="A11" t="inlineStr">
        <is>
          <t>Statutory Charge - Unsecured</t>
        </is>
      </c>
      <c r="B11" s="2">
        <f>SUM(C11:D11)</f>
        <v/>
      </c>
      <c r="C11" s="2">
        <f>SUMIFS(CCMS_CASE_TOTALS_TRUE!GJ:GJ,CCMS_CASE_TOTALS_TRUE!HA:HA,"=0",CCMS_CASE_TOTALS_TRUE!Q:Q,"N")</f>
        <v/>
      </c>
      <c r="D11" s="2">
        <f>H11</f>
        <v/>
      </c>
      <c r="E11" s="2" t="n"/>
      <c r="F11" s="2">
        <f>SUM(G11:H11)</f>
        <v/>
      </c>
      <c r="G11" s="2">
        <f>SUMIFS(CCMS_CASE_TOTALS_TRUE!GO:GO,CCMS_CASE_TOTALS_TRUE!HA:HA,"=0",CCMS_CASE_TOTALS_TRUE!Q:Q,"N")</f>
        <v/>
      </c>
      <c r="H11" s="2" t="n">
        <v>0</v>
      </c>
      <c r="I11" s="9" t="n"/>
      <c r="J11" s="2">
        <f>B11-F11</f>
        <v/>
      </c>
      <c r="K11" s="2">
        <f>C11-G11</f>
        <v/>
      </c>
      <c r="L11" s="2">
        <f>D11-H11</f>
        <v/>
      </c>
    </row>
    <row r="12">
      <c r="B12" s="2" t="n"/>
      <c r="D12" s="2" t="n"/>
      <c r="E12" s="2" t="n"/>
      <c r="F12" s="2" t="n"/>
      <c r="G12" s="2" t="n"/>
      <c r="I12" s="9" t="n"/>
    </row>
    <row r="13" ht="15.75" customHeight="1" thickBot="1">
      <c r="B13" s="2" t="n"/>
      <c r="D13" s="2" t="n"/>
      <c r="E13" s="2" t="n"/>
      <c r="F13" s="2" t="n"/>
      <c r="G13" s="2" t="n"/>
      <c r="I13" s="9" t="n"/>
    </row>
    <row r="14" ht="15.75" customHeight="1" thickBot="1">
      <c r="A14" s="6" t="inlineStr">
        <is>
          <t>Total</t>
        </is>
      </c>
      <c r="B14" s="7">
        <f>SUM(B5:B13)</f>
        <v/>
      </c>
      <c r="C14" s="7">
        <f>SUM(C5:C13)</f>
        <v/>
      </c>
      <c r="D14" s="7">
        <f>SUM(D5:D13)</f>
        <v/>
      </c>
      <c r="E14" s="7" t="n"/>
      <c r="F14" s="7">
        <f>SUM(F5:F13)</f>
        <v/>
      </c>
      <c r="G14" s="7">
        <f>SUM(G5:G13)</f>
        <v/>
      </c>
      <c r="H14" s="7">
        <f>SUM(H5:H13)</f>
        <v/>
      </c>
      <c r="I14" s="10" t="n"/>
      <c r="J14" s="7">
        <f>SUM(J5:J13)</f>
        <v/>
      </c>
      <c r="K14" s="7">
        <f>SUM(K5:K13)</f>
        <v/>
      </c>
      <c r="L14" s="7">
        <f>SUM(L5:L13)</f>
        <v/>
      </c>
    </row>
    <row r="15" ht="15.75" customHeight="1" thickTop="1">
      <c r="I15" s="9" t="n"/>
    </row>
    <row r="16">
      <c r="F16" t="inlineStr">
        <is>
          <t>CHECKSUM</t>
        </is>
      </c>
      <c r="G16" s="2">
        <f>'Correctly linked Civil Cases'!I35-G14</f>
        <v/>
      </c>
      <c r="H16" s="2">
        <f>'Correctly linked Civil Cases'!I22-H14</f>
        <v/>
      </c>
      <c r="I16" s="9" t="n"/>
      <c r="K16" s="2">
        <f>'Correctly linked Civil Cases'!I49-K14</f>
        <v/>
      </c>
      <c r="L16" s="2">
        <f>0-L14</f>
        <v/>
      </c>
    </row>
    <row r="17">
      <c r="F17" t="inlineStr">
        <is>
          <t>CHECKSUM M P</t>
        </is>
      </c>
      <c r="G17" s="2">
        <f>'Civil Movement Report'!I14+'Civil Movement Report'!I28-'All Debts by Type Summary'!Q17</f>
        <v/>
      </c>
    </row>
    <row r="18">
      <c r="F18" t="inlineStr">
        <is>
          <t>CHECKSUM M C</t>
        </is>
      </c>
      <c r="G18" s="2">
        <f>'Civil Movement Report'!I42+'Civil Movement Report'!I54-'All Debts by Type Summary'!Q19</f>
        <v/>
      </c>
    </row>
    <row r="19">
      <c r="A19" s="1" t="inlineStr">
        <is>
          <t>Debt Type</t>
        </is>
      </c>
      <c r="B19" s="4" t="inlineStr">
        <is>
          <t>Volume</t>
        </is>
      </c>
      <c r="G19" s="2" t="n"/>
    </row>
    <row r="20">
      <c r="A20" t="inlineStr">
        <is>
          <t>Contributions</t>
        </is>
      </c>
      <c r="B20" s="16">
        <f>COUNTIF(CCMS_CASE_TOTALS_TRUE!GK:GK,"&gt;0")</f>
        <v/>
      </c>
      <c r="G20" s="2" t="n"/>
    </row>
    <row r="21">
      <c r="A21" t="inlineStr">
        <is>
          <t>Costs</t>
        </is>
      </c>
      <c r="B21" s="16">
        <f>COUNTIF(CCMS_CASE_TOTALS_TRUE!GL:GL,"&gt;0")</f>
        <v/>
      </c>
      <c r="G21" s="2" t="n"/>
    </row>
    <row r="22">
      <c r="A22" t="inlineStr">
        <is>
          <t>Damages</t>
        </is>
      </c>
      <c r="B22" s="16">
        <f>COUNTIF(CCMS_CASE_TOTALS_TRUE!GM:GM,"&gt;0")</f>
        <v/>
      </c>
      <c r="G22" s="2" t="n"/>
    </row>
    <row r="23">
      <c r="A23" t="inlineStr">
        <is>
          <t>Revocation</t>
        </is>
      </c>
      <c r="B23" s="16">
        <f>COUNTIF(CCMS_CASE_TOTALS_TRUE!GN:GN,"&gt;0")</f>
        <v/>
      </c>
      <c r="G23" s="2" t="n"/>
    </row>
    <row r="24">
      <c r="A24" t="inlineStr">
        <is>
          <t>Statutory Charge - Interest Bearing</t>
        </is>
      </c>
      <c r="B24" s="16">
        <f>COUNTIFS(CCMS_CASE_TOTALS_TRUE!HA:HA,"&lt;&gt;0",CCMS_CASE_TOTALS_TRUE!GO:GO,"&gt;0")</f>
        <v/>
      </c>
    </row>
    <row r="25">
      <c r="A25" t="inlineStr">
        <is>
          <t>Statutory Charge - Secured</t>
        </is>
      </c>
      <c r="B25" s="16">
        <f>COUNTIFS(CCMS_CASE_TOTALS_TRUE!GO:GO,"&gt;0",CCMS_CASE_TOTALS_TRUE!HA:HA,"=0",CCMS_CASE_TOTALS_TRUE!Q:Q,"Y")</f>
        <v/>
      </c>
    </row>
    <row r="26">
      <c r="A26" t="inlineStr">
        <is>
          <t>Statutory Charge - Unsecured</t>
        </is>
      </c>
      <c r="B26" s="16">
        <f>COUNTIFS(CCMS_CASE_TOTALS_TRUE!GO:GO,"&gt;0",CCMS_CASE_TOTALS_TRUE!HA:HA,"=0",CCMS_CASE_TOTALS_TRUE!Q:Q,"N")</f>
        <v/>
      </c>
    </row>
    <row r="27">
      <c r="B27" s="16">
        <f>SUM(B24:B26)</f>
        <v/>
      </c>
    </row>
    <row r="28">
      <c r="B28" s="3" t="n"/>
    </row>
    <row r="30">
      <c r="A30" s="14" t="inlineStr">
        <is>
          <t>Max final bill date</t>
        </is>
      </c>
      <c r="B30" s="14">
        <f>MAX(CCMS_CASE_TOTALS_TRUE!DJ:DJ)</f>
        <v/>
      </c>
      <c r="C30" s="15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L16"/>
  <sheetViews>
    <sheetView workbookViewId="0">
      <selection activeCell="D22" sqref="D22"/>
    </sheetView>
  </sheetViews>
  <sheetFormatPr baseColWidth="8" defaultRowHeight="15"/>
  <cols>
    <col width="32.140625" bestFit="1" customWidth="1" min="1" max="1"/>
    <col width="16.7109375" bestFit="1" customWidth="1" style="13" min="2" max="2"/>
    <col width="14.28515625" bestFit="1" customWidth="1" style="13" min="3" max="3"/>
    <col width="20.85546875" bestFit="1" customWidth="1" style="13" min="4" max="4"/>
    <col width="9.140625" customWidth="1" style="13" min="5" max="5"/>
    <col width="14.28515625" bestFit="1" customWidth="1" style="13" min="6" max="7"/>
    <col width="20.85546875" bestFit="1" customWidth="1" style="13" min="8" max="8"/>
    <col width="9.140625" customWidth="1" style="13" min="9" max="9"/>
    <col width="15.5703125" bestFit="1" customWidth="1" style="13" min="10" max="10"/>
    <col width="14.28515625" bestFit="1" customWidth="1" style="13" min="11" max="11"/>
    <col width="20.85546875" bestFit="1" customWidth="1" style="13" min="12" max="12"/>
  </cols>
  <sheetData>
    <row r="1">
      <c r="A1" t="inlineStr">
        <is>
          <t>CCMS Third party report</t>
        </is>
      </c>
    </row>
    <row r="2" ht="15.75" customHeight="1" thickBot="1"/>
    <row r="3" ht="15.75" customHeight="1" thickBot="1">
      <c r="B3" s="13" t="inlineStr">
        <is>
          <t>Total outstanding</t>
        </is>
      </c>
      <c r="F3" s="13" t="inlineStr">
        <is>
          <t>LAA Debt</t>
        </is>
      </c>
      <c r="J3" s="13" t="inlineStr">
        <is>
          <t>Third Party Debt</t>
        </is>
      </c>
    </row>
    <row r="4">
      <c r="A4" t="inlineStr">
        <is>
          <t>Debt Type</t>
        </is>
      </c>
      <c r="B4" s="13" t="inlineStr">
        <is>
          <t>Total</t>
        </is>
      </c>
      <c r="C4" s="13" t="inlineStr">
        <is>
          <t>Principal Debt</t>
        </is>
      </c>
      <c r="D4" s="13" t="inlineStr">
        <is>
          <t>Interest (late charges)</t>
        </is>
      </c>
      <c r="F4" s="13" t="inlineStr">
        <is>
          <t>Total</t>
        </is>
      </c>
      <c r="G4" s="13" t="inlineStr">
        <is>
          <t>Principal Debt</t>
        </is>
      </c>
      <c r="H4" s="13" t="inlineStr">
        <is>
          <t>Interest (late charges)</t>
        </is>
      </c>
      <c r="J4" s="13" t="inlineStr">
        <is>
          <t>Total</t>
        </is>
      </c>
      <c r="K4" s="13" t="inlineStr">
        <is>
          <t>Principal Debt</t>
        </is>
      </c>
      <c r="L4" s="13" t="inlineStr">
        <is>
          <t>Interest (late charges)</t>
        </is>
      </c>
    </row>
    <row r="5">
      <c r="A5" t="inlineStr">
        <is>
          <t>Contributions</t>
        </is>
      </c>
      <c r="B5" s="13">
        <f>SUM(C5:D5)</f>
        <v/>
      </c>
      <c r="C5" s="13">
        <f>SUMIF(CCMS_CASE_TOTALS_TRUE!HV:HV,1,CCMS_CASE_TOTALS_TRUE!GF:GF)</f>
        <v/>
      </c>
      <c r="D5" s="13">
        <f>H5</f>
        <v/>
      </c>
      <c r="F5" s="13">
        <f>SUM(G5:H5)</f>
        <v/>
      </c>
      <c r="G5" s="13">
        <f>SUMIF(CCMS_CASE_TOTALS_TRUE!HV:HV,1,CCMS_CASE_TOTALS_TRUE!GK:GK)</f>
        <v/>
      </c>
      <c r="H5" s="13">
        <f>SUMIF(CCMS_CASE_TOTALS_TRUE!HV:HV,1,CCMS_CASE_TOTALS_TRUE!GW:GW)</f>
        <v/>
      </c>
      <c r="J5" s="13">
        <f>B5-F5</f>
        <v/>
      </c>
      <c r="K5" s="13">
        <f>C5-G5</f>
        <v/>
      </c>
      <c r="L5" s="13">
        <f>D5-H5</f>
        <v/>
      </c>
    </row>
    <row r="6">
      <c r="A6" t="inlineStr">
        <is>
          <t>Costs</t>
        </is>
      </c>
      <c r="B6" s="13">
        <f>SUM(C6:D6)</f>
        <v/>
      </c>
      <c r="C6" s="13">
        <f>SUMIF(CCMS_CASE_TOTALS_TRUE!HV:HV,1,CCMS_CASE_TOTALS_TRUE!GG:GG)</f>
        <v/>
      </c>
      <c r="D6" s="13">
        <f>H6</f>
        <v/>
      </c>
      <c r="F6" s="13">
        <f>SUM(G6:H6)</f>
        <v/>
      </c>
      <c r="G6" s="13">
        <f>SUMIF(CCMS_CASE_TOTALS_TRUE!HV:HV,1,CCMS_CASE_TOTALS_TRUE!GL:GL)</f>
        <v/>
      </c>
      <c r="H6" s="13">
        <f>SUMIF(CCMS_CASE_TOTALS_TRUE!HV:HV,1,CCMS_CASE_TOTALS_TRUE!GX:GX)</f>
        <v/>
      </c>
      <c r="J6" s="13">
        <f>B6-F6</f>
        <v/>
      </c>
      <c r="K6" s="13">
        <f>C6-G6</f>
        <v/>
      </c>
      <c r="L6" s="13">
        <f>D6-H6</f>
        <v/>
      </c>
    </row>
    <row r="7">
      <c r="A7" t="inlineStr">
        <is>
          <t>Damages</t>
        </is>
      </c>
      <c r="B7" s="13">
        <f>SUM(C7:D7)</f>
        <v/>
      </c>
      <c r="C7" s="13">
        <f>SUMIF(CCMS_CASE_TOTALS_TRUE!HV:HV,1,CCMS_CASE_TOTALS_TRUE!GH:GH)</f>
        <v/>
      </c>
      <c r="D7" s="13">
        <f>H7</f>
        <v/>
      </c>
      <c r="F7" s="13">
        <f>SUM(G7:H7)</f>
        <v/>
      </c>
      <c r="G7" s="13">
        <f>SUMIF(CCMS_CASE_TOTALS_TRUE!HV:HV,1,CCMS_CASE_TOTALS_TRUE!GM:GM)</f>
        <v/>
      </c>
      <c r="H7" s="13">
        <f>SUMIF(CCMS_CASE_TOTALS_TRUE!HV:HV,1,CCMS_CASE_TOTALS_TRUE!GY:GY)</f>
        <v/>
      </c>
      <c r="J7" s="13">
        <f>B7-F7</f>
        <v/>
      </c>
      <c r="K7" s="13">
        <f>C7-G7</f>
        <v/>
      </c>
      <c r="L7" s="13">
        <f>D7-H7</f>
        <v/>
      </c>
    </row>
    <row r="8">
      <c r="A8" t="inlineStr">
        <is>
          <t>Revocation</t>
        </is>
      </c>
      <c r="B8" s="13">
        <f>SUM(C8:D8)</f>
        <v/>
      </c>
      <c r="C8" s="13">
        <f>SUMIF(CCMS_CASE_TOTALS_TRUE!HV:HV,1,CCMS_CASE_TOTALS_TRUE!GI:GI)</f>
        <v/>
      </c>
      <c r="D8" s="13">
        <f>H8</f>
        <v/>
      </c>
      <c r="F8" s="13">
        <f>SUM(G8:H8)</f>
        <v/>
      </c>
      <c r="G8" s="13">
        <f>SUMIF(CCMS_CASE_TOTALS_TRUE!HV:HV,1,CCMS_CASE_TOTALS_TRUE!GN:GN)</f>
        <v/>
      </c>
      <c r="H8" s="13">
        <f>SUMIF(CCMS_CASE_TOTALS_TRUE!HV:HV,1,CCMS_CASE_TOTALS_TRUE!GZ:GZ)</f>
        <v/>
      </c>
      <c r="J8" s="13">
        <f>B8-F8</f>
        <v/>
      </c>
      <c r="K8" s="13">
        <f>C8-G8</f>
        <v/>
      </c>
      <c r="L8" s="13">
        <f>D8-H8</f>
        <v/>
      </c>
    </row>
    <row r="9">
      <c r="A9" t="inlineStr">
        <is>
          <t>Statutory Charge - Interest Bearing</t>
        </is>
      </c>
      <c r="B9" s="13">
        <f>SUM(C9:D9)</f>
        <v/>
      </c>
      <c r="C9" s="13">
        <f>SUMIFS(CCMS_CASE_TOTALS_TRUE!GJ:GJ,CCMS_CASE_TOTALS_TRUE!HA:HA,"&lt;&gt;0",CCMS_CASE_TOTALS_TRUE!HV:HV,1)</f>
        <v/>
      </c>
      <c r="D9" s="13">
        <f>H9</f>
        <v/>
      </c>
      <c r="F9" s="13">
        <f>SUM(G9:H9)</f>
        <v/>
      </c>
      <c r="G9" s="13">
        <f>SUMIFS(CCMS_CASE_TOTALS_TRUE!GO:GO,CCMS_CASE_TOTALS_TRUE!HA:HA,"&lt;&gt;0",CCMS_CASE_TOTALS_TRUE!HV:HV,1)</f>
        <v/>
      </c>
      <c r="H9" s="13">
        <f>SUMIF(CCMS_CASE_TOTALS_TRUE!HV:HV,1,CCMS_CASE_TOTALS_TRUE!HA:HA)</f>
        <v/>
      </c>
      <c r="J9" s="13">
        <f>B9-F9</f>
        <v/>
      </c>
      <c r="K9" s="13">
        <f>C9-G9</f>
        <v/>
      </c>
      <c r="L9" s="13">
        <f>D9-H9</f>
        <v/>
      </c>
    </row>
    <row r="10">
      <c r="A10" t="inlineStr">
        <is>
          <t>Statutory Charge - Secured</t>
        </is>
      </c>
      <c r="B10" s="13">
        <f>SUM(C10:D10)</f>
        <v/>
      </c>
      <c r="C10" s="13">
        <f>SUMIFS(CCMS_CASE_TOTALS_TRUE!GJ:GJ,CCMS_CASE_TOTALS_TRUE!HA:HA,"=0",CCMS_CASE_TOTALS_TRUE!Q:Q,"Y",CCMS_CASE_TOTALS_TRUE!HV:HV,1)</f>
        <v/>
      </c>
      <c r="D10" s="13">
        <f>H10</f>
        <v/>
      </c>
      <c r="F10" s="13">
        <f>SUM(G10:H10)</f>
        <v/>
      </c>
      <c r="G10" s="13">
        <f>SUMIFS(CCMS_CASE_TOTALS_TRUE!GO:GO,CCMS_CASE_TOTALS_TRUE!HA:HA,"=0",CCMS_CASE_TOTALS_TRUE!Q:Q,"Y",CCMS_CASE_TOTALS_TRUE!HV:HV,1)</f>
        <v/>
      </c>
      <c r="H10" s="13" t="n">
        <v>0</v>
      </c>
      <c r="J10" s="13">
        <f>B10-F10</f>
        <v/>
      </c>
      <c r="K10" s="13">
        <f>C10-G10</f>
        <v/>
      </c>
      <c r="L10" s="13">
        <f>D10-H10</f>
        <v/>
      </c>
    </row>
    <row r="11">
      <c r="A11" t="inlineStr">
        <is>
          <t>Statutory Charge - Unsecured</t>
        </is>
      </c>
      <c r="B11" s="13">
        <f>SUM(C11:D11)</f>
        <v/>
      </c>
      <c r="C11" s="13">
        <f>SUMIFS(CCMS_CASE_TOTALS_TRUE!GJ:GJ,CCMS_CASE_TOTALS_TRUE!HA:HA,"=0",CCMS_CASE_TOTALS_TRUE!Q:Q,"N",CCMS_CASE_TOTALS_TRUE!HV:HV,1)</f>
        <v/>
      </c>
      <c r="D11" s="13">
        <f>H11</f>
        <v/>
      </c>
      <c r="F11" s="13">
        <f>SUM(G11:H11)</f>
        <v/>
      </c>
      <c r="G11" s="13">
        <f>SUMIFS(CCMS_CASE_TOTALS_TRUE!GO:GO,CCMS_CASE_TOTALS_TRUE!HA:HA,"=0",CCMS_CASE_TOTALS_TRUE!Q:Q,"N",CCMS_CASE_TOTALS_TRUE!HV:HV,1)</f>
        <v/>
      </c>
      <c r="H11" s="13" t="n">
        <v>0</v>
      </c>
      <c r="J11" s="13">
        <f>B11-F11</f>
        <v/>
      </c>
      <c r="K11" s="13">
        <f>C11-G11</f>
        <v/>
      </c>
      <c r="L11" s="13">
        <f>D11-H11</f>
        <v/>
      </c>
    </row>
    <row r="13" ht="15.75" customHeight="1" thickBot="1"/>
    <row r="14" ht="15.75" customHeight="1" thickBot="1">
      <c r="A14" t="inlineStr">
        <is>
          <t>Total</t>
        </is>
      </c>
      <c r="B14" s="13">
        <f>SUM(B5:B13)</f>
        <v/>
      </c>
      <c r="C14" s="13">
        <f>SUM(C5:C13)</f>
        <v/>
      </c>
      <c r="D14" s="13">
        <f>SUM(D5:D13)</f>
        <v/>
      </c>
      <c r="F14" s="13">
        <f>SUM(F5:F13)</f>
        <v/>
      </c>
      <c r="G14" s="13">
        <f>SUM(G5:G13)</f>
        <v/>
      </c>
      <c r="H14" s="13">
        <f>SUM(H5:H13)</f>
        <v/>
      </c>
      <c r="J14" s="13">
        <f>SUM(J5:J13)</f>
        <v/>
      </c>
      <c r="K14" s="13">
        <f>SUM(K5:K13)</f>
        <v/>
      </c>
      <c r="L14" s="13">
        <f>SUM(L5:L13)</f>
        <v/>
      </c>
    </row>
    <row r="15" ht="15.75" customHeight="1" thickTop="1"/>
    <row r="16">
      <c r="L16" s="13">
        <f>0-L14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B1:I17"/>
  <sheetViews>
    <sheetView workbookViewId="0">
      <selection activeCell="E18" sqref="E18"/>
    </sheetView>
  </sheetViews>
  <sheetFormatPr baseColWidth="8" defaultRowHeight="15"/>
  <cols>
    <col width="5.140625" customWidth="1" min="1" max="1"/>
    <col width="27" bestFit="1" customWidth="1" min="2" max="2"/>
    <col width="16.85546875" bestFit="1" customWidth="1" style="13" min="3" max="3"/>
    <col width="15.85546875" bestFit="1" customWidth="1" style="13" min="4" max="4"/>
    <col width="12.7109375" bestFit="1" customWidth="1" style="13" min="5" max="5"/>
    <col width="15.85546875" bestFit="1" customWidth="1" style="13" min="6" max="6"/>
    <col width="13.85546875" customWidth="1" style="13" min="7" max="7"/>
    <col width="6.140625" customWidth="1" style="13" min="8" max="8"/>
    <col width="16.85546875" bestFit="1" customWidth="1" style="13" min="9" max="9"/>
    <col width="14.85546875" bestFit="1" customWidth="1" min="10" max="10"/>
    <col width="11.5703125" bestFit="1" customWidth="1" min="11" max="11"/>
    <col width="11.5703125" bestFit="1" customWidth="1" min="13" max="13"/>
  </cols>
  <sheetData>
    <row r="1">
      <c r="B1" t="inlineStr">
        <is>
          <t>All CCMS Debt Balances</t>
        </is>
      </c>
    </row>
    <row r="2">
      <c r="B2" t="inlineStr">
        <is>
          <t>Does not include unapplied income or credit memo's</t>
        </is>
      </c>
    </row>
    <row r="4">
      <c r="C4" s="13" t="inlineStr">
        <is>
          <t>Civil</t>
        </is>
      </c>
      <c r="D4" s="13" t="inlineStr">
        <is>
          <t>Crime Higher</t>
        </is>
      </c>
      <c r="E4" s="13" t="inlineStr">
        <is>
          <t>Other</t>
        </is>
      </c>
      <c r="F4" s="13" t="inlineStr">
        <is>
          <t>Provider</t>
        </is>
      </c>
      <c r="G4" s="13" t="inlineStr">
        <is>
          <t>Staff Debt</t>
        </is>
      </c>
      <c r="I4" s="13" t="inlineStr">
        <is>
          <t>Total</t>
        </is>
      </c>
    </row>
    <row r="5">
      <c r="B5" t="inlineStr">
        <is>
          <t>Principal</t>
        </is>
      </c>
      <c r="C5" s="13">
        <f>'All Debts by Type Summary'!C17</f>
        <v/>
      </c>
      <c r="D5" s="13">
        <f>'All Debts by Type Summary'!D17</f>
        <v/>
      </c>
      <c r="E5" s="13">
        <f>'All Debts by Type Summary'!E17</f>
        <v/>
      </c>
      <c r="F5" s="13">
        <f>'All Debts by Type Summary'!F17</f>
        <v/>
      </c>
      <c r="G5" s="13">
        <f>'All Debts by Type Summary'!G17</f>
        <v/>
      </c>
      <c r="I5" s="13">
        <f>SUM(C5:H5)</f>
        <v/>
      </c>
    </row>
    <row r="6">
      <c r="B6" t="inlineStr">
        <is>
          <t>Interest</t>
        </is>
      </c>
      <c r="C6" s="13">
        <f>'All Debts by Type Summary'!C19</f>
        <v/>
      </c>
      <c r="D6" s="13">
        <f>'All Debts by Type Summary'!D19</f>
        <v/>
      </c>
      <c r="E6" s="13">
        <f>'All Debts by Type Summary'!E19</f>
        <v/>
      </c>
      <c r="F6" s="13">
        <f>'All Debts by Type Summary'!F19</f>
        <v/>
      </c>
      <c r="G6" s="13">
        <f>'All Debts by Type Summary'!G19</f>
        <v/>
      </c>
      <c r="I6" s="13">
        <f>SUM(C6:H6)</f>
        <v/>
      </c>
    </row>
    <row r="7">
      <c r="B7" t="inlineStr">
        <is>
          <t>Total</t>
        </is>
      </c>
      <c r="C7" s="13">
        <f>SUM(C5:C6)</f>
        <v/>
      </c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I7" s="13">
        <f>SUM(I5:I6)</f>
        <v/>
      </c>
    </row>
    <row r="9">
      <c r="B9" t="inlineStr">
        <is>
          <t>Civil Balances Reported Here</t>
        </is>
      </c>
    </row>
    <row r="11">
      <c r="C11" s="13" t="inlineStr">
        <is>
          <t>Principal</t>
        </is>
      </c>
      <c r="D11" s="13" t="inlineStr">
        <is>
          <t>Interest</t>
        </is>
      </c>
    </row>
    <row r="12">
      <c r="B12" t="inlineStr">
        <is>
          <t>Correctly linked Debts</t>
        </is>
      </c>
      <c r="C12" s="13">
        <f>SUM('Correctly linked Civil Cases'!C20:G20)</f>
        <v/>
      </c>
      <c r="D12" s="13">
        <f>SUM('Correctly linked Civil Cases'!C22:G22)</f>
        <v/>
      </c>
    </row>
    <row r="13">
      <c r="B13" t="inlineStr">
        <is>
          <t>Migrated in error</t>
        </is>
      </c>
      <c r="C13" s="13">
        <f>SUM('Civil Debt Exceptions'!C21:G21)</f>
        <v/>
      </c>
      <c r="D13" s="13">
        <f>SUM('Civil Debt Exceptions'!C23:G23)</f>
        <v/>
      </c>
    </row>
    <row r="14">
      <c r="B14" t="inlineStr">
        <is>
          <t>Not linked to a case</t>
        </is>
      </c>
      <c r="C14" s="13">
        <f>SUM('Civil Debt Exceptions'!C41:G41)</f>
        <v/>
      </c>
      <c r="D14" s="13">
        <f>SUM('Civil Debt Exceptions'!C43:G43)</f>
        <v/>
      </c>
    </row>
    <row r="16">
      <c r="B16" t="inlineStr">
        <is>
          <t>Total</t>
        </is>
      </c>
      <c r="C16" s="13">
        <f>SUM(C12:C15)</f>
        <v/>
      </c>
      <c r="D16" s="13">
        <f>SUM(D12:D15)</f>
        <v/>
      </c>
    </row>
    <row r="17">
      <c r="B17" t="inlineStr">
        <is>
          <t>Variance in Civil Balances</t>
        </is>
      </c>
      <c r="C17" s="13">
        <f>C16-C5</f>
        <v/>
      </c>
      <c r="D17" s="13">
        <f>D16-C6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1">
    <outlinePr summaryBelow="1" summaryRight="1"/>
    <pageSetUpPr/>
  </sheetPr>
  <dimension ref="A1:I34"/>
  <sheetViews>
    <sheetView workbookViewId="0">
      <selection activeCell="C11" sqref="C11"/>
    </sheetView>
  </sheetViews>
  <sheetFormatPr baseColWidth="8" defaultRowHeight="15"/>
  <cols>
    <col width="12.140625" bestFit="1" customWidth="1" min="1" max="1"/>
    <col width="14.7109375" bestFit="1" customWidth="1" style="13" min="2" max="2"/>
    <col width="13" bestFit="1" customWidth="1" style="13" min="3" max="3"/>
    <col width="15.85546875" bestFit="1" customWidth="1" style="13" min="4" max="4"/>
    <col width="23.28515625" bestFit="1" customWidth="1" style="13" min="5" max="5"/>
    <col width="27.85546875" bestFit="1" customWidth="1" style="13" min="6" max="6"/>
    <col width="9" bestFit="1" customWidth="1" style="13" min="7" max="7"/>
    <col width="23.28515625" bestFit="1" customWidth="1" style="13" min="8" max="8"/>
  </cols>
  <sheetData>
    <row r="1">
      <c r="A1" t="inlineStr">
        <is>
          <t>All debt aging is derived from the date each civil case's funding completed (final bill date).</t>
        </is>
      </c>
    </row>
    <row r="3">
      <c r="A3" t="inlineStr">
        <is>
          <t>Volume</t>
        </is>
      </c>
    </row>
    <row r="5">
      <c r="B5" s="13" t="inlineStr">
        <is>
          <t>Debt Type</t>
        </is>
      </c>
    </row>
    <row r="6">
      <c r="B6" s="13" t="inlineStr">
        <is>
          <t>Costs</t>
        </is>
      </c>
      <c r="C6" s="13" t="inlineStr">
        <is>
          <t>Damages</t>
        </is>
      </c>
      <c r="D6" s="13" t="inlineStr">
        <is>
          <t>Revocation</t>
        </is>
      </c>
      <c r="E6" s="13" t="inlineStr">
        <is>
          <t>Statutory Charge Bearing</t>
        </is>
      </c>
      <c r="F6" s="13" t="inlineStr">
        <is>
          <t>Statutory Charge Non-bearing</t>
        </is>
      </c>
    </row>
    <row r="7">
      <c r="A7" t="inlineStr">
        <is>
          <t>0-30 days</t>
        </is>
      </c>
      <c r="B7" s="13">
        <f>COUNTIFS(CCMS_CASE_TOTALS_TRUE!GL:GL,"&gt;0",CCMS_CASE_TOTALS_TRUE!$J:$J,"&lt;=30")</f>
        <v/>
      </c>
      <c r="C7" s="13">
        <f>COUNTIFS(CCMS_CASE_TOTALS_TRUE!GM:GM,"&gt;0",CCMS_CASE_TOTALS_TRUE!$J:$J,"&lt;=30")</f>
        <v/>
      </c>
      <c r="D7" s="13">
        <f>COUNTIFS(CCMS_CASE_TOTALS_TRUE!GN:GN,"&gt;0",CCMS_CASE_TOTALS_TRUE!$J:$J,"&lt;=30")</f>
        <v/>
      </c>
      <c r="E7" s="13">
        <f>COUNTIFS(CCMS_CASE_TOTALS_TRUE!GO:GO,"&gt;0",CCMS_CASE_TOTALS_TRUE!HA:HA,"&lt;&gt;0",CCMS_CASE_TOTALS_TRUE!$J:$J,"&lt;=30")</f>
        <v/>
      </c>
      <c r="F7" s="13">
        <f>COUNTIFS(CCMS_CASE_TOTALS_TRUE!GO:GO,"&gt;0",CCMS_CASE_TOTALS_TRUE!HA:HA,"=0",CCMS_CASE_TOTALS_TRUE!$J:$J,"&lt;=30")</f>
        <v/>
      </c>
      <c r="G7" s="13" t="inlineStr">
        <is>
          <t> </t>
        </is>
      </c>
      <c r="H7" s="13" t="inlineStr">
        <is>
          <t> </t>
        </is>
      </c>
      <c r="I7" t="inlineStr">
        <is>
          <t> </t>
        </is>
      </c>
    </row>
    <row r="8">
      <c r="A8" t="inlineStr">
        <is>
          <t>31-60 days</t>
        </is>
      </c>
      <c r="B8" s="13">
        <f>COUNTIFS(CCMS_CASE_TOTALS_TRUE!GL:GL,"&gt;0",CCMS_CASE_TOTALS_TRUE!$J:$J,"&lt;=60")-SUM(B$7)</f>
        <v/>
      </c>
      <c r="C8" s="13">
        <f>COUNTIFS(CCMS_CASE_TOTALS_TRUE!GM:GM,"&gt;0",CCMS_CASE_TOTALS_TRUE!$J:$J,"&lt;=60")-SUM(C$7)</f>
        <v/>
      </c>
      <c r="D8" s="13">
        <f>COUNTIFS(CCMS_CASE_TOTALS_TRUE!GN:GN,"&gt;0",CCMS_CASE_TOTALS_TRUE!$J:$J,"&lt;=60")-SUM(D$7)</f>
        <v/>
      </c>
      <c r="E8" s="13">
        <f>COUNTIFS(CCMS_CASE_TOTALS_TRUE!GO:GO,"&gt;0",CCMS_CASE_TOTALS_TRUE!HA:HA,"&lt;&gt;0",CCMS_CASE_TOTALS_TRUE!$J:$J,"&lt;=60")-SUM(E$7)</f>
        <v/>
      </c>
      <c r="F8" s="13">
        <f>COUNTIFS(CCMS_CASE_TOTALS_TRUE!GO:GO,"&gt;0",CCMS_CASE_TOTALS_TRUE!HA:HA,"=0",CCMS_CASE_TOTALS_TRUE!$J:$J,"&lt;=60")-SUM(F$7)</f>
        <v/>
      </c>
      <c r="G8" s="13" t="inlineStr">
        <is>
          <t> </t>
        </is>
      </c>
      <c r="H8" s="13" t="inlineStr">
        <is>
          <t> </t>
        </is>
      </c>
      <c r="I8" t="inlineStr">
        <is>
          <t> </t>
        </is>
      </c>
    </row>
    <row r="9">
      <c r="A9" t="inlineStr">
        <is>
          <t>60-90 days</t>
        </is>
      </c>
      <c r="B9" s="13">
        <f>COUNTIFS(CCMS_CASE_TOTALS_TRUE!GL:GL,"&gt;0",CCMS_CASE_TOTALS_TRUE!$J:$J,"&lt;=90")-SUM(B$7:B8)</f>
        <v/>
      </c>
      <c r="C9" s="13">
        <f>COUNTIFS(CCMS_CASE_TOTALS_TRUE!GM:GM,"&gt;0",CCMS_CASE_TOTALS_TRUE!$J:$J,"&lt;=90")-SUM(C$7:C8)</f>
        <v/>
      </c>
      <c r="D9" s="13">
        <f>COUNTIFS(CCMS_CASE_TOTALS_TRUE!GN:GN,"&gt;0",CCMS_CASE_TOTALS_TRUE!$J:$J,"&lt;=90")-SUM(D$7:D8)</f>
        <v/>
      </c>
      <c r="E9" s="13">
        <f>COUNTIFS(CCMS_CASE_TOTALS_TRUE!GO:GO,"&gt;0",CCMS_CASE_TOTALS_TRUE!HA:HA,"&lt;&gt;0",CCMS_CASE_TOTALS_TRUE!$J:$J,"&lt;=90")-SUM(E$7:E8)</f>
        <v/>
      </c>
      <c r="F9" s="13">
        <f>COUNTIFS(CCMS_CASE_TOTALS_TRUE!GO:GO,"&gt;0",CCMS_CASE_TOTALS_TRUE!HA:HA,"=0",CCMS_CASE_TOTALS_TRUE!$J:$J,"&lt;=90")-SUM(F$7:F8)</f>
        <v/>
      </c>
      <c r="G9" s="13" t="inlineStr">
        <is>
          <t> </t>
        </is>
      </c>
      <c r="H9" s="13" t="inlineStr">
        <is>
          <t> </t>
        </is>
      </c>
      <c r="I9" t="inlineStr">
        <is>
          <t> </t>
        </is>
      </c>
    </row>
    <row r="10">
      <c r="A10" t="inlineStr">
        <is>
          <t>Under 1 Year</t>
        </is>
      </c>
      <c r="B10" s="13">
        <f>COUNTIFS(CCMS_CASE_TOTALS_TRUE!GL:GL,"&gt;0",CCMS_CASE_TOTALS_TRUE!$J:$J,"&lt;=365")-SUM(B$7:B9)</f>
        <v/>
      </c>
      <c r="C10" s="13">
        <f>COUNTIFS(CCMS_CASE_TOTALS_TRUE!GM:GM,"&gt;0",CCMS_CASE_TOTALS_TRUE!$J:$J,"&lt;=365")-SUM(C$7:C9)</f>
        <v/>
      </c>
      <c r="D10" s="13">
        <f>COUNTIFS(CCMS_CASE_TOTALS_TRUE!GN:GN,"&gt;0",CCMS_CASE_TOTALS_TRUE!$J:$J,"&lt;=365")-SUM(D$7:D9)</f>
        <v/>
      </c>
      <c r="E10" s="13">
        <f>COUNTIFS(CCMS_CASE_TOTALS_TRUE!GO:GO,"&gt;0",CCMS_CASE_TOTALS_TRUE!HA:HA,"&lt;&gt;0",CCMS_CASE_TOTALS_TRUE!$J:$J,"&lt;=365")-SUM(E$7:E9)</f>
        <v/>
      </c>
      <c r="F10" s="13">
        <f>COUNTIFS(CCMS_CASE_TOTALS_TRUE!GO:GO,"&gt;0",CCMS_CASE_TOTALS_TRUE!HA:HA,"=0",CCMS_CASE_TOTALS_TRUE!$J:$J,"&lt;=365")-SUM(F$7:F9)</f>
        <v/>
      </c>
      <c r="G10" s="13" t="inlineStr">
        <is>
          <t> </t>
        </is>
      </c>
      <c r="H10" s="13" t="inlineStr">
        <is>
          <t> </t>
        </is>
      </c>
      <c r="I10" t="inlineStr">
        <is>
          <t> </t>
        </is>
      </c>
    </row>
    <row r="11">
      <c r="A11" t="inlineStr">
        <is>
          <t>1- 3years</t>
        </is>
      </c>
      <c r="B11" s="13">
        <f>COUNTIFS(CCMS_CASE_TOTALS_TRUE!GL:GL,"&gt;0",CCMS_CASE_TOTALS_TRUE!$J:$J,"&lt;=1095")-SUM(B$7:B10)</f>
        <v/>
      </c>
      <c r="C11" s="13">
        <f>COUNTIFS(CCMS_CASE_TOTALS_TRUE!GM:GM,"&gt;0",CCMS_CASE_TOTALS_TRUE!$J:$J,"&lt;=1095")-SUM(C$7:C10)</f>
        <v/>
      </c>
      <c r="D11" s="13">
        <f>COUNTIFS(CCMS_CASE_TOTALS_TRUE!GN:GN,"&gt;0",CCMS_CASE_TOTALS_TRUE!$J:$J,"&lt;=1095")-SUM(D$7:D10)</f>
        <v/>
      </c>
      <c r="E11" s="13">
        <f>COUNTIFS(CCMS_CASE_TOTALS_TRUE!GO:GO,"&gt;0",CCMS_CASE_TOTALS_TRUE!HA:HA,"&lt;&gt;0",CCMS_CASE_TOTALS_TRUE!$J:$J,"&lt;=1095")-SUM(E$7:E10)</f>
        <v/>
      </c>
      <c r="F11" s="13">
        <f>COUNTIFS(CCMS_CASE_TOTALS_TRUE!GO:GO,"&gt;0",CCMS_CASE_TOTALS_TRUE!HA:HA,"=0",CCMS_CASE_TOTALS_TRUE!$J:$J,"&lt;=1095")-SUM(F$7:F10)</f>
        <v/>
      </c>
      <c r="G11" s="13" t="inlineStr">
        <is>
          <t> </t>
        </is>
      </c>
      <c r="H11" s="13" t="inlineStr">
        <is>
          <t> </t>
        </is>
      </c>
      <c r="I11" t="inlineStr">
        <is>
          <t> </t>
        </is>
      </c>
    </row>
    <row r="12">
      <c r="A12" t="inlineStr">
        <is>
          <t>3-5 Years</t>
        </is>
      </c>
      <c r="B12" s="13">
        <f>COUNTIFS(CCMS_CASE_TOTALS_TRUE!GL:GL,"&gt;0",CCMS_CASE_TOTALS_TRUE!$J:$J,"&lt;=1825")-SUM(B$7:B11)</f>
        <v/>
      </c>
      <c r="C12" s="13">
        <f>COUNTIFS(CCMS_CASE_TOTALS_TRUE!GM:GM,"&gt;0",CCMS_CASE_TOTALS_TRUE!$J:$J,"&lt;=1825")-SUM(C$7:C11)</f>
        <v/>
      </c>
      <c r="D12" s="13">
        <f>COUNTIFS(CCMS_CASE_TOTALS_TRUE!GN:GN,"&gt;0",CCMS_CASE_TOTALS_TRUE!$J:$J,"&lt;=1825")-SUM(D$7:D11)</f>
        <v/>
      </c>
      <c r="E12" s="13">
        <f>COUNTIFS(CCMS_CASE_TOTALS_TRUE!GO:GO,"&gt;0",CCMS_CASE_TOTALS_TRUE!HA:HA,"&lt;&gt;0",CCMS_CASE_TOTALS_TRUE!$J:$J,"&lt;=1825")-SUM(E$7:E11)</f>
        <v/>
      </c>
      <c r="F12" s="13">
        <f>COUNTIFS(CCMS_CASE_TOTALS_TRUE!GO:GO,"&gt;0",CCMS_CASE_TOTALS_TRUE!HA:HA,"=0",CCMS_CASE_TOTALS_TRUE!$J:$J,"&lt;=1825")-SUM(F$7:F11)</f>
        <v/>
      </c>
      <c r="G12" s="13" t="inlineStr">
        <is>
          <t> </t>
        </is>
      </c>
      <c r="H12" s="13" t="inlineStr">
        <is>
          <t> </t>
        </is>
      </c>
      <c r="I12" t="inlineStr">
        <is>
          <t> </t>
        </is>
      </c>
    </row>
    <row r="13">
      <c r="A13" t="inlineStr">
        <is>
          <t>5-10 Years</t>
        </is>
      </c>
      <c r="B13" s="13">
        <f>COUNTIFS(CCMS_CASE_TOTALS_TRUE!GL:GL,"&gt;0",CCMS_CASE_TOTALS_TRUE!$J:$J,"&lt;=3650")-SUM(B$7:B12)</f>
        <v/>
      </c>
      <c r="C13" s="13">
        <f>COUNTIFS(CCMS_CASE_TOTALS_TRUE!GM:GM,"&gt;0",CCMS_CASE_TOTALS_TRUE!$J:$J,"&lt;=3650")-SUM(C$7:C12)</f>
        <v/>
      </c>
      <c r="D13" s="13">
        <f>COUNTIFS(CCMS_CASE_TOTALS_TRUE!GN:GN,"&gt;0",CCMS_CASE_TOTALS_TRUE!$J:$J,"&lt;=3650")-SUM(D$7:D12)</f>
        <v/>
      </c>
      <c r="E13" s="13">
        <f>COUNTIFS(CCMS_CASE_TOTALS_TRUE!GO:GO,"&gt;0",CCMS_CASE_TOTALS_TRUE!HA:HA,"&lt;&gt;0",CCMS_CASE_TOTALS_TRUE!$J:$J,"&lt;=3650")-SUM(E$7:E12)</f>
        <v/>
      </c>
      <c r="F13" s="13">
        <f>COUNTIFS(CCMS_CASE_TOTALS_TRUE!GO:GO,"&gt;0",CCMS_CASE_TOTALS_TRUE!HA:HA,"=0",CCMS_CASE_TOTALS_TRUE!$J:$J,"&lt;=3650")-SUM(F$7:F12)</f>
        <v/>
      </c>
      <c r="G13" s="13" t="inlineStr">
        <is>
          <t> </t>
        </is>
      </c>
      <c r="H13" s="13" t="inlineStr">
        <is>
          <t> </t>
        </is>
      </c>
      <c r="I13" t="inlineStr">
        <is>
          <t> </t>
        </is>
      </c>
    </row>
    <row r="14">
      <c r="A14" t="inlineStr">
        <is>
          <t>10-15 Years</t>
        </is>
      </c>
      <c r="B14" s="13">
        <f>COUNTIFS(CCMS_CASE_TOTALS_TRUE!GL:GL,"&gt;0",CCMS_CASE_TOTALS_TRUE!$J:$J,"&lt;=5475")-SUM(B$7:B13)</f>
        <v/>
      </c>
      <c r="C14" s="13">
        <f>COUNTIFS(CCMS_CASE_TOTALS_TRUE!GM:GM,"&gt;0",CCMS_CASE_TOTALS_TRUE!$J:$J,"&lt;=5475")-SUM(C$7:C13)</f>
        <v/>
      </c>
      <c r="D14" s="13">
        <f>COUNTIFS(CCMS_CASE_TOTALS_TRUE!GN:GN,"&gt;0",CCMS_CASE_TOTALS_TRUE!$J:$J,"&lt;=5475")-SUM(D$7:D13)</f>
        <v/>
      </c>
      <c r="E14" s="13">
        <f>COUNTIFS(CCMS_CASE_TOTALS_TRUE!GO:GO,"&gt;0",CCMS_CASE_TOTALS_TRUE!HA:HA,"&lt;&gt;0",CCMS_CASE_TOTALS_TRUE!$J:$J,"&lt;=5475")-SUM(E$7:E13)</f>
        <v/>
      </c>
      <c r="F14" s="13">
        <f>COUNTIFS(CCMS_CASE_TOTALS_TRUE!GO:GO,"&gt;0",CCMS_CASE_TOTALS_TRUE!HA:HA,"=0",CCMS_CASE_TOTALS_TRUE!$J:$J,"&lt;=5475")-SUM(F$7:F13)</f>
        <v/>
      </c>
      <c r="G14" s="13" t="inlineStr">
        <is>
          <t> </t>
        </is>
      </c>
      <c r="H14" s="13" t="inlineStr">
        <is>
          <t> </t>
        </is>
      </c>
      <c r="I14" t="inlineStr">
        <is>
          <t> </t>
        </is>
      </c>
    </row>
    <row r="15">
      <c r="A15" t="inlineStr">
        <is>
          <t>15-20 Years</t>
        </is>
      </c>
      <c r="B15" s="13">
        <f>COUNTIFS(CCMS_CASE_TOTALS_TRUE!GL:GL,"&gt;0",CCMS_CASE_TOTALS_TRUE!$J:$J,"&lt;=7300")-SUM(B$7:B14)</f>
        <v/>
      </c>
      <c r="C15" s="13">
        <f>COUNTIFS(CCMS_CASE_TOTALS_TRUE!GM:GM,"&gt;0",CCMS_CASE_TOTALS_TRUE!$J:$J,"&lt;=7300")-SUM(C$7:C14)</f>
        <v/>
      </c>
      <c r="D15" s="13">
        <f>COUNTIFS(CCMS_CASE_TOTALS_TRUE!GN:GN,"&gt;0",CCMS_CASE_TOTALS_TRUE!$J:$J,"&lt;=7300")-SUM(D$7:D14)</f>
        <v/>
      </c>
      <c r="E15" s="13">
        <f>COUNTIFS(CCMS_CASE_TOTALS_TRUE!GO:GO,"&gt;0",CCMS_CASE_TOTALS_TRUE!HA:HA,"&lt;&gt;0",CCMS_CASE_TOTALS_TRUE!$J:$J,"&lt;=7300")-SUM(E$7:E14)</f>
        <v/>
      </c>
      <c r="F15" s="13">
        <f>COUNTIFS(CCMS_CASE_TOTALS_TRUE!GO:GO,"&gt;0",CCMS_CASE_TOTALS_TRUE!HA:HA,"=0",CCMS_CASE_TOTALS_TRUE!$J:$J,"&lt;=7300")-SUM(F$7:F14)</f>
        <v/>
      </c>
      <c r="G15" s="13" t="inlineStr">
        <is>
          <t> </t>
        </is>
      </c>
      <c r="H15" s="13" t="inlineStr">
        <is>
          <t> </t>
        </is>
      </c>
      <c r="I15" t="inlineStr">
        <is>
          <t> </t>
        </is>
      </c>
    </row>
    <row r="16">
      <c r="A16" t="inlineStr">
        <is>
          <t>20+ Years</t>
        </is>
      </c>
      <c r="B16" s="13">
        <f>COUNTIFS(CCMS_CASE_TOTALS_TRUE!GL:GL,"&gt;0",CCMS_CASE_TOTALS_TRUE!$J:$J,"&gt;7300")</f>
        <v/>
      </c>
      <c r="C16" s="13">
        <f>COUNTIFS(CCMS_CASE_TOTALS_TRUE!GM:GM,"&gt;0",CCMS_CASE_TOTALS_TRUE!$J:$J,"&gt;7300")</f>
        <v/>
      </c>
      <c r="D16" s="13">
        <f>COUNTIFS(CCMS_CASE_TOTALS_TRUE!GN:GN,"&gt;0",CCMS_CASE_TOTALS_TRUE!$J:$J,"&gt;7300")</f>
        <v/>
      </c>
      <c r="E16" s="13">
        <f>COUNTIFS(CCMS_CASE_TOTALS_TRUE!GO:GO,"&gt;0",CCMS_CASE_TOTALS_TRUE!HA:HA,"&lt;&gt;0",CCMS_CASE_TOTALS_TRUE!$J:$J,"&gt;7300")</f>
        <v/>
      </c>
      <c r="F16" s="13">
        <f>COUNTIFS(CCMS_CASE_TOTALS_TRUE!GO:GO,"&gt;0",CCMS_CASE_TOTALS_TRUE!HA:HA,"=0",CCMS_CASE_TOTALS_TRUE!$J:$J,"&gt;7300")</f>
        <v/>
      </c>
      <c r="G16" s="13" t="inlineStr">
        <is>
          <t> </t>
        </is>
      </c>
      <c r="H16" s="13" t="inlineStr">
        <is>
          <t> </t>
        </is>
      </c>
      <c r="I16" t="inlineStr">
        <is>
          <t> </t>
        </is>
      </c>
    </row>
    <row r="17" ht="15.75" customHeight="1" thickBot="1">
      <c r="A17" t="inlineStr">
        <is>
          <t>Total</t>
        </is>
      </c>
      <c r="B17" s="13">
        <f>SUM(B7:B16)</f>
        <v/>
      </c>
      <c r="C17" s="13">
        <f>SUM(C7:C16)</f>
        <v/>
      </c>
      <c r="D17" s="13">
        <f>SUM(D7:D16)</f>
        <v/>
      </c>
      <c r="E17" s="13">
        <f>SUM(E7:E16)</f>
        <v/>
      </c>
      <c r="F17" s="13">
        <f>SUM(F7:F16)</f>
        <v/>
      </c>
      <c r="G17" s="13" t="inlineStr">
        <is>
          <t> </t>
        </is>
      </c>
      <c r="H17" s="13" t="inlineStr">
        <is>
          <t> </t>
        </is>
      </c>
      <c r="I17" t="inlineStr">
        <is>
          <t> </t>
        </is>
      </c>
    </row>
    <row r="18" ht="15.75" customHeight="1" thickTop="1">
      <c r="G18" s="13" t="inlineStr">
        <is>
          <t> </t>
        </is>
      </c>
      <c r="H18" s="13" t="inlineStr">
        <is>
          <t> </t>
        </is>
      </c>
      <c r="I18" t="inlineStr">
        <is>
          <t> </t>
        </is>
      </c>
    </row>
    <row r="19">
      <c r="A19" t="inlineStr">
        <is>
          <t>Principal Value</t>
        </is>
      </c>
      <c r="H19" s="13" t="inlineStr">
        <is>
          <t>Interest</t>
        </is>
      </c>
    </row>
    <row r="21">
      <c r="B21" s="13" t="inlineStr">
        <is>
          <t>Debt Type</t>
        </is>
      </c>
    </row>
    <row r="22">
      <c r="B22" s="13" t="inlineStr">
        <is>
          <t>Costs</t>
        </is>
      </c>
      <c r="C22" s="13" t="inlineStr">
        <is>
          <t>Damages</t>
        </is>
      </c>
      <c r="D22" s="13" t="inlineStr">
        <is>
          <t>Revocation</t>
        </is>
      </c>
      <c r="E22" s="13" t="inlineStr">
        <is>
          <t>Statutory Charge Bearing</t>
        </is>
      </c>
      <c r="F22" s="13" t="inlineStr">
        <is>
          <t>Statutory Charge Non-bearing</t>
        </is>
      </c>
      <c r="H22" s="13" t="inlineStr">
        <is>
          <t>Statutory Charge Bearing</t>
        </is>
      </c>
    </row>
    <row r="23">
      <c r="A23" t="inlineStr">
        <is>
          <t>0-30 days</t>
        </is>
      </c>
      <c r="B23" s="13">
        <f>SUMIFS(CCMS_CASE_TOTALS_TRUE!GL:GL,CCMS_CASE_TOTALS_TRUE!GL:GL,"&gt;0",CCMS_CASE_TOTALS_TRUE!$J:$J,"&lt;=30")</f>
        <v/>
      </c>
      <c r="C23" s="13">
        <f>SUMIFS(CCMS_CASE_TOTALS_TRUE!GM:GM,CCMS_CASE_TOTALS_TRUE!GM:GM,"&gt;0",CCMS_CASE_TOTALS_TRUE!$J:$J,"&lt;=30")</f>
        <v/>
      </c>
      <c r="D23" s="13">
        <f>SUMIFS(CCMS_CASE_TOTALS_TRUE!GN:GN,CCMS_CASE_TOTALS_TRUE!GN:GN,"&gt;0",CCMS_CASE_TOTALS_TRUE!$J:$J,"&lt;=30")</f>
        <v/>
      </c>
      <c r="E23" s="13">
        <f>SUMIFS(CCMS_CASE_TOTALS_TRUE!GO:GO,CCMS_CASE_TOTALS_TRUE!$J:$J,"&lt;=30",CCMS_CASE_TOTALS_TRUE!HA:HA,"&lt;&gt;0")</f>
        <v/>
      </c>
      <c r="F23" s="13">
        <f>SUMIFS(CCMS_CASE_TOTALS_TRUE!GO:GO,CCMS_CASE_TOTALS_TRUE!GO:GO,"&lt;&gt;0",CCMS_CASE_TOTALS_TRUE!$J:$J,"&lt;=30",CCMS_CASE_TOTALS_TRUE!HA:HA,"=0")</f>
        <v/>
      </c>
      <c r="H23" s="13">
        <f>SUMIFS(CCMS_CASE_TOTALS_TRUE!HA:HA,CCMS_CASE_TOTALS_TRUE!HA:HA,"&lt;&gt;0",CCMS_CASE_TOTALS_TRUE!$J:$J,"&lt;=30")</f>
        <v/>
      </c>
    </row>
    <row r="24">
      <c r="A24" t="inlineStr">
        <is>
          <t>31-60 days</t>
        </is>
      </c>
      <c r="B24" s="13">
        <f>SUMIFS(CCMS_CASE_TOTALS_TRUE!GL:GL,CCMS_CASE_TOTALS_TRUE!GL:GL,"&gt;0",CCMS_CASE_TOTALS_TRUE!$J:$J,"&lt;=60")-SUM(B$23)</f>
        <v/>
      </c>
      <c r="C24" s="13">
        <f>SUMIFS(CCMS_CASE_TOTALS_TRUE!GM:GM,CCMS_CASE_TOTALS_TRUE!GM:GM,"&gt;0",CCMS_CASE_TOTALS_TRUE!$J:$J,"&lt;=60")-SUM(C$23)</f>
        <v/>
      </c>
      <c r="D24" s="13">
        <f>SUMIFS(CCMS_CASE_TOTALS_TRUE!GN:GN,CCMS_CASE_TOTALS_TRUE!GN:GN,"&gt;0",CCMS_CASE_TOTALS_TRUE!$J:$J,"&lt;=60")-SUM(D$23)</f>
        <v/>
      </c>
      <c r="E24" s="13">
        <f>SUMIFS(CCMS_CASE_TOTALS_TRUE!GO:GO,CCMS_CASE_TOTALS_TRUE!$J:$J,"&lt;=60",CCMS_CASE_TOTALS_TRUE!HA:HA,"&lt;&gt;0")-SUM(E$23)</f>
        <v/>
      </c>
      <c r="F24" s="13">
        <f>SUMIFS(CCMS_CASE_TOTALS_TRUE!GO:GO,CCMS_CASE_TOTALS_TRUE!GO:GO,"&lt;&gt;0",CCMS_CASE_TOTALS_TRUE!$J:$J,"&lt;=60",CCMS_CASE_TOTALS_TRUE!HA:HA,"=0")-SUM(F$23)</f>
        <v/>
      </c>
      <c r="H24" s="13">
        <f>SUMIFS(CCMS_CASE_TOTALS_TRUE!HA:HA,CCMS_CASE_TOTALS_TRUE!HA:HA,"&lt;&gt;0",CCMS_CASE_TOTALS_TRUE!$J:$J,"&lt;=60")-SUM(H$23)</f>
        <v/>
      </c>
    </row>
    <row r="25">
      <c r="A25" t="inlineStr">
        <is>
          <t>60-90 days</t>
        </is>
      </c>
      <c r="B25" s="13">
        <f>SUMIFS(CCMS_CASE_TOTALS_TRUE!GL:GL,CCMS_CASE_TOTALS_TRUE!GL:GL,"&gt;0",CCMS_CASE_TOTALS_TRUE!$J:$J,"&lt;=90")-SUM(B$23:B24)</f>
        <v/>
      </c>
      <c r="C25" s="13">
        <f>SUMIFS(CCMS_CASE_TOTALS_TRUE!GM:GM,CCMS_CASE_TOTALS_TRUE!GM:GM,"&gt;0",CCMS_CASE_TOTALS_TRUE!$J:$J,"&lt;=90")-SUM(C$23:C24)</f>
        <v/>
      </c>
      <c r="D25" s="13">
        <f>SUMIFS(CCMS_CASE_TOTALS_TRUE!GN:GN,CCMS_CASE_TOTALS_TRUE!GN:GN,"&gt;0",CCMS_CASE_TOTALS_TRUE!$J:$J,"&lt;=90")-SUM(D$23:D24)</f>
        <v/>
      </c>
      <c r="E25" s="13">
        <f>SUMIFS(CCMS_CASE_TOTALS_TRUE!GO:GO,CCMS_CASE_TOTALS_TRUE!$J:$J,"&lt;=90",CCMS_CASE_TOTALS_TRUE!HA:HA,"&lt;&gt;0")-SUM(E$23:E24)</f>
        <v/>
      </c>
      <c r="F25" s="13">
        <f>SUMIFS(CCMS_CASE_TOTALS_TRUE!GO:GO,CCMS_CASE_TOTALS_TRUE!GO:GO,"&lt;&gt;0",CCMS_CASE_TOTALS_TRUE!$J:$J,"&lt;=90",CCMS_CASE_TOTALS_TRUE!HA:HA,"=0")-SUM(F$23:F24)</f>
        <v/>
      </c>
      <c r="H25" s="13">
        <f>SUMIFS(CCMS_CASE_TOTALS_TRUE!HA:HA,CCMS_CASE_TOTALS_TRUE!HA:HA,"&lt;&gt;0",CCMS_CASE_TOTALS_TRUE!$J:$J,"&lt;=90")-SUM(H$23:H24)</f>
        <v/>
      </c>
    </row>
    <row r="26">
      <c r="A26" t="inlineStr">
        <is>
          <t>Under 1 Year</t>
        </is>
      </c>
      <c r="B26" s="13">
        <f>SUMIFS(CCMS_CASE_TOTALS_TRUE!GL:GL,CCMS_CASE_TOTALS_TRUE!GL:GL,"&gt;0",CCMS_CASE_TOTALS_TRUE!$J:$J,"&lt;=365")-SUM(B$23:B25)</f>
        <v/>
      </c>
      <c r="C26" s="13">
        <f>SUMIFS(CCMS_CASE_TOTALS_TRUE!GM:GM,CCMS_CASE_TOTALS_TRUE!GM:GM,"&gt;0",CCMS_CASE_TOTALS_TRUE!$J:$J,"&lt;=365")-SUM(C$23:C25)</f>
        <v/>
      </c>
      <c r="D26" s="13">
        <f>SUMIFS(CCMS_CASE_TOTALS_TRUE!GN:GN,CCMS_CASE_TOTALS_TRUE!GN:GN,"&gt;0",CCMS_CASE_TOTALS_TRUE!$J:$J,"&lt;=365")-SUM(D$23:D25)</f>
        <v/>
      </c>
      <c r="E26" s="13">
        <f>SUMIFS(CCMS_CASE_TOTALS_TRUE!GO:GO,CCMS_CASE_TOTALS_TRUE!$J:$J,"&lt;=365",CCMS_CASE_TOTALS_TRUE!HA:HA,"&lt;&gt;0")-SUM(E$23:E25)</f>
        <v/>
      </c>
      <c r="F26" s="13">
        <f>SUMIFS(CCMS_CASE_TOTALS_TRUE!GO:GO,CCMS_CASE_TOTALS_TRUE!GO:GO,"&lt;&gt;0",CCMS_CASE_TOTALS_TRUE!$J:$J,"&lt;=365",CCMS_CASE_TOTALS_TRUE!HA:HA,"=0")-SUM(F$23:F25)</f>
        <v/>
      </c>
      <c r="H26" s="13">
        <f>SUMIFS(CCMS_CASE_TOTALS_TRUE!HA:HA,CCMS_CASE_TOTALS_TRUE!HA:HA,"&lt;&gt;0",CCMS_CASE_TOTALS_TRUE!$J:$J,"&lt;=365")-SUM(H$23:H25)</f>
        <v/>
      </c>
    </row>
    <row r="27">
      <c r="A27" t="inlineStr">
        <is>
          <t>1- 3years</t>
        </is>
      </c>
      <c r="B27" s="13">
        <f>SUMIFS(CCMS_CASE_TOTALS_TRUE!GL:GL,CCMS_CASE_TOTALS_TRUE!GL:GL,"&gt;0",CCMS_CASE_TOTALS_TRUE!$J:$J,"&lt;=1095")-SUM(B$23:B26)</f>
        <v/>
      </c>
      <c r="C27" s="13">
        <f>SUMIFS(CCMS_CASE_TOTALS_TRUE!GM:GM,CCMS_CASE_TOTALS_TRUE!GM:GM,"&gt;0",CCMS_CASE_TOTALS_TRUE!$J:$J,"&lt;=1095")-SUM(C$23:C26)</f>
        <v/>
      </c>
      <c r="D27" s="13">
        <f>SUMIFS(CCMS_CASE_TOTALS_TRUE!GN:GN,CCMS_CASE_TOTALS_TRUE!GN:GN,"&gt;0",CCMS_CASE_TOTALS_TRUE!$J:$J,"&lt;=1095")-SUM(D$23:D26)</f>
        <v/>
      </c>
      <c r="E27" s="13">
        <f>SUMIFS(CCMS_CASE_TOTALS_TRUE!GO:GO,CCMS_CASE_TOTALS_TRUE!$J:$J,"&lt;=1095",CCMS_CASE_TOTALS_TRUE!HA:HA,"&lt;&gt;0")-SUM(E$23:E26)</f>
        <v/>
      </c>
      <c r="F27" s="13">
        <f>SUMIFS(CCMS_CASE_TOTALS_TRUE!GO:GO,CCMS_CASE_TOTALS_TRUE!GO:GO,"&lt;&gt;0",CCMS_CASE_TOTALS_TRUE!$J:$J,"&lt;=1095",CCMS_CASE_TOTALS_TRUE!HA:HA,"=0")-SUM(F$23:F26)</f>
        <v/>
      </c>
      <c r="H27" s="13">
        <f>SUMIFS(CCMS_CASE_TOTALS_TRUE!HA:HA,CCMS_CASE_TOTALS_TRUE!HA:HA,"&lt;&gt;0",CCMS_CASE_TOTALS_TRUE!$J:$J,"&lt;=1095")-SUM(H$23:H26)</f>
        <v/>
      </c>
    </row>
    <row r="28">
      <c r="A28" t="inlineStr">
        <is>
          <t>3-5 Years</t>
        </is>
      </c>
      <c r="B28" s="13">
        <f>SUMIFS(CCMS_CASE_TOTALS_TRUE!GL:GL,CCMS_CASE_TOTALS_TRUE!GL:GL,"&gt;0",CCMS_CASE_TOTALS_TRUE!$J:$J,"&lt;=1825")-SUM(B$23:B27)</f>
        <v/>
      </c>
      <c r="C28" s="13">
        <f>SUMIFS(CCMS_CASE_TOTALS_TRUE!GM:GM,CCMS_CASE_TOTALS_TRUE!GM:GM,"&gt;0",CCMS_CASE_TOTALS_TRUE!$J:$J,"&lt;=1825")-SUM(C$23:C27)</f>
        <v/>
      </c>
      <c r="D28" s="13">
        <f>SUMIFS(CCMS_CASE_TOTALS_TRUE!GN:GN,CCMS_CASE_TOTALS_TRUE!GN:GN,"&gt;0",CCMS_CASE_TOTALS_TRUE!$J:$J,"&lt;=1825")-SUM(D$23:D27)</f>
        <v/>
      </c>
      <c r="E28" s="13">
        <f>SUMIFS(CCMS_CASE_TOTALS_TRUE!GO:GO,CCMS_CASE_TOTALS_TRUE!$J:$J,"&lt;=1825",CCMS_CASE_TOTALS_TRUE!HA:HA,"&lt;&gt;0")-SUM(E$23:E27)</f>
        <v/>
      </c>
      <c r="F28" s="13">
        <f>SUMIFS(CCMS_CASE_TOTALS_TRUE!GO:GO,CCMS_CASE_TOTALS_TRUE!GO:GO,"&lt;&gt;0",CCMS_CASE_TOTALS_TRUE!$J:$J,"&lt;=1825",CCMS_CASE_TOTALS_TRUE!HA:HA,"=0")-SUM(F$23:F27)</f>
        <v/>
      </c>
      <c r="H28" s="13">
        <f>SUMIFS(CCMS_CASE_TOTALS_TRUE!HA:HA,CCMS_CASE_TOTALS_TRUE!HA:HA,"&lt;&gt;0",CCMS_CASE_TOTALS_TRUE!$J:$J,"&lt;=1825")-SUM(H$23:H27)</f>
        <v/>
      </c>
    </row>
    <row r="29">
      <c r="A29" t="inlineStr">
        <is>
          <t>5-10 Years</t>
        </is>
      </c>
      <c r="B29" s="13">
        <f>SUMIFS(CCMS_CASE_TOTALS_TRUE!GL:GL,CCMS_CASE_TOTALS_TRUE!GL:GL,"&gt;0",CCMS_CASE_TOTALS_TRUE!$J:$J,"&lt;=3650")-SUM(B$23:B28)</f>
        <v/>
      </c>
      <c r="C29" s="13">
        <f>SUMIFS(CCMS_CASE_TOTALS_TRUE!GM:GM,CCMS_CASE_TOTALS_TRUE!GM:GM,"&gt;0",CCMS_CASE_TOTALS_TRUE!$J:$J,"&lt;=3650")-SUM(C$23:C28)</f>
        <v/>
      </c>
      <c r="D29" s="13">
        <f>SUMIFS(CCMS_CASE_TOTALS_TRUE!GN:GN,CCMS_CASE_TOTALS_TRUE!GN:GN,"&gt;0",CCMS_CASE_TOTALS_TRUE!$J:$J,"&lt;=3650")-SUM(D$23:D28)</f>
        <v/>
      </c>
      <c r="E29" s="13">
        <f>SUMIFS(CCMS_CASE_TOTALS_TRUE!GO:GO,CCMS_CASE_TOTALS_TRUE!$J:$J,"&lt;=3650",CCMS_CASE_TOTALS_TRUE!HA:HA,"&lt;&gt;0")-SUM(E$23:E28)</f>
        <v/>
      </c>
      <c r="F29" s="13">
        <f>SUMIFS(CCMS_CASE_TOTALS_TRUE!GO:GO,CCMS_CASE_TOTALS_TRUE!GO:GO,"&lt;&gt;0",CCMS_CASE_TOTALS_TRUE!$J:$J,"&lt;=3650",CCMS_CASE_TOTALS_TRUE!HA:HA,"=0")-SUM(F$23:F28)</f>
        <v/>
      </c>
      <c r="H29" s="13">
        <f>SUMIFS(CCMS_CASE_TOTALS_TRUE!HA:HA,CCMS_CASE_TOTALS_TRUE!HA:HA,"&lt;&gt;0",CCMS_CASE_TOTALS_TRUE!$J:$J,"&lt;=3650")-SUM(H$23:H28)</f>
        <v/>
      </c>
    </row>
    <row r="30">
      <c r="A30" t="inlineStr">
        <is>
          <t>10-15 Years</t>
        </is>
      </c>
      <c r="B30" s="13">
        <f>SUMIFS(CCMS_CASE_TOTALS_TRUE!GL:GL,CCMS_CASE_TOTALS_TRUE!GL:GL,"&gt;0",CCMS_CASE_TOTALS_TRUE!$J:$J,"&lt;=5475")-SUM(B$23:B29)</f>
        <v/>
      </c>
      <c r="C30" s="13">
        <f>SUMIFS(CCMS_CASE_TOTALS_TRUE!GM:GM,CCMS_CASE_TOTALS_TRUE!GM:GM,"&gt;0",CCMS_CASE_TOTALS_TRUE!$J:$J,"&lt;=5475")-SUM(C$23:C29)</f>
        <v/>
      </c>
      <c r="D30" s="13">
        <f>SUMIFS(CCMS_CASE_TOTALS_TRUE!GN:GN,CCMS_CASE_TOTALS_TRUE!GN:GN,"&gt;0",CCMS_CASE_TOTALS_TRUE!$J:$J,"&lt;=5475")-SUM(D$23:D29)</f>
        <v/>
      </c>
      <c r="E30" s="13">
        <f>SUMIFS(CCMS_CASE_TOTALS_TRUE!GO:GO,CCMS_CASE_TOTALS_TRUE!$J:$J,"&lt;=5475",CCMS_CASE_TOTALS_TRUE!HA:HA,"&lt;&gt;0")-SUM(E$23:E29)</f>
        <v/>
      </c>
      <c r="F30" s="13">
        <f>SUMIFS(CCMS_CASE_TOTALS_TRUE!GO:GO,CCMS_CASE_TOTALS_TRUE!GO:GO,"&lt;&gt;0",CCMS_CASE_TOTALS_TRUE!$J:$J,"&lt;=5475",CCMS_CASE_TOTALS_TRUE!HA:HA,"=0")-SUM(F$23:F29)</f>
        <v/>
      </c>
      <c r="H30" s="13">
        <f>SUMIFS(CCMS_CASE_TOTALS_TRUE!HA:HA,CCMS_CASE_TOTALS_TRUE!HA:HA,"&lt;&gt;0",CCMS_CASE_TOTALS_TRUE!$J:$J,"&lt;=5475")-SUM(H$23:H29)</f>
        <v/>
      </c>
    </row>
    <row r="31">
      <c r="A31" t="inlineStr">
        <is>
          <t>15-20 Years</t>
        </is>
      </c>
      <c r="B31" s="13">
        <f>SUMIFS(CCMS_CASE_TOTALS_TRUE!GL:GL,CCMS_CASE_TOTALS_TRUE!GL:GL,"&gt;0",CCMS_CASE_TOTALS_TRUE!$J:$J,"&lt;=7300")-SUM(B$23:B30)</f>
        <v/>
      </c>
      <c r="C31" s="13">
        <f>SUMIFS(CCMS_CASE_TOTALS_TRUE!GM:GM,CCMS_CASE_TOTALS_TRUE!GM:GM,"&gt;0",CCMS_CASE_TOTALS_TRUE!$J:$J,"&lt;=7300")-SUM(C$23:C30)</f>
        <v/>
      </c>
      <c r="D31" s="13">
        <f>SUMIFS(CCMS_CASE_TOTALS_TRUE!GN:GN,CCMS_CASE_TOTALS_TRUE!GN:GN,"&gt;0",CCMS_CASE_TOTALS_TRUE!$J:$J,"&lt;=7300")-SUM(D$23:D30)</f>
        <v/>
      </c>
      <c r="E31" s="13">
        <f>SUMIFS(CCMS_CASE_TOTALS_TRUE!GO:GO,CCMS_CASE_TOTALS_TRUE!$J:$J,"&lt;=7300",CCMS_CASE_TOTALS_TRUE!HA:HA,"&lt;&gt;0")-SUM(E$23:E30)</f>
        <v/>
      </c>
      <c r="F31" s="13">
        <f>SUMIFS(CCMS_CASE_TOTALS_TRUE!GO:GO,CCMS_CASE_TOTALS_TRUE!GO:GO,"&lt;&gt;0",CCMS_CASE_TOTALS_TRUE!$J:$J,"&lt;=7300",CCMS_CASE_TOTALS_TRUE!HA:HA,"=0")-SUM(F$23:F30)</f>
        <v/>
      </c>
      <c r="H31" s="13">
        <f>SUMIFS(CCMS_CASE_TOTALS_TRUE!HA:HA,CCMS_CASE_TOTALS_TRUE!HA:HA,"&lt;&gt;0",CCMS_CASE_TOTALS_TRUE!$J:$J,"&lt;=7300")-SUM(H$23:H30)</f>
        <v/>
      </c>
    </row>
    <row r="32">
      <c r="A32" t="inlineStr">
        <is>
          <t>20+ Years</t>
        </is>
      </c>
      <c r="B32" s="13">
        <f>SUMIFS(CCMS_CASE_TOTALS_TRUE!GL:GL,CCMS_CASE_TOTALS_TRUE!GL:GL,"&gt;0")-SUM(B23:B31)</f>
        <v/>
      </c>
      <c r="C32" s="13">
        <f>SUMIFS(CCMS_CASE_TOTALS_TRUE!GM:GM,CCMS_CASE_TOTALS_TRUE!GM:GM,"&gt;0")-SUM(C23:C31)</f>
        <v/>
      </c>
      <c r="D32" s="13">
        <f>SUMIFS(CCMS_CASE_TOTALS_TRUE!GN:GN,CCMS_CASE_TOTALS_TRUE!GN:GN,"&gt;0")-SUM(D23:D31)</f>
        <v/>
      </c>
      <c r="E32" s="13">
        <f>SUMIFS(CCMS_CASE_TOTALS_TRUE!GO:GO,CCMS_CASE_TOTALS_TRUE!HA:HA,"&lt;&gt;0")-SUM(E23:E31)</f>
        <v/>
      </c>
      <c r="F32" s="13">
        <f>SUMIFS(CCMS_CASE_TOTALS_TRUE!GO:GO,CCMS_CASE_TOTALS_TRUE!GO:GO,"&lt;&gt;0",CCMS_CASE_TOTALS_TRUE!HA:HA,"=0")-SUM(F23:F31)</f>
        <v/>
      </c>
      <c r="H32" s="13">
        <f>SUMIFS(CCMS_CASE_TOTALS_TRUE!HA:HA,CCMS_CASE_TOTALS_TRUE!HA:HA,"&lt;&gt;0")-SUM(H23:H31)</f>
        <v/>
      </c>
    </row>
    <row r="33" ht="15.75" customHeight="1" thickBot="1">
      <c r="A33" t="inlineStr">
        <is>
          <t>Total</t>
        </is>
      </c>
      <c r="B33" s="13">
        <f>SUM(B23:B32)</f>
        <v/>
      </c>
      <c r="C33" s="13">
        <f>SUM(C23:C32)</f>
        <v/>
      </c>
      <c r="D33" s="13">
        <f>SUM(D23:D32)</f>
        <v/>
      </c>
      <c r="E33" s="13">
        <f>SUM(E23:E32)</f>
        <v/>
      </c>
      <c r="F33" s="13">
        <f>SUM(F23:F32)</f>
        <v/>
      </c>
      <c r="H33" s="13">
        <f>SUM(H23:H32)</f>
        <v/>
      </c>
    </row>
    <row r="34" ht="15.75" customHeight="1" thickTop="1">
      <c r="A34" t="inlineStr">
        <is>
          <t>CHECKSUM</t>
        </is>
      </c>
      <c r="B34" s="13">
        <f>MAIN!G6-'Age Profile'!B33</f>
        <v/>
      </c>
      <c r="C34" s="13">
        <f>C33-MAIN!G7</f>
        <v/>
      </c>
      <c r="D34" s="13">
        <f>D33-MAIN!G8</f>
        <v/>
      </c>
      <c r="E34" s="13">
        <f>E33-MAIN!G9</f>
        <v/>
      </c>
      <c r="F34" s="13">
        <f>MAIN!G10+MAIN!G11-F33</f>
        <v/>
      </c>
      <c r="H34" s="13">
        <f>MAIN!H9-H33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B1:M55"/>
  <sheetViews>
    <sheetView workbookViewId="0">
      <selection activeCell="B2" sqref="B2"/>
    </sheetView>
  </sheetViews>
  <sheetFormatPr baseColWidth="8" defaultRowHeight="15"/>
  <cols>
    <col width="36.42578125" bestFit="1" customWidth="1" min="2" max="2"/>
    <col width="15.85546875" bestFit="1" customWidth="1" style="13" min="3" max="4"/>
    <col width="16.28515625" bestFit="1" customWidth="1" style="13" min="5" max="5"/>
    <col width="15.85546875" bestFit="1" customWidth="1" style="13" min="6" max="6"/>
    <col width="17" bestFit="1" customWidth="1" style="13" min="7" max="7"/>
    <col width="4.28515625" customWidth="1" style="13" min="8" max="8"/>
    <col width="17" bestFit="1" customWidth="1" style="13" min="9" max="9"/>
    <col width="16.85546875" bestFit="1" customWidth="1" style="13" min="11" max="12"/>
    <col width="11.5703125" bestFit="1" customWidth="1" style="13" min="13" max="13"/>
  </cols>
  <sheetData>
    <row r="1">
      <c r="B1" t="inlineStr">
        <is>
          <t>Principal Debt</t>
        </is>
      </c>
    </row>
    <row r="3">
      <c r="B3" t="inlineStr">
        <is>
          <t>LAA Principal Debt</t>
        </is>
      </c>
    </row>
    <row r="5">
      <c r="B5" t="inlineStr">
        <is>
          <t>Transaction Type</t>
        </is>
      </c>
      <c r="C5" s="13" t="inlineStr">
        <is>
          <t>Contributions</t>
        </is>
      </c>
      <c r="D5" s="13" t="inlineStr">
        <is>
          <t>Costs</t>
        </is>
      </c>
      <c r="E5" s="13" t="inlineStr">
        <is>
          <t>Damages</t>
        </is>
      </c>
      <c r="F5" s="13" t="inlineStr">
        <is>
          <t>Revocation</t>
        </is>
      </c>
      <c r="G5" s="13" t="inlineStr">
        <is>
          <t>Statutory charge</t>
        </is>
      </c>
      <c r="I5" s="13" t="inlineStr">
        <is>
          <t>Total</t>
        </is>
      </c>
    </row>
    <row r="6">
      <c r="B6" t="inlineStr">
        <is>
          <t>LAA Debt invoices</t>
        </is>
      </c>
      <c r="C6" s="13">
        <f>'Correctly linked Civil Cases'!C27</f>
        <v/>
      </c>
      <c r="D6" s="13">
        <f>'Correctly linked Civil Cases'!D27</f>
        <v/>
      </c>
      <c r="E6" s="13">
        <f>'Correctly linked Civil Cases'!E27</f>
        <v/>
      </c>
      <c r="F6" s="13">
        <f>'Correctly linked Civil Cases'!F27</f>
        <v/>
      </c>
      <c r="G6" s="13">
        <f>'Correctly linked Civil Cases'!G27</f>
        <v/>
      </c>
      <c r="I6" s="13">
        <f>SUM(C6:H6)</f>
        <v/>
      </c>
    </row>
    <row r="7">
      <c r="B7" t="inlineStr">
        <is>
          <t>LAA Adjustment: Other Increasing Debt</t>
        </is>
      </c>
      <c r="C7" s="13">
        <f>'Correctly linked Civil Cases'!C28</f>
        <v/>
      </c>
      <c r="D7" s="13">
        <f>'Correctly linked Civil Cases'!D28</f>
        <v/>
      </c>
      <c r="E7" s="13">
        <f>'Correctly linked Civil Cases'!E28</f>
        <v/>
      </c>
      <c r="F7" s="13">
        <f>'Correctly linked Civil Cases'!F28</f>
        <v/>
      </c>
      <c r="G7" s="13">
        <f>'Correctly linked Civil Cases'!G28</f>
        <v/>
      </c>
      <c r="I7" s="13">
        <f>SUM(C7:H7)</f>
        <v/>
      </c>
    </row>
    <row r="8">
      <c r="B8" t="inlineStr">
        <is>
          <t>LAA Adjustments: Other Lowering Debt</t>
        </is>
      </c>
      <c r="C8" s="13">
        <f>'Correctly linked Civil Cases'!C29</f>
        <v/>
      </c>
      <c r="D8" s="13">
        <f>'Correctly linked Civil Cases'!D29</f>
        <v/>
      </c>
      <c r="E8" s="13">
        <f>'Correctly linked Civil Cases'!E29</f>
        <v/>
      </c>
      <c r="F8" s="13">
        <f>'Correctly linked Civil Cases'!F29</f>
        <v/>
      </c>
      <c r="G8" s="13">
        <f>'Correctly linked Civil Cases'!G29</f>
        <v/>
      </c>
      <c r="I8" s="13">
        <f>SUM(C8:H8)</f>
        <v/>
      </c>
    </row>
    <row r="9">
      <c r="B9" t="inlineStr">
        <is>
          <t>LAA Adjustments: Writeoff Debt</t>
        </is>
      </c>
      <c r="C9" s="13">
        <f>'Correctly linked Civil Cases'!C30</f>
        <v/>
      </c>
      <c r="D9" s="13">
        <f>'Correctly linked Civil Cases'!D30</f>
        <v/>
      </c>
      <c r="E9" s="13">
        <f>'Correctly linked Civil Cases'!E30</f>
        <v/>
      </c>
      <c r="F9" s="13">
        <f>'Correctly linked Civil Cases'!F30</f>
        <v/>
      </c>
      <c r="G9" s="13">
        <f>'Correctly linked Civil Cases'!G30</f>
        <v/>
      </c>
      <c r="I9" s="13">
        <f>SUM(C9:H9)</f>
        <v/>
      </c>
    </row>
    <row r="10">
      <c r="B10" t="inlineStr">
        <is>
          <t>LAA Adjustments: Writedown Debt</t>
        </is>
      </c>
      <c r="C10" s="13">
        <f>'Correctly linked Civil Cases'!C31</f>
        <v/>
      </c>
      <c r="D10" s="13">
        <f>'Correctly linked Civil Cases'!D31</f>
        <v/>
      </c>
      <c r="E10" s="13">
        <f>'Correctly linked Civil Cases'!E31</f>
        <v/>
      </c>
      <c r="F10" s="13">
        <f>'Correctly linked Civil Cases'!F31</f>
        <v/>
      </c>
      <c r="G10" s="13">
        <f>'Correctly linked Civil Cases'!G31</f>
        <v/>
      </c>
      <c r="I10" s="13">
        <f>SUM(C10:H10)</f>
        <v/>
      </c>
    </row>
    <row r="11">
      <c r="B11" t="inlineStr">
        <is>
          <t>LAA Cash receipts: Debt</t>
        </is>
      </c>
      <c r="C11" s="13">
        <f>'Correctly linked Civil Cases'!C32</f>
        <v/>
      </c>
      <c r="D11" s="13">
        <f>'Correctly linked Civil Cases'!D32</f>
        <v/>
      </c>
      <c r="E11" s="13">
        <f>'Correctly linked Civil Cases'!E32</f>
        <v/>
      </c>
      <c r="F11" s="13">
        <f>'Correctly linked Civil Cases'!F32</f>
        <v/>
      </c>
      <c r="G11" s="13">
        <f>'Correctly linked Civil Cases'!G32</f>
        <v/>
      </c>
      <c r="I11" s="13">
        <f>SUM(C11:H11)</f>
        <v/>
      </c>
    </row>
    <row r="12">
      <c r="B12" t="inlineStr">
        <is>
          <t>LAA Credit memo: Debt</t>
        </is>
      </c>
      <c r="C12" s="13">
        <f>'Correctly linked Civil Cases'!C33</f>
        <v/>
      </c>
      <c r="D12" s="13">
        <f>'Correctly linked Civil Cases'!D33</f>
        <v/>
      </c>
      <c r="E12" s="13">
        <f>'Correctly linked Civil Cases'!E33</f>
        <v/>
      </c>
      <c r="F12" s="13">
        <f>'Correctly linked Civil Cases'!F33</f>
        <v/>
      </c>
      <c r="G12" s="13">
        <f>'Correctly linked Civil Cases'!G33</f>
        <v/>
      </c>
      <c r="I12" s="13">
        <f>SUM(C12:H12)</f>
        <v/>
      </c>
    </row>
    <row r="14">
      <c r="B14" t="inlineStr">
        <is>
          <t>Balance Principal</t>
        </is>
      </c>
      <c r="C14" s="13">
        <f>C6-SUM(C7:C12)</f>
        <v/>
      </c>
      <c r="D14" s="13">
        <f>D6-SUM(D7:D12)</f>
        <v/>
      </c>
      <c r="E14" s="13">
        <f>E6-SUM(E7:E12)</f>
        <v/>
      </c>
      <c r="F14" s="13">
        <f>F6-SUM(F7:F12)</f>
        <v/>
      </c>
      <c r="G14" s="13">
        <f>G6-SUM(G7:G12)</f>
        <v/>
      </c>
      <c r="I14" s="13">
        <f>I6-SUM(I7:I12)</f>
        <v/>
      </c>
    </row>
    <row r="15">
      <c r="B15" t="inlineStr">
        <is>
          <t>CHECKSUM</t>
        </is>
      </c>
      <c r="C15" s="13">
        <f>'Correctly linked Civil Cases'!C35-C14</f>
        <v/>
      </c>
      <c r="D15" s="13">
        <f>'Correctly linked Civil Cases'!D35-D14</f>
        <v/>
      </c>
      <c r="E15" s="13">
        <f>'Correctly linked Civil Cases'!E35-E14</f>
        <v/>
      </c>
      <c r="F15" s="13">
        <f>'Correctly linked Civil Cases'!F35-F14</f>
        <v/>
      </c>
      <c r="G15" s="13">
        <f>'Correctly linked Civil Cases'!G35-G14</f>
        <v/>
      </c>
      <c r="I15" s="13">
        <f>'Correctly linked Civil Cases'!I35-I14</f>
        <v/>
      </c>
    </row>
    <row r="17">
      <c r="B17" t="inlineStr">
        <is>
          <t>Third Party Principal Debt</t>
        </is>
      </c>
    </row>
    <row r="19">
      <c r="B19" t="inlineStr">
        <is>
          <t>Transaction Type</t>
        </is>
      </c>
      <c r="C19" s="13" t="inlineStr">
        <is>
          <t>Contributions</t>
        </is>
      </c>
      <c r="D19" s="13" t="inlineStr">
        <is>
          <t>Costs</t>
        </is>
      </c>
      <c r="E19" s="13" t="inlineStr">
        <is>
          <t>Damages</t>
        </is>
      </c>
      <c r="F19" s="13" t="inlineStr">
        <is>
          <t>Revocation</t>
        </is>
      </c>
      <c r="G19" s="13" t="inlineStr">
        <is>
          <t>Statutory charge</t>
        </is>
      </c>
      <c r="I19" s="13" t="inlineStr">
        <is>
          <t>Total</t>
        </is>
      </c>
    </row>
    <row r="20">
      <c r="B20" t="inlineStr">
        <is>
          <t>Third Debt invoices</t>
        </is>
      </c>
      <c r="C20" s="13">
        <f>'Correctly linked Civil Cases'!C41+'Civil Debt Exceptions'!C8+'Civil Debt Exceptions'!C28</f>
        <v/>
      </c>
      <c r="D20" s="13">
        <f>'Correctly linked Civil Cases'!D41+'Civil Debt Exceptions'!D8+'Civil Debt Exceptions'!D28</f>
        <v/>
      </c>
      <c r="E20" s="13">
        <f>'Correctly linked Civil Cases'!E41+'Civil Debt Exceptions'!E8+'Civil Debt Exceptions'!E28</f>
        <v/>
      </c>
      <c r="F20" s="13">
        <f>'Correctly linked Civil Cases'!F41+'Civil Debt Exceptions'!F8+'Civil Debt Exceptions'!F28</f>
        <v/>
      </c>
      <c r="G20" s="13">
        <f>'Correctly linked Civil Cases'!G41+'Civil Debt Exceptions'!G8+'Civil Debt Exceptions'!G28</f>
        <v/>
      </c>
      <c r="I20" s="13">
        <f>SUM(C20:G20)</f>
        <v/>
      </c>
    </row>
    <row r="21">
      <c r="B21" t="inlineStr">
        <is>
          <t>Third Adjustment: Other Increasing Debt</t>
        </is>
      </c>
      <c r="C21" s="13">
        <f>'Correctly linked Civil Cases'!C42+'Civil Debt Exceptions'!C10+'Civil Debt Exceptions'!C30</f>
        <v/>
      </c>
      <c r="D21" s="13">
        <f>'Correctly linked Civil Cases'!D42+'Civil Debt Exceptions'!D10+'Civil Debt Exceptions'!D30</f>
        <v/>
      </c>
      <c r="E21" s="13">
        <f>'Correctly linked Civil Cases'!E42+'Civil Debt Exceptions'!E10+'Civil Debt Exceptions'!E30</f>
        <v/>
      </c>
      <c r="F21" s="13">
        <f>'Correctly linked Civil Cases'!F42+'Civil Debt Exceptions'!F10+'Civil Debt Exceptions'!F30</f>
        <v/>
      </c>
      <c r="G21" s="13">
        <f>'Correctly linked Civil Cases'!G42+'Civil Debt Exceptions'!G10+'Civil Debt Exceptions'!G30</f>
        <v/>
      </c>
      <c r="I21" s="13">
        <f>SUM(C21:G21)</f>
        <v/>
      </c>
    </row>
    <row r="22">
      <c r="B22" t="inlineStr">
        <is>
          <t>Third Adjustments:Other Lowering Debt</t>
        </is>
      </c>
      <c r="C22" s="13">
        <f>'Correctly linked Civil Cases'!C43+'Civil Debt Exceptions'!C11+'Civil Debt Exceptions'!C31</f>
        <v/>
      </c>
      <c r="D22" s="13">
        <f>'Correctly linked Civil Cases'!D43+'Civil Debt Exceptions'!D11+'Civil Debt Exceptions'!D31</f>
        <v/>
      </c>
      <c r="E22" s="13">
        <f>'Correctly linked Civil Cases'!E43+'Civil Debt Exceptions'!E11+'Civil Debt Exceptions'!E31</f>
        <v/>
      </c>
      <c r="F22" s="13">
        <f>'Correctly linked Civil Cases'!F43+'Civil Debt Exceptions'!F11+'Civil Debt Exceptions'!F31</f>
        <v/>
      </c>
      <c r="G22" s="13">
        <f>'Correctly linked Civil Cases'!G43+'Civil Debt Exceptions'!G11+'Civil Debt Exceptions'!G31</f>
        <v/>
      </c>
      <c r="I22" s="13">
        <f>SUM(C22:G22)</f>
        <v/>
      </c>
    </row>
    <row r="23">
      <c r="B23" t="inlineStr">
        <is>
          <t>Third Adjustments: Writeoff Debt</t>
        </is>
      </c>
      <c r="C23" s="13">
        <f>'Correctly linked Civil Cases'!C44+'Civil Debt Exceptions'!C13+'Civil Debt Exceptions'!C33</f>
        <v/>
      </c>
      <c r="D23" s="13">
        <f>'Correctly linked Civil Cases'!D44+'Civil Debt Exceptions'!D13+'Civil Debt Exceptions'!D33</f>
        <v/>
      </c>
      <c r="E23" s="13">
        <f>'Correctly linked Civil Cases'!E44+'Civil Debt Exceptions'!E13+'Civil Debt Exceptions'!E33</f>
        <v/>
      </c>
      <c r="F23" s="13">
        <f>'Correctly linked Civil Cases'!F44+'Civil Debt Exceptions'!F13+'Civil Debt Exceptions'!F33</f>
        <v/>
      </c>
      <c r="G23" s="13">
        <f>'Correctly linked Civil Cases'!G44+'Civil Debt Exceptions'!G13+'Civil Debt Exceptions'!G33</f>
        <v/>
      </c>
      <c r="I23" s="13">
        <f>SUM(C23:G23)</f>
        <v/>
      </c>
    </row>
    <row r="24">
      <c r="B24" t="inlineStr">
        <is>
          <t>Third Adjustments: Writedown Debt</t>
        </is>
      </c>
      <c r="C24" s="13">
        <f>'Correctly linked Civil Cases'!C45+'Civil Debt Exceptions'!C15+'Civil Debt Exceptions'!C35</f>
        <v/>
      </c>
      <c r="D24" s="13">
        <f>'Correctly linked Civil Cases'!D45+'Civil Debt Exceptions'!D15+'Civil Debt Exceptions'!D35</f>
        <v/>
      </c>
      <c r="E24" s="13">
        <f>'Correctly linked Civil Cases'!E45+'Civil Debt Exceptions'!E15+'Civil Debt Exceptions'!E35</f>
        <v/>
      </c>
      <c r="F24" s="13">
        <f>'Correctly linked Civil Cases'!F45+'Civil Debt Exceptions'!F15+'Civil Debt Exceptions'!F35</f>
        <v/>
      </c>
      <c r="G24" s="13">
        <f>'Correctly linked Civil Cases'!G45+'Civil Debt Exceptions'!G15+'Civil Debt Exceptions'!G35</f>
        <v/>
      </c>
      <c r="I24" s="13">
        <f>SUM(C24:G24)</f>
        <v/>
      </c>
    </row>
    <row r="25">
      <c r="B25" t="inlineStr">
        <is>
          <t>Third Cash receipts: Debt</t>
        </is>
      </c>
      <c r="C25" s="13">
        <f>'Correctly linked Civil Cases'!C46+'Civil Debt Exceptions'!C17+'Civil Debt Exceptions'!C37</f>
        <v/>
      </c>
      <c r="D25" s="13">
        <f>'Correctly linked Civil Cases'!D46+'Civil Debt Exceptions'!D17+'Civil Debt Exceptions'!D37</f>
        <v/>
      </c>
      <c r="E25" s="13">
        <f>'Correctly linked Civil Cases'!E46+'Civil Debt Exceptions'!E17+'Civil Debt Exceptions'!E37</f>
        <v/>
      </c>
      <c r="F25" s="13">
        <f>'Correctly linked Civil Cases'!F46+'Civil Debt Exceptions'!F17+'Civil Debt Exceptions'!F37</f>
        <v/>
      </c>
      <c r="G25" s="13">
        <f>'Correctly linked Civil Cases'!G46+'Civil Debt Exceptions'!G17+'Civil Debt Exceptions'!G37</f>
        <v/>
      </c>
      <c r="I25" s="13">
        <f>SUM(C25:G25)</f>
        <v/>
      </c>
    </row>
    <row r="26">
      <c r="B26" t="inlineStr">
        <is>
          <t>Third Credit memo: Debt</t>
        </is>
      </c>
      <c r="C26" s="13">
        <f>'Correctly linked Civil Cases'!C47+'Civil Debt Exceptions'!C19+'Civil Debt Exceptions'!C39</f>
        <v/>
      </c>
      <c r="D26" s="13">
        <f>'Correctly linked Civil Cases'!D47+'Civil Debt Exceptions'!D19+'Civil Debt Exceptions'!D39</f>
        <v/>
      </c>
      <c r="E26" s="13">
        <f>'Correctly linked Civil Cases'!E47+'Civil Debt Exceptions'!E19+'Civil Debt Exceptions'!E39</f>
        <v/>
      </c>
      <c r="F26" s="13">
        <f>'Correctly linked Civil Cases'!F47+'Civil Debt Exceptions'!F19+'Civil Debt Exceptions'!F39</f>
        <v/>
      </c>
      <c r="G26" s="13">
        <f>'Correctly linked Civil Cases'!G47+'Civil Debt Exceptions'!G19+'Civil Debt Exceptions'!G39</f>
        <v/>
      </c>
      <c r="I26" s="13">
        <f>SUM(C26:G26)</f>
        <v/>
      </c>
    </row>
    <row r="28">
      <c r="B28" t="inlineStr">
        <is>
          <t>Balance Principal</t>
        </is>
      </c>
      <c r="C28" s="13">
        <f>C20-SUM(C21:C26)</f>
        <v/>
      </c>
      <c r="D28" s="13">
        <f>D20-SUM(D21:D26)</f>
        <v/>
      </c>
      <c r="E28" s="13">
        <f>E20-SUM(E21:E26)</f>
        <v/>
      </c>
      <c r="F28" s="13">
        <f>F20-SUM(F21:F26)</f>
        <v/>
      </c>
      <c r="G28" s="13">
        <f>G20-SUM(G21:G26)</f>
        <v/>
      </c>
      <c r="I28" s="13">
        <f>I20-SUM(I21:I26)</f>
        <v/>
      </c>
      <c r="K28" s="13">
        <f>I28+I14</f>
        <v/>
      </c>
      <c r="L28" s="13">
        <f>'All Debts by Type Summary'!C17</f>
        <v/>
      </c>
      <c r="M28" s="13">
        <f>K28-L28</f>
        <v/>
      </c>
    </row>
    <row r="29">
      <c r="B29" t="inlineStr">
        <is>
          <t>CHECKSUM</t>
        </is>
      </c>
      <c r="C29" s="13">
        <f>'Correctly linked Civil Cases'!C49+'Civil Debt Exceptions'!C41+'Civil Debt Exceptions'!C21-C28</f>
        <v/>
      </c>
      <c r="D29" s="13">
        <f>'Correctly linked Civil Cases'!D49+'Civil Debt Exceptions'!D41+'Civil Debt Exceptions'!D21-D28</f>
        <v/>
      </c>
      <c r="E29" s="13">
        <f>'Correctly linked Civil Cases'!E49+'Civil Debt Exceptions'!E41+'Civil Debt Exceptions'!E21-E28</f>
        <v/>
      </c>
      <c r="F29" s="13">
        <f>'Correctly linked Civil Cases'!F49+'Civil Debt Exceptions'!F41+'Civil Debt Exceptions'!F21-F28</f>
        <v/>
      </c>
      <c r="G29" s="13">
        <f>'Correctly linked Civil Cases'!G49+'Civil Debt Exceptions'!G41+'Civil Debt Exceptions'!G21-G28</f>
        <v/>
      </c>
      <c r="I29" s="13">
        <f>'Correctly linked Civil Cases'!I49+'Civil Debt Exceptions'!I41+'Civil Debt Exceptions'!I21-I28</f>
        <v/>
      </c>
    </row>
    <row r="31">
      <c r="B31" t="inlineStr">
        <is>
          <t>Late Charges</t>
        </is>
      </c>
    </row>
    <row r="33">
      <c r="B33" t="inlineStr">
        <is>
          <t>LAA Charges</t>
        </is>
      </c>
    </row>
    <row r="35">
      <c r="B35" t="inlineStr">
        <is>
          <t>Transaction Type</t>
        </is>
      </c>
      <c r="C35" s="13" t="inlineStr">
        <is>
          <t>Contributions</t>
        </is>
      </c>
      <c r="D35" s="13" t="inlineStr">
        <is>
          <t>Costs</t>
        </is>
      </c>
      <c r="E35" s="13" t="inlineStr">
        <is>
          <t>Damages</t>
        </is>
      </c>
      <c r="F35" s="13" t="inlineStr">
        <is>
          <t>Revocation</t>
        </is>
      </c>
      <c r="G35" s="13" t="inlineStr">
        <is>
          <t>Statutory charge</t>
        </is>
      </c>
      <c r="I35" s="13" t="inlineStr">
        <is>
          <t>Total</t>
        </is>
      </c>
    </row>
    <row r="36">
      <c r="B36" t="inlineStr">
        <is>
          <t>LAA Adjustment Charges</t>
        </is>
      </c>
      <c r="C36" s="13">
        <f>'Correctly linked Civil Cases'!C8</f>
        <v/>
      </c>
      <c r="D36" s="13">
        <f>'Correctly linked Civil Cases'!D8</f>
        <v/>
      </c>
      <c r="E36" s="13">
        <f>'Correctly linked Civil Cases'!E8</f>
        <v/>
      </c>
      <c r="F36" s="13">
        <f>'Correctly linked Civil Cases'!F8</f>
        <v/>
      </c>
      <c r="G36" s="13">
        <f>'Correctly linked Civil Cases'!G8</f>
        <v/>
      </c>
      <c r="I36" s="13">
        <f>SUM(C36:G36)</f>
        <v/>
      </c>
    </row>
    <row r="37">
      <c r="B37" t="inlineStr">
        <is>
          <t>LAA Adjustments: Writeoff Charge</t>
        </is>
      </c>
      <c r="C37" s="13">
        <f>'Correctly linked Civil Cases'!C11</f>
        <v/>
      </c>
      <c r="D37" s="13">
        <f>'Correctly linked Civil Cases'!D11</f>
        <v/>
      </c>
      <c r="E37" s="13">
        <f>'Correctly linked Civil Cases'!E11</f>
        <v/>
      </c>
      <c r="F37" s="13">
        <f>'Correctly linked Civil Cases'!F11</f>
        <v/>
      </c>
      <c r="G37" s="13">
        <f>'Correctly linked Civil Cases'!G11</f>
        <v/>
      </c>
      <c r="I37" s="13">
        <f>SUM(C37:G37)</f>
        <v/>
      </c>
    </row>
    <row r="38">
      <c r="B38" t="inlineStr">
        <is>
          <t>LAA Adjustments: Writedown Charge</t>
        </is>
      </c>
      <c r="C38" s="13">
        <f>'Correctly linked Civil Cases'!C13</f>
        <v/>
      </c>
      <c r="D38" s="13">
        <f>'Correctly linked Civil Cases'!D13</f>
        <v/>
      </c>
      <c r="E38" s="13">
        <f>'Correctly linked Civil Cases'!E13</f>
        <v/>
      </c>
      <c r="F38" s="13">
        <f>'Correctly linked Civil Cases'!F13</f>
        <v/>
      </c>
      <c r="G38" s="13">
        <f>'Correctly linked Civil Cases'!G13</f>
        <v/>
      </c>
      <c r="I38" s="13">
        <f>SUM(C38:G38)</f>
        <v/>
      </c>
    </row>
    <row r="39">
      <c r="B39" t="inlineStr">
        <is>
          <t>LAA Cash receipts: Charge</t>
        </is>
      </c>
      <c r="C39" s="13">
        <f>'Correctly linked Civil Cases'!C15</f>
        <v/>
      </c>
      <c r="D39" s="13">
        <f>'Correctly linked Civil Cases'!D15</f>
        <v/>
      </c>
      <c r="E39" s="13">
        <f>'Correctly linked Civil Cases'!E15</f>
        <v/>
      </c>
      <c r="F39" s="13">
        <f>'Correctly linked Civil Cases'!F15</f>
        <v/>
      </c>
      <c r="G39" s="13">
        <f>'Correctly linked Civil Cases'!G15</f>
        <v/>
      </c>
      <c r="I39" s="13">
        <f>SUM(C39:G39)</f>
        <v/>
      </c>
    </row>
    <row r="40">
      <c r="B40" t="inlineStr">
        <is>
          <t>LAA Credit memo: Late Charge</t>
        </is>
      </c>
      <c r="C40" s="13">
        <f>'Correctly linked Civil Cases'!C17</f>
        <v/>
      </c>
      <c r="D40" s="13">
        <f>'Correctly linked Civil Cases'!D17</f>
        <v/>
      </c>
      <c r="E40" s="13">
        <f>'Correctly linked Civil Cases'!E17</f>
        <v/>
      </c>
      <c r="F40" s="13">
        <f>'Correctly linked Civil Cases'!F17</f>
        <v/>
      </c>
      <c r="G40" s="13">
        <f>'Correctly linked Civil Cases'!G17</f>
        <v/>
      </c>
      <c r="I40" s="13">
        <f>SUM(C40:G40)</f>
        <v/>
      </c>
    </row>
    <row r="42">
      <c r="B42" t="inlineStr">
        <is>
          <t>Balance Charges</t>
        </is>
      </c>
      <c r="C42" s="13">
        <f>-C36-SUM(C37:C40)</f>
        <v/>
      </c>
      <c r="D42" s="13">
        <f>-D36-SUM(D37:D40)</f>
        <v/>
      </c>
      <c r="E42" s="13">
        <f>-E36-SUM(E37:E40)</f>
        <v/>
      </c>
      <c r="F42" s="13">
        <f>-F36-SUM(F37:F40)</f>
        <v/>
      </c>
      <c r="G42" s="13">
        <f>-G36-SUM(G37:G40)</f>
        <v/>
      </c>
      <c r="I42" s="13">
        <f>-I36-SUM(I37:I40)</f>
        <v/>
      </c>
    </row>
    <row r="43">
      <c r="B43" t="inlineStr">
        <is>
          <t>CHECKSUM</t>
        </is>
      </c>
      <c r="C43" s="13">
        <f>'Correctly linked Civil Cases'!C22-C42</f>
        <v/>
      </c>
      <c r="D43" s="13">
        <f>'Correctly linked Civil Cases'!D22-D42</f>
        <v/>
      </c>
      <c r="E43" s="13">
        <f>'Correctly linked Civil Cases'!E22-E42</f>
        <v/>
      </c>
      <c r="F43" s="13">
        <f>'Correctly linked Civil Cases'!F22-F42</f>
        <v/>
      </c>
      <c r="G43" s="13">
        <f>'Correctly linked Civil Cases'!G22-G42</f>
        <v/>
      </c>
      <c r="I43" s="13">
        <f>'Correctly linked Civil Cases'!I22-I42</f>
        <v/>
      </c>
    </row>
    <row r="45">
      <c r="B45" t="inlineStr">
        <is>
          <t>Third Charges</t>
        </is>
      </c>
    </row>
    <row r="47">
      <c r="B47" t="inlineStr">
        <is>
          <t>Transaction Type</t>
        </is>
      </c>
      <c r="C47" s="13" t="inlineStr">
        <is>
          <t>Contributions</t>
        </is>
      </c>
      <c r="D47" s="13" t="inlineStr">
        <is>
          <t>Costs</t>
        </is>
      </c>
      <c r="E47" s="13" t="inlineStr">
        <is>
          <t>Damages</t>
        </is>
      </c>
      <c r="F47" s="13" t="inlineStr">
        <is>
          <t>Revocation</t>
        </is>
      </c>
      <c r="G47" s="13" t="inlineStr">
        <is>
          <t>Statutory charge</t>
        </is>
      </c>
      <c r="I47" s="13" t="inlineStr">
        <is>
          <t>Total</t>
        </is>
      </c>
    </row>
    <row r="48">
      <c r="B48" t="inlineStr">
        <is>
          <t>Third Adjustment Charges</t>
        </is>
      </c>
      <c r="C48" s="13">
        <f>'Civil Debt Exceptions'!C9+'Civil Debt Exceptions'!C29</f>
        <v/>
      </c>
      <c r="D48" s="13">
        <f>'Civil Debt Exceptions'!D9+'Civil Debt Exceptions'!D29</f>
        <v/>
      </c>
      <c r="E48" s="13">
        <f>'Civil Debt Exceptions'!E9+'Civil Debt Exceptions'!E29</f>
        <v/>
      </c>
      <c r="F48" s="13">
        <f>'Civil Debt Exceptions'!F9+'Civil Debt Exceptions'!F29</f>
        <v/>
      </c>
      <c r="G48" s="13">
        <f>'Civil Debt Exceptions'!G9+'Civil Debt Exceptions'!G29</f>
        <v/>
      </c>
      <c r="I48" s="13">
        <f>SUM(C48:G48)</f>
        <v/>
      </c>
    </row>
    <row r="49">
      <c r="B49" t="inlineStr">
        <is>
          <t>Third Adjustments: Writeoff Charge</t>
        </is>
      </c>
      <c r="C49" s="13">
        <f>'Civil Debt Exceptions'!C12+'Civil Debt Exceptions'!C32</f>
        <v/>
      </c>
      <c r="D49" s="13">
        <f>'Civil Debt Exceptions'!D12+'Civil Debt Exceptions'!D32</f>
        <v/>
      </c>
      <c r="E49" s="13">
        <f>'Civil Debt Exceptions'!E12+'Civil Debt Exceptions'!E32</f>
        <v/>
      </c>
      <c r="F49" s="13">
        <f>'Civil Debt Exceptions'!F12+'Civil Debt Exceptions'!F32</f>
        <v/>
      </c>
      <c r="G49" s="13">
        <f>'Civil Debt Exceptions'!G12+'Civil Debt Exceptions'!G32</f>
        <v/>
      </c>
      <c r="I49" s="13">
        <f>SUM(C49:G49)</f>
        <v/>
      </c>
    </row>
    <row r="50">
      <c r="B50" t="inlineStr">
        <is>
          <t>Third Adjustments: Writedown Charge</t>
        </is>
      </c>
      <c r="C50" s="13">
        <f>+'Civil Debt Exceptions'!C14+'Civil Debt Exceptions'!C34</f>
        <v/>
      </c>
      <c r="D50" s="13">
        <f>+'Civil Debt Exceptions'!D14+'Civil Debt Exceptions'!D34</f>
        <v/>
      </c>
      <c r="E50" s="13">
        <f>+'Civil Debt Exceptions'!E14+'Civil Debt Exceptions'!E34</f>
        <v/>
      </c>
      <c r="F50" s="13">
        <f>+'Civil Debt Exceptions'!F14+'Civil Debt Exceptions'!F34</f>
        <v/>
      </c>
      <c r="G50" s="13">
        <f>+'Civil Debt Exceptions'!G14+'Civil Debt Exceptions'!G34</f>
        <v/>
      </c>
      <c r="I50" s="13">
        <f>SUM(C50:G50)</f>
        <v/>
      </c>
    </row>
    <row r="51">
      <c r="B51" t="inlineStr">
        <is>
          <t>Third Cash receipts: Charge</t>
        </is>
      </c>
      <c r="C51" s="13">
        <f>+'Civil Debt Exceptions'!C16+'Civil Debt Exceptions'!C36</f>
        <v/>
      </c>
      <c r="D51" s="13">
        <f>+'Civil Debt Exceptions'!D16+'Civil Debt Exceptions'!D36</f>
        <v/>
      </c>
      <c r="E51" s="13">
        <f>+'Civil Debt Exceptions'!E16+'Civil Debt Exceptions'!E36</f>
        <v/>
      </c>
      <c r="F51" s="13">
        <f>+'Civil Debt Exceptions'!F16+'Civil Debt Exceptions'!F36</f>
        <v/>
      </c>
      <c r="G51" s="13">
        <f>+'Civil Debt Exceptions'!G16+'Civil Debt Exceptions'!G36</f>
        <v/>
      </c>
      <c r="I51" s="13">
        <f>SUM(C51:G51)</f>
        <v/>
      </c>
    </row>
    <row r="52">
      <c r="B52" t="inlineStr">
        <is>
          <t>Third Credit memo: Late Charge</t>
        </is>
      </c>
      <c r="C52" s="13">
        <f>+'Civil Debt Exceptions'!C18+'Civil Debt Exceptions'!C38</f>
        <v/>
      </c>
      <c r="D52" s="13">
        <f>+'Civil Debt Exceptions'!D18+'Civil Debt Exceptions'!D38</f>
        <v/>
      </c>
      <c r="E52" s="13">
        <f>+'Civil Debt Exceptions'!E18+'Civil Debt Exceptions'!E38</f>
        <v/>
      </c>
      <c r="F52" s="13">
        <f>+'Civil Debt Exceptions'!F18+'Civil Debt Exceptions'!F38</f>
        <v/>
      </c>
      <c r="G52" s="13">
        <f>+'Civil Debt Exceptions'!G18+'Civil Debt Exceptions'!G38</f>
        <v/>
      </c>
      <c r="I52" s="13">
        <f>SUM(C52:G52)</f>
        <v/>
      </c>
    </row>
    <row r="54">
      <c r="B54" t="inlineStr">
        <is>
          <t>Balance Charges</t>
        </is>
      </c>
      <c r="C54" s="13">
        <f>-C48-SUM(C49:C52)</f>
        <v/>
      </c>
      <c r="D54" s="13">
        <f>-D48-SUM(D49:D52)</f>
        <v/>
      </c>
      <c r="E54" s="13">
        <f>-E48-SUM(E49:E52)</f>
        <v/>
      </c>
      <c r="F54" s="13">
        <f>-F48-SUM(F49:F52)</f>
        <v/>
      </c>
      <c r="G54" s="13">
        <f>-G48-SUM(G49:G52)</f>
        <v/>
      </c>
      <c r="I54" s="13">
        <f>-I48-SUM(I49:I52)</f>
        <v/>
      </c>
    </row>
    <row r="55">
      <c r="B55" t="inlineStr">
        <is>
          <t>CHECKSUM</t>
        </is>
      </c>
      <c r="C55" s="13">
        <f>'Civil Debt Exceptions'!C23+'Civil Debt Exceptions'!C43-C54</f>
        <v/>
      </c>
      <c r="D55" s="13">
        <f>'Civil Debt Exceptions'!D23+'Civil Debt Exceptions'!D43-D54</f>
        <v/>
      </c>
      <c r="E55" s="13">
        <f>'Civil Debt Exceptions'!E23+'Civil Debt Exceptions'!E43-E54</f>
        <v/>
      </c>
      <c r="F55" s="13">
        <f>'Civil Debt Exceptions'!F23+'Civil Debt Exceptions'!F43-F54</f>
        <v/>
      </c>
      <c r="G55" s="13">
        <f>'Civil Debt Exceptions'!G23+'Civil Debt Exceptions'!G43-G54</f>
        <v/>
      </c>
      <c r="I55" s="13">
        <f>'Civil Debt Exceptions'!I23+'Civil Debt Exceptions'!I43-I54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10">
    <outlinePr summaryBelow="1" summaryRight="1"/>
    <pageSetUpPr/>
  </sheetPr>
  <dimension ref="B1:Q43"/>
  <sheetViews>
    <sheetView workbookViewId="0">
      <selection activeCell="B2" sqref="B2"/>
    </sheetView>
  </sheetViews>
  <sheetFormatPr baseColWidth="8" defaultRowHeight="15"/>
  <cols>
    <col width="5.28515625" customWidth="1" min="1" max="1"/>
    <col width="34.7109375" bestFit="1" customWidth="1" min="2" max="2"/>
    <col width="20.7109375" bestFit="1" customWidth="1" style="13" min="3" max="3"/>
    <col width="18" bestFit="1" customWidth="1" style="13" min="4" max="4"/>
    <col width="20.7109375" bestFit="1" customWidth="1" style="13" min="5" max="5"/>
    <col width="23.7109375" bestFit="1" customWidth="1" style="13" min="6" max="6"/>
    <col width="21.85546875" bestFit="1" customWidth="1" style="13" min="7" max="7"/>
    <col width="4" customWidth="1" style="13" min="8" max="8"/>
    <col width="17" bestFit="1" customWidth="1" style="13" min="9" max="9"/>
    <col width="9.140625" customWidth="1" style="13" min="10" max="10"/>
    <col width="15.85546875" bestFit="1" customWidth="1" style="13" min="11" max="14"/>
    <col width="17" bestFit="1" customWidth="1" style="13" min="15" max="15"/>
    <col width="9.140625" customWidth="1" style="13" min="16" max="16"/>
    <col width="17" bestFit="1" customWidth="1" style="13" min="17" max="17"/>
  </cols>
  <sheetData>
    <row r="1">
      <c r="B1" t="inlineStr">
        <is>
          <t>All CCMS debts by scheme</t>
        </is>
      </c>
    </row>
    <row r="3">
      <c r="B3" t="inlineStr">
        <is>
          <t>Transaction Type</t>
        </is>
      </c>
      <c r="C3" s="13" t="inlineStr">
        <is>
          <t>Civil</t>
        </is>
      </c>
      <c r="D3" s="13" t="inlineStr">
        <is>
          <t>Crime Higher</t>
        </is>
      </c>
      <c r="E3" s="13" t="inlineStr">
        <is>
          <t>Other</t>
        </is>
      </c>
      <c r="F3" s="13" t="inlineStr">
        <is>
          <t>Provider</t>
        </is>
      </c>
      <c r="G3" s="13" t="inlineStr">
        <is>
          <t>Staff Debt</t>
        </is>
      </c>
      <c r="I3" s="13" t="inlineStr">
        <is>
          <t>Total</t>
        </is>
      </c>
      <c r="K3" s="13" t="inlineStr">
        <is>
          <t>Contributions</t>
        </is>
      </c>
      <c r="L3" s="13" t="inlineStr">
        <is>
          <t>Costs</t>
        </is>
      </c>
      <c r="M3" s="13" t="inlineStr">
        <is>
          <t>Damages</t>
        </is>
      </c>
      <c r="N3" s="13" t="inlineStr">
        <is>
          <t>Revocation</t>
        </is>
      </c>
      <c r="O3" s="13" t="inlineStr">
        <is>
          <t>Statutory charge</t>
        </is>
      </c>
      <c r="Q3" s="13" t="inlineStr">
        <is>
          <t>Total Civil</t>
        </is>
      </c>
    </row>
    <row r="4">
      <c r="B4" t="inlineStr">
        <is>
          <t>Debt invoices</t>
        </is>
      </c>
      <c r="C4" s="13">
        <f>SUMIF(CCMS_DEBT_SUMMARY_C_EXP!$A:$A,$C$3,CCMS_DEBT_SUMMARY_C_EXP!$G:$G)</f>
        <v/>
      </c>
      <c r="D4" s="13">
        <f>SUMIF(CCMS_DEBT_SUMMARY_C_EXP!$A:$A,$D$3,CCMS_DEBT_SUMMARY_C_EXP!$G:$G)</f>
        <v/>
      </c>
      <c r="E4" s="13">
        <f>SUMIF(CCMS_DEBT_SUMMARY_C_EXP!$A:$A,$E$3,CCMS_DEBT_SUMMARY_C_EXP!$G:$G)</f>
        <v/>
      </c>
      <c r="F4" s="13">
        <f>SUMIF(CCMS_DEBT_SUMMARY_C_EXP!$A:$A,$F$3,CCMS_DEBT_SUMMARY_C_EXP!$G:$G)</f>
        <v/>
      </c>
      <c r="G4" s="13">
        <f>SUMIF(CCMS_DEBT_SUMMARY_C_EXP!$A:$A,$G$3,CCMS_DEBT_SUMMARY_C_EXP!$G:$G)</f>
        <v/>
      </c>
      <c r="I4" s="13">
        <f>SUM(C4:H4)</f>
        <v/>
      </c>
      <c r="K4" s="13">
        <f>SUMIF(CCMS_DEBT_SUMMARY_C_EXP!$C:$C,K$3,CCMS_DEBT_SUMMARY_C_EXP!$G:$G)</f>
        <v/>
      </c>
      <c r="L4" s="13">
        <f>SUMIF(CCMS_DEBT_SUMMARY_C_EXP!$C:$C,L$3,CCMS_DEBT_SUMMARY_C_EXP!$G:$G)</f>
        <v/>
      </c>
      <c r="M4" s="13">
        <f>SUMIF(CCMS_DEBT_SUMMARY_C_EXP!$C:$C,M$3,CCMS_DEBT_SUMMARY_C_EXP!$G:$G)</f>
        <v/>
      </c>
      <c r="N4" s="13">
        <f>SUMIF(CCMS_DEBT_SUMMARY_C_EXP!$C:$C,N$3,CCMS_DEBT_SUMMARY_C_EXP!$G:$G)</f>
        <v/>
      </c>
      <c r="O4" s="13">
        <f>SUMIF(CCMS_DEBT_SUMMARY_C_EXP!$C:$C,O$3,CCMS_DEBT_SUMMARY_C_EXP!$G:$G)</f>
        <v/>
      </c>
      <c r="Q4" s="13">
        <f>SUM(K4:P4)</f>
        <v/>
      </c>
    </row>
    <row r="5">
      <c r="B5" t="inlineStr">
        <is>
          <t>Adjustment Charges</t>
        </is>
      </c>
      <c r="C5" s="13">
        <f>SUMIF(CCMS_DEBT_SUMMARY_C_EXP!$A:$A,$C$3,CCMS_DEBT_SUMMARY_C_EXP!$N:$N)*-1</f>
        <v/>
      </c>
      <c r="D5" s="13">
        <f>SUMIF(CCMS_DEBT_SUMMARY_C_EXP!$A:$A,$D$3,CCMS_DEBT_SUMMARY_C_EXP!$N:$N)*-1</f>
        <v/>
      </c>
      <c r="E5" s="13">
        <f>SUMIF(CCMS_DEBT_SUMMARY_C_EXP!$A:$A,$E$3,CCMS_DEBT_SUMMARY_C_EXP!$N:$N)*-1</f>
        <v/>
      </c>
      <c r="F5" s="13">
        <f>SUMIF(CCMS_DEBT_SUMMARY_C_EXP!$A:$A,$F$3,CCMS_DEBT_SUMMARY_C_EXP!$N:$N)*-1</f>
        <v/>
      </c>
      <c r="G5" s="13">
        <f>SUMIF(CCMS_DEBT_SUMMARY_C_EXP!$A:$A,$G$3,CCMS_DEBT_SUMMARY_C_EXP!$N:$N)*-1</f>
        <v/>
      </c>
      <c r="I5" s="13">
        <f>SUM(C5:H5)</f>
        <v/>
      </c>
      <c r="K5" s="13">
        <f>SUMIF(CCMS_DEBT_SUMMARY_C_EXP!$C:$C,K$3,CCMS_DEBT_SUMMARY_C_EXP!$N:$N)*-1</f>
        <v/>
      </c>
      <c r="L5" s="13">
        <f>SUMIF(CCMS_DEBT_SUMMARY_C_EXP!$C:$C,L$3,CCMS_DEBT_SUMMARY_C_EXP!$N:$N)*-1</f>
        <v/>
      </c>
      <c r="M5" s="13">
        <f>SUMIF(CCMS_DEBT_SUMMARY_C_EXP!$C:$C,M$3,CCMS_DEBT_SUMMARY_C_EXP!$N:$N)*-1</f>
        <v/>
      </c>
      <c r="N5" s="13">
        <f>SUMIF(CCMS_DEBT_SUMMARY_C_EXP!$C:$C,N$3,CCMS_DEBT_SUMMARY_C_EXP!$N:$N)*-1</f>
        <v/>
      </c>
      <c r="O5" s="13">
        <f>SUMIF(CCMS_DEBT_SUMMARY_C_EXP!$C:$C,O$3,CCMS_DEBT_SUMMARY_C_EXP!$N:$N)*-1</f>
        <v/>
      </c>
      <c r="Q5" s="13">
        <f>SUM(K5:P5)</f>
        <v/>
      </c>
    </row>
    <row r="6">
      <c r="B6" t="inlineStr">
        <is>
          <t>Adjustment: Other Increasing debt</t>
        </is>
      </c>
      <c r="C6" s="13">
        <f>SUMIF(CCMS_DEBT_SUMMARY_C_EXP!$A:$A,C$3,CCMS_DEBT_SUMMARY_C_EXP!$L:$L)*-1</f>
        <v/>
      </c>
      <c r="D6" s="13">
        <f>SUMIF(CCMS_DEBT_SUMMARY_C_EXP!$A:$A,D$3,CCMS_DEBT_SUMMARY_C_EXP!$L:$KL)*-1</f>
        <v/>
      </c>
      <c r="E6" s="13">
        <f>SUMIF(CCMS_DEBT_SUMMARY_C_EXP!$A:$A,E$3,CCMS_DEBT_SUMMARY_C_EXP!$L:$KL)*-1</f>
        <v/>
      </c>
      <c r="F6" s="13">
        <f>SUMIF(CCMS_DEBT_SUMMARY_C_EXP!$A:$A,F$3,CCMS_DEBT_SUMMARY_C_EXP!$L:$KL)*-1</f>
        <v/>
      </c>
      <c r="G6" s="13">
        <f>SUMIF(CCMS_DEBT_SUMMARY_C_EXP!$A:$A,G$3,CCMS_DEBT_SUMMARY_C_EXP!$L:$KL)*-1</f>
        <v/>
      </c>
      <c r="I6" s="13">
        <f>SUM(C6:H6)</f>
        <v/>
      </c>
      <c r="K6" s="13">
        <f>SUMIF(CCMS_DEBT_SUMMARY_C_EXP!$C:$C,K$3,CCMS_DEBT_SUMMARY_C_EXP!$L:$L)*-1</f>
        <v/>
      </c>
      <c r="L6" s="13">
        <f>SUMIF(CCMS_DEBT_SUMMARY_C_EXP!$C:$C,L$3,CCMS_DEBT_SUMMARY_C_EXP!$L:$L)*-1</f>
        <v/>
      </c>
      <c r="M6" s="13">
        <f>SUMIF(CCMS_DEBT_SUMMARY_C_EXP!$C:$C,M$3,CCMS_DEBT_SUMMARY_C_EXP!$L:$L)*-1</f>
        <v/>
      </c>
      <c r="N6" s="13">
        <f>SUMIF(CCMS_DEBT_SUMMARY_C_EXP!$C:$C,N$3,CCMS_DEBT_SUMMARY_C_EXP!$L:$L)*-1</f>
        <v/>
      </c>
      <c r="O6" s="13">
        <f>SUMIF(CCMS_DEBT_SUMMARY_C_EXP!$C:$C,O$3,CCMS_DEBT_SUMMARY_C_EXP!$L:$L)*-1</f>
        <v/>
      </c>
      <c r="Q6" s="13">
        <f>SUM(K6:P6)</f>
        <v/>
      </c>
    </row>
    <row r="7">
      <c r="B7" t="inlineStr">
        <is>
          <t>Adjustments: Other Lowering debt</t>
        </is>
      </c>
      <c r="C7" s="13">
        <f>SUMIF(CCMS_DEBT_SUMMARY_C_EXP!$A:$A,C$3,CCMS_DEBT_SUMMARY_C_EXP!$M:$M)*-1</f>
        <v/>
      </c>
      <c r="D7" s="13">
        <f>SUMIF(CCMS_DEBT_SUMMARY_C_EXP!$A:$A,D$3,CCMS_DEBT_SUMMARY_C_EXP!$M:$M)*-1</f>
        <v/>
      </c>
      <c r="E7" s="13">
        <f>SUMIF(CCMS_DEBT_SUMMARY_C_EXP!$A:$A,E$3,CCMS_DEBT_SUMMARY_C_EXP!$M:$M)*-1</f>
        <v/>
      </c>
      <c r="F7" s="13">
        <f>SUMIF(CCMS_DEBT_SUMMARY_C_EXP!$A:$A,F$3,CCMS_DEBT_SUMMARY_C_EXP!$M:$M)*-1</f>
        <v/>
      </c>
      <c r="G7" s="13">
        <f>SUMIF(CCMS_DEBT_SUMMARY_C_EXP!$A:$A,G$3,CCMS_DEBT_SUMMARY_C_EXP!$M:$M)*-1</f>
        <v/>
      </c>
      <c r="I7" s="13">
        <f>SUM(C7:H7)</f>
        <v/>
      </c>
      <c r="K7" s="13">
        <f>SUMIF(CCMS_DEBT_SUMMARY_C_EXP!$C:$C,K$3,CCMS_DEBT_SUMMARY_C_EXP!$M:$M)*-1</f>
        <v/>
      </c>
      <c r="L7" s="13">
        <f>SUMIF(CCMS_DEBT_SUMMARY_C_EXP!$C:$C,L$3,CCMS_DEBT_SUMMARY_C_EXP!$M:$M)*-1</f>
        <v/>
      </c>
      <c r="M7" s="13">
        <f>SUMIF(CCMS_DEBT_SUMMARY_C_EXP!$C:$C,M$3,CCMS_DEBT_SUMMARY_C_EXP!$M:$M)*-1</f>
        <v/>
      </c>
      <c r="N7" s="13">
        <f>SUMIF(CCMS_DEBT_SUMMARY_C_EXP!$C:$C,N$3,CCMS_DEBT_SUMMARY_C_EXP!$M:$M)*-1</f>
        <v/>
      </c>
      <c r="O7" s="13">
        <f>SUMIF(CCMS_DEBT_SUMMARY_C_EXP!$C:$C,O$3,CCMS_DEBT_SUMMARY_C_EXP!$M:$M)*-1</f>
        <v/>
      </c>
      <c r="Q7" s="13">
        <f>SUM(K7:P7)</f>
        <v/>
      </c>
    </row>
    <row r="8">
      <c r="B8" t="inlineStr">
        <is>
          <t>Adjustments: Writeoff Charge</t>
        </is>
      </c>
      <c r="C8" s="13">
        <f>SUMIF(CCMS_DEBT_SUMMARY_C_EXP!$A:$A,$C$3,CCMS_DEBT_SUMMARY_C_EXP!$R:$R)*-1</f>
        <v/>
      </c>
      <c r="D8" s="13">
        <f>SUMIF(CCMS_DEBT_SUMMARY_C_EXP!$A:$A,$D$3,CCMS_DEBT_SUMMARY_C_EXP!$R:$R)*-1</f>
        <v/>
      </c>
      <c r="E8" s="13">
        <f>SUMIF(CCMS_DEBT_SUMMARY_C_EXP!$A:$A,$E$3,CCMS_DEBT_SUMMARY_C_EXP!$R:$R)*-1</f>
        <v/>
      </c>
      <c r="F8" s="13">
        <f>SUMIF(CCMS_DEBT_SUMMARY_C_EXP!$A:$A,$F$3,CCMS_DEBT_SUMMARY_C_EXP!$R:$R)*-1</f>
        <v/>
      </c>
      <c r="G8" s="13">
        <f>SUMIF(CCMS_DEBT_SUMMARY_C_EXP!$A:$A,$G$3,CCMS_DEBT_SUMMARY_C_EXP!$R:$R)*-1</f>
        <v/>
      </c>
      <c r="I8" s="13">
        <f>SUM(C8:H8)</f>
        <v/>
      </c>
      <c r="K8" s="13">
        <f>SUMIF(CCMS_DEBT_SUMMARY_C_EXP!$C:$C,K$3,CCMS_DEBT_SUMMARY_C_EXP!$R:$R)*-1</f>
        <v/>
      </c>
      <c r="L8" s="13">
        <f>SUMIF(CCMS_DEBT_SUMMARY_C_EXP!$C:$C,L$3,CCMS_DEBT_SUMMARY_C_EXP!$R:$R)*-1</f>
        <v/>
      </c>
      <c r="M8" s="13">
        <f>SUMIF(CCMS_DEBT_SUMMARY_C_EXP!$C:$C,M$3,CCMS_DEBT_SUMMARY_C_EXP!$R:$R)*-1</f>
        <v/>
      </c>
      <c r="N8" s="13">
        <f>SUMIF(CCMS_DEBT_SUMMARY_C_EXP!$C:$C,N$3,CCMS_DEBT_SUMMARY_C_EXP!$R:$R)*-1</f>
        <v/>
      </c>
      <c r="O8" s="13">
        <f>SUMIF(CCMS_DEBT_SUMMARY_C_EXP!$C:$C,O$3,CCMS_DEBT_SUMMARY_C_EXP!$R:$R)*-1</f>
        <v/>
      </c>
      <c r="Q8" s="13">
        <f>SUM(K8:P8)</f>
        <v/>
      </c>
    </row>
    <row r="9">
      <c r="B9" t="inlineStr">
        <is>
          <t>Adjustments: Writeoff Debt</t>
        </is>
      </c>
      <c r="C9" s="13">
        <f>SUMIF(CCMS_DEBT_SUMMARY_C_EXP!$A:$A,$C$3,CCMS_DEBT_SUMMARY_C_EXP!$Q:$Q)*-1</f>
        <v/>
      </c>
      <c r="D9" s="13">
        <f>SUMIF(CCMS_DEBT_SUMMARY_C_EXP!$A:$A,$D$3,CCMS_DEBT_SUMMARY_C_EXP!$Q:$Q)*-1</f>
        <v/>
      </c>
      <c r="E9" s="13">
        <f>SUMIF(CCMS_DEBT_SUMMARY_C_EXP!$A:$A,$E$3,CCMS_DEBT_SUMMARY_C_EXP!$Q:$Q)*-1</f>
        <v/>
      </c>
      <c r="F9" s="13">
        <f>SUMIF(CCMS_DEBT_SUMMARY_C_EXP!$A:$A,$F$3,CCMS_DEBT_SUMMARY_C_EXP!$Q:$Q)*-1</f>
        <v/>
      </c>
      <c r="G9" s="13">
        <f>SUMIF(CCMS_DEBT_SUMMARY_C_EXP!$A:$A,$G$3,CCMS_DEBT_SUMMARY_C_EXP!$Q:$Q)*-1</f>
        <v/>
      </c>
      <c r="I9" s="13">
        <f>SUM(C9:H9)</f>
        <v/>
      </c>
      <c r="K9" s="13">
        <f>SUMIF(CCMS_DEBT_SUMMARY_C_EXP!$C:$C,K$3,CCMS_DEBT_SUMMARY_C_EXP!$Q:$Q)*-1</f>
        <v/>
      </c>
      <c r="L9" s="13">
        <f>SUMIF(CCMS_DEBT_SUMMARY_C_EXP!$C:$C,L$3,CCMS_DEBT_SUMMARY_C_EXP!$Q:$Q)*-1</f>
        <v/>
      </c>
      <c r="M9" s="13">
        <f>SUMIF(CCMS_DEBT_SUMMARY_C_EXP!$C:$C,M$3,CCMS_DEBT_SUMMARY_C_EXP!$Q:$Q)*-1</f>
        <v/>
      </c>
      <c r="N9" s="13">
        <f>SUMIF(CCMS_DEBT_SUMMARY_C_EXP!$C:$C,N$3,CCMS_DEBT_SUMMARY_C_EXP!$Q:$Q)*-1</f>
        <v/>
      </c>
      <c r="O9" s="13">
        <f>SUMIF(CCMS_DEBT_SUMMARY_C_EXP!$C:$C,O$3,CCMS_DEBT_SUMMARY_C_EXP!$Q:$Q)*-1</f>
        <v/>
      </c>
      <c r="Q9" s="13">
        <f>SUM(K9:P9)</f>
        <v/>
      </c>
    </row>
    <row r="10">
      <c r="B10" t="inlineStr">
        <is>
          <t>Adjustments: Writedown Charge</t>
        </is>
      </c>
      <c r="C10" s="13">
        <f>SUMIF(CCMS_DEBT_SUMMARY_C_EXP!$A:$A,$C$3,CCMS_DEBT_SUMMARY_C_EXP!$P:$P)*-1</f>
        <v/>
      </c>
      <c r="D10" s="13">
        <f>SUMIF(CCMS_DEBT_SUMMARY_C_EXP!$A:$A,$D$3,CCMS_DEBT_SUMMARY_C_EXP!$P:$P)*-1</f>
        <v/>
      </c>
      <c r="E10" s="13">
        <f>SUMIF(CCMS_DEBT_SUMMARY_C_EXP!$A:$A,$E$3,CCMS_DEBT_SUMMARY_C_EXP!$P:$P)*-1</f>
        <v/>
      </c>
      <c r="F10" s="13">
        <f>SUMIF(CCMS_DEBT_SUMMARY_C_EXP!$A:$A,$F$3,CCMS_DEBT_SUMMARY_C_EXP!$P:$P)*-1</f>
        <v/>
      </c>
      <c r="G10" s="13">
        <f>SUMIF(CCMS_DEBT_SUMMARY_C_EXP!$A:$A,$G$3,CCMS_DEBT_SUMMARY_C_EXP!$P:$P)*-1</f>
        <v/>
      </c>
      <c r="I10" s="13">
        <f>SUM(C10:H10)</f>
        <v/>
      </c>
      <c r="K10" s="13">
        <f>SUMIF(CCMS_DEBT_SUMMARY_C_EXP!$C:$C,K$3,CCMS_DEBT_SUMMARY_C_EXP!$P:$P)*-1</f>
        <v/>
      </c>
      <c r="L10" s="13">
        <f>SUMIF(CCMS_DEBT_SUMMARY_C_EXP!$C:$C,L$3,CCMS_DEBT_SUMMARY_C_EXP!$P:$P)*-1</f>
        <v/>
      </c>
      <c r="M10" s="13">
        <f>SUMIF(CCMS_DEBT_SUMMARY_C_EXP!$C:$C,M$3,CCMS_DEBT_SUMMARY_C_EXP!$P:$P)*-1</f>
        <v/>
      </c>
      <c r="N10" s="13">
        <f>SUMIF(CCMS_DEBT_SUMMARY_C_EXP!$C:$C,N$3,CCMS_DEBT_SUMMARY_C_EXP!$P:$P)*-1</f>
        <v/>
      </c>
      <c r="O10" s="13">
        <f>SUMIF(CCMS_DEBT_SUMMARY_C_EXP!$C:$C,O$3,CCMS_DEBT_SUMMARY_C_EXP!$P:$P)*-1</f>
        <v/>
      </c>
      <c r="Q10" s="13">
        <f>SUM(K10:P10)</f>
        <v/>
      </c>
    </row>
    <row r="11">
      <c r="B11" t="inlineStr">
        <is>
          <t>Adjustments: Writedown Debt</t>
        </is>
      </c>
      <c r="C11" s="13">
        <f>SUMIF(CCMS_DEBT_SUMMARY_C_EXP!$A:$A,$C$3,CCMS_DEBT_SUMMARY_C_EXP!$O:$O)*-1</f>
        <v/>
      </c>
      <c r="D11" s="13">
        <f>SUMIF(CCMS_DEBT_SUMMARY_C_EXP!$A:$A,$D$3,CCMS_DEBT_SUMMARY_C_EXP!$O:$O)*-1</f>
        <v/>
      </c>
      <c r="E11" s="13">
        <f>SUMIF(CCMS_DEBT_SUMMARY_C_EXP!$A:$A,$E$3,CCMS_DEBT_SUMMARY_C_EXP!$O:$O)*-1</f>
        <v/>
      </c>
      <c r="F11" s="13">
        <f>SUMIF(CCMS_DEBT_SUMMARY_C_EXP!$A:$A,$F$3,CCMS_DEBT_SUMMARY_C_EXP!$O:$O)*-1</f>
        <v/>
      </c>
      <c r="G11" s="13">
        <f>SUMIF(CCMS_DEBT_SUMMARY_C_EXP!$A:$A,$G$3,CCMS_DEBT_SUMMARY_C_EXP!$O:$O)*-1</f>
        <v/>
      </c>
      <c r="I11" s="13">
        <f>SUM(C11:H11)</f>
        <v/>
      </c>
      <c r="K11" s="13">
        <f>SUMIF(CCMS_DEBT_SUMMARY_C_EXP!$C:$C,K$3,CCMS_DEBT_SUMMARY_C_EXP!$O:$O)*-1</f>
        <v/>
      </c>
      <c r="L11" s="13">
        <f>SUMIF(CCMS_DEBT_SUMMARY_C_EXP!$C:$C,L$3,CCMS_DEBT_SUMMARY_C_EXP!$O:$O)*-1</f>
        <v/>
      </c>
      <c r="M11" s="13">
        <f>SUMIF(CCMS_DEBT_SUMMARY_C_EXP!$C:$C,M$3,CCMS_DEBT_SUMMARY_C_EXP!$O:$O)*-1</f>
        <v/>
      </c>
      <c r="N11" s="13">
        <f>SUMIF(CCMS_DEBT_SUMMARY_C_EXP!$C:$C,N$3,CCMS_DEBT_SUMMARY_C_EXP!$O:$O)*-1</f>
        <v/>
      </c>
      <c r="O11" s="13">
        <f>SUMIF(CCMS_DEBT_SUMMARY_C_EXP!$C:$C,O$3,CCMS_DEBT_SUMMARY_C_EXP!$O:$O)*-1</f>
        <v/>
      </c>
      <c r="Q11" s="13">
        <f>SUM(K11:P11)</f>
        <v/>
      </c>
    </row>
    <row r="12">
      <c r="B12" t="inlineStr">
        <is>
          <t>Cash receipts: Charge</t>
        </is>
      </c>
      <c r="C12" s="13">
        <f>SUMIF(CCMS_DEBT_SUMMARY_C_EXP!$A:$A,$C$3,CCMS_DEBT_SUMMARY_C_EXP!$T:$T)</f>
        <v/>
      </c>
      <c r="D12" s="13">
        <f>SUMIF(CCMS_DEBT_SUMMARY_C_EXP!$A:$A,$D$3,CCMS_DEBT_SUMMARY_C_EXP!$T:$T)</f>
        <v/>
      </c>
      <c r="E12" s="13">
        <f>SUMIF(CCMS_DEBT_SUMMARY_C_EXP!$A:$A,$E$3,CCMS_DEBT_SUMMARY_C_EXP!$T:$T)</f>
        <v/>
      </c>
      <c r="F12" s="13">
        <f>SUMIF(CCMS_DEBT_SUMMARY_C_EXP!$A:$A,$F$3,CCMS_DEBT_SUMMARY_C_EXP!$T:$T)</f>
        <v/>
      </c>
      <c r="G12" s="13">
        <f>SUMIF(CCMS_DEBT_SUMMARY_C_EXP!$A:$A,$G$3,CCMS_DEBT_SUMMARY_C_EXP!$T:$T)</f>
        <v/>
      </c>
      <c r="I12" s="13">
        <f>SUM(C12:H12)</f>
        <v/>
      </c>
      <c r="K12" s="13">
        <f>SUMIF(CCMS_DEBT_SUMMARY_C_EXP!$C:$C,K$3,CCMS_DEBT_SUMMARY_C_EXP!$T:$T)</f>
        <v/>
      </c>
      <c r="L12" s="13">
        <f>SUMIF(CCMS_DEBT_SUMMARY_C_EXP!$C:$C,L$3,CCMS_DEBT_SUMMARY_C_EXP!$T:$T)</f>
        <v/>
      </c>
      <c r="M12" s="13">
        <f>SUMIF(CCMS_DEBT_SUMMARY_C_EXP!$C:$C,M$3,CCMS_DEBT_SUMMARY_C_EXP!$T:$T)</f>
        <v/>
      </c>
      <c r="N12" s="13">
        <f>SUMIF(CCMS_DEBT_SUMMARY_C_EXP!$C:$C,N$3,CCMS_DEBT_SUMMARY_C_EXP!$T:$T)</f>
        <v/>
      </c>
      <c r="O12" s="13">
        <f>SUMIF(CCMS_DEBT_SUMMARY_C_EXP!$C:$C,O$3,CCMS_DEBT_SUMMARY_C_EXP!$T:$T)</f>
        <v/>
      </c>
      <c r="Q12" s="13">
        <f>SUM(K12:P12)</f>
        <v/>
      </c>
    </row>
    <row r="13">
      <c r="B13" t="inlineStr">
        <is>
          <t>Cash receipts: Debt</t>
        </is>
      </c>
      <c r="C13" s="13">
        <f>SUMIF(CCMS_DEBT_SUMMARY_C_EXP!$A:$A,$C$3,CCMS_DEBT_SUMMARY_C_EXP!$S:$S)</f>
        <v/>
      </c>
      <c r="D13" s="13">
        <f>SUMIF(CCMS_DEBT_SUMMARY_C_EXP!$A:$A,$D$3,CCMS_DEBT_SUMMARY_C_EXP!$S:$S)</f>
        <v/>
      </c>
      <c r="E13" s="13">
        <f>SUMIF(CCMS_DEBT_SUMMARY_C_EXP!$A:$A,$E$3,CCMS_DEBT_SUMMARY_C_EXP!$S:$S)</f>
        <v/>
      </c>
      <c r="F13" s="13">
        <f>SUMIF(CCMS_DEBT_SUMMARY_C_EXP!$A:$A,$F$3,CCMS_DEBT_SUMMARY_C_EXP!$S:$S)</f>
        <v/>
      </c>
      <c r="G13" s="13">
        <f>SUMIF(CCMS_DEBT_SUMMARY_C_EXP!$A:$A,$G$3,CCMS_DEBT_SUMMARY_C_EXP!$S:$S)</f>
        <v/>
      </c>
      <c r="I13" s="13">
        <f>SUM(C13:H13)</f>
        <v/>
      </c>
      <c r="K13" s="13">
        <f>SUMIF(CCMS_DEBT_SUMMARY_C_EXP!$C:$C,K$3,CCMS_DEBT_SUMMARY_C_EXP!$S:$S)</f>
        <v/>
      </c>
      <c r="L13" s="13">
        <f>SUMIF(CCMS_DEBT_SUMMARY_C_EXP!$C:$C,L$3,CCMS_DEBT_SUMMARY_C_EXP!$S:$S)</f>
        <v/>
      </c>
      <c r="M13" s="13">
        <f>SUMIF(CCMS_DEBT_SUMMARY_C_EXP!$C:$C,M$3,CCMS_DEBT_SUMMARY_C_EXP!$S:$S)</f>
        <v/>
      </c>
      <c r="N13" s="13">
        <f>SUMIF(CCMS_DEBT_SUMMARY_C_EXP!$C:$C,N$3,CCMS_DEBT_SUMMARY_C_EXP!$S:$S)</f>
        <v/>
      </c>
      <c r="O13" s="13">
        <f>SUMIF(CCMS_DEBT_SUMMARY_C_EXP!$C:$C,O$3,CCMS_DEBT_SUMMARY_C_EXP!$S:$S)</f>
        <v/>
      </c>
      <c r="Q13" s="13">
        <f>SUM(K13:P13)</f>
        <v/>
      </c>
    </row>
    <row r="14">
      <c r="B14" t="inlineStr">
        <is>
          <t>Credit memo: Late Charge</t>
        </is>
      </c>
      <c r="C14" s="13">
        <f>SUMIF(CCMS_DEBT_SUMMARY_C_EXP!$A:$A,C$3,CCMS_DEBT_SUMMARY_C_EXP!$I:$I)</f>
        <v/>
      </c>
      <c r="D14" s="13">
        <f>SUMIF(CCMS_DEBT_SUMMARY_C_EXP!$A:$A,$D$3,CCMS_DEBT_SUMMARY_C_EXP!$I:$I)</f>
        <v/>
      </c>
      <c r="E14" s="13">
        <f>SUMIF(CCMS_DEBT_SUMMARY_C_EXP!$A:$A,$E$3,CCMS_DEBT_SUMMARY_C_EXP!$I:$I)</f>
        <v/>
      </c>
      <c r="F14" s="13">
        <f>SUMIF(CCMS_DEBT_SUMMARY_C_EXP!$A:$A,$F$3,CCMS_DEBT_SUMMARY_C_EXP!$I:$I)</f>
        <v/>
      </c>
      <c r="G14" s="13">
        <f>SUMIF(CCMS_DEBT_SUMMARY_C_EXP!$A:$A,$G$3,CCMS_DEBT_SUMMARY_C_EXP!$I:$I)</f>
        <v/>
      </c>
      <c r="I14" s="13">
        <f>SUM(C14:H14)</f>
        <v/>
      </c>
      <c r="K14" s="13">
        <f>SUMIF(CCMS_DEBT_SUMMARY_C_EXP!$C:$C,K$3,CCMS_DEBT_SUMMARY_C_EXP!$I:$I)</f>
        <v/>
      </c>
      <c r="L14" s="13">
        <f>SUMIF(CCMS_DEBT_SUMMARY_C_EXP!$C:$C,L$3,CCMS_DEBT_SUMMARY_C_EXP!$I:$I)</f>
        <v/>
      </c>
      <c r="M14" s="13">
        <f>SUMIF(CCMS_DEBT_SUMMARY_C_EXP!$C:$C,M$3,CCMS_DEBT_SUMMARY_C_EXP!$I:$I)</f>
        <v/>
      </c>
      <c r="N14" s="13">
        <f>SUMIF(CCMS_DEBT_SUMMARY_C_EXP!$C:$C,N$3,CCMS_DEBT_SUMMARY_C_EXP!$I:$I)</f>
        <v/>
      </c>
      <c r="O14" s="13">
        <f>SUMIF(CCMS_DEBT_SUMMARY_C_EXP!$C:$C,O$3,CCMS_DEBT_SUMMARY_C_EXP!$I:$I)</f>
        <v/>
      </c>
      <c r="Q14" s="13">
        <f>SUM(K14:P14)</f>
        <v/>
      </c>
    </row>
    <row r="15">
      <c r="B15" t="inlineStr">
        <is>
          <t>Credit memo: Debt</t>
        </is>
      </c>
      <c r="C15" s="13">
        <f>SUMIF(CCMS_DEBT_SUMMARY_C_EXP!$A:$A,$C$3,CCMS_DEBT_SUMMARY_C_EXP!$H:$H)</f>
        <v/>
      </c>
      <c r="D15" s="13">
        <f>SUMIF(CCMS_DEBT_SUMMARY_C_EXP!$A:$A,$D$3,CCMS_DEBT_SUMMARY_C_EXP!$H:$H)</f>
        <v/>
      </c>
      <c r="E15" s="13">
        <f>SUMIF(CCMS_DEBT_SUMMARY_C_EXP!$A:$A,$E$3,CCMS_DEBT_SUMMARY_C_EXP!$H:$H)</f>
        <v/>
      </c>
      <c r="F15" s="13">
        <f>SUMIF(CCMS_DEBT_SUMMARY_C_EXP!$A:$A,$F$3,CCMS_DEBT_SUMMARY_C_EXP!$H:$H)</f>
        <v/>
      </c>
      <c r="G15" s="13">
        <f>SUMIF(CCMS_DEBT_SUMMARY_C_EXP!$A:$A,$G$3,CCMS_DEBT_SUMMARY_C_EXP!$H:$H)</f>
        <v/>
      </c>
      <c r="I15" s="13">
        <f>SUM(C15:H15)</f>
        <v/>
      </c>
      <c r="K15" s="13">
        <f>SUMIF(CCMS_DEBT_SUMMARY_C_EXP!$C:$C,K$3,CCMS_DEBT_SUMMARY_C_EXP!$H:$H)</f>
        <v/>
      </c>
      <c r="L15" s="13">
        <f>SUMIF(CCMS_DEBT_SUMMARY_C_EXP!$C:$C,L$3,CCMS_DEBT_SUMMARY_C_EXP!$H:$H)</f>
        <v/>
      </c>
      <c r="M15" s="13">
        <f>SUMIF(CCMS_DEBT_SUMMARY_C_EXP!$C:$C,M$3,CCMS_DEBT_SUMMARY_C_EXP!$H:$H)</f>
        <v/>
      </c>
      <c r="N15" s="13">
        <f>SUMIF(CCMS_DEBT_SUMMARY_C_EXP!$C:$C,N$3,CCMS_DEBT_SUMMARY_C_EXP!$H:$H)</f>
        <v/>
      </c>
      <c r="O15" s="13">
        <f>SUMIF(CCMS_DEBT_SUMMARY_C_EXP!$C:$C,O$3,CCMS_DEBT_SUMMARY_C_EXP!$H:$H)</f>
        <v/>
      </c>
      <c r="Q15" s="13">
        <f>SUM(K15:P15)</f>
        <v/>
      </c>
    </row>
    <row r="17">
      <c r="B17" t="inlineStr">
        <is>
          <t>Balance Principal</t>
        </is>
      </c>
      <c r="C17" s="13">
        <f>C4-C6-C7-C9-C11-C13-C15</f>
        <v/>
      </c>
      <c r="D17" s="13">
        <f>D4-D6-D7-D9-D11-D13-D15</f>
        <v/>
      </c>
      <c r="E17" s="13">
        <f>E4-E6-E7-E9-E11-E13-E15</f>
        <v/>
      </c>
      <c r="F17" s="13">
        <f>F4-F6-F7-F9-F11-F13-F15</f>
        <v/>
      </c>
      <c r="G17" s="13">
        <f>G4-G6-G7-G9-G11-G13-G15</f>
        <v/>
      </c>
      <c r="I17" s="13">
        <f>I4-I6-I7-I9-I11-I13-I15</f>
        <v/>
      </c>
      <c r="K17" s="13">
        <f>K4-K6-K7-K9-K11-K13-K15</f>
        <v/>
      </c>
      <c r="L17" s="13">
        <f>L4-L6-L7-L9-L11-L13-L15</f>
        <v/>
      </c>
      <c r="M17" s="13">
        <f>M4-M6-M7-M9-M11-M13-M15</f>
        <v/>
      </c>
      <c r="N17" s="13">
        <f>N4-N6-N7-N9-N11-N13-N15</f>
        <v/>
      </c>
      <c r="O17" s="13">
        <f>O4-O6-O7-O9-O11-O13-O15</f>
        <v/>
      </c>
      <c r="Q17" s="13">
        <f>SUM(K17:P17)</f>
        <v/>
      </c>
    </row>
    <row r="19">
      <c r="B19" t="inlineStr">
        <is>
          <t>Balance Charges</t>
        </is>
      </c>
      <c r="C19" s="13">
        <f>-C5-C8-C10-C12-C14</f>
        <v/>
      </c>
      <c r="D19" s="13">
        <f>-D5-D8-D10-D12-D14</f>
        <v/>
      </c>
      <c r="E19" s="13">
        <f>-E5-E8-E10-E12-E14</f>
        <v/>
      </c>
      <c r="F19" s="13">
        <f>-F5-F8-F10-F12-F14</f>
        <v/>
      </c>
      <c r="G19" s="13">
        <f>-G5-G8-G10-G12-G14</f>
        <v/>
      </c>
      <c r="I19" s="13">
        <f>-I5-I8-I10-I12-I14</f>
        <v/>
      </c>
      <c r="K19" s="13">
        <f>-K5-K8-K10-K12-K14</f>
        <v/>
      </c>
      <c r="L19" s="13">
        <f>-L5-L8-L10-L12-L14</f>
        <v/>
      </c>
      <c r="M19" s="13">
        <f>-M5-M8-M10-M12-M14</f>
        <v/>
      </c>
      <c r="N19" s="13">
        <f>-N5-N8-N10-N12-N14</f>
        <v/>
      </c>
      <c r="O19" s="13">
        <f>-O5-O8-O10-O12-O14</f>
        <v/>
      </c>
      <c r="Q19" s="13">
        <f>SUM(K19:P19)</f>
        <v/>
      </c>
    </row>
    <row r="21">
      <c r="B21" t="inlineStr">
        <is>
          <t>Movement Summaries</t>
        </is>
      </c>
    </row>
    <row r="23">
      <c r="B23" t="inlineStr">
        <is>
          <t>Principal</t>
        </is>
      </c>
    </row>
    <row r="24">
      <c r="B24" t="inlineStr">
        <is>
          <t>Transaction Type</t>
        </is>
      </c>
      <c r="C24" s="13" t="inlineStr">
        <is>
          <t>Civil</t>
        </is>
      </c>
      <c r="D24" s="13" t="inlineStr">
        <is>
          <t>Crime Higher</t>
        </is>
      </c>
      <c r="E24" s="13" t="inlineStr">
        <is>
          <t>Other</t>
        </is>
      </c>
      <c r="F24" s="13" t="inlineStr">
        <is>
          <t>Provider</t>
        </is>
      </c>
      <c r="G24" s="13" t="inlineStr">
        <is>
          <t>Staff Debt</t>
        </is>
      </c>
      <c r="I24" s="13" t="inlineStr">
        <is>
          <t>Total</t>
        </is>
      </c>
    </row>
    <row r="25">
      <c r="B25" t="inlineStr">
        <is>
          <t>1) Debt invoices</t>
        </is>
      </c>
      <c r="C25" s="13">
        <f>C4</f>
        <v/>
      </c>
      <c r="D25" s="13">
        <f>D4</f>
        <v/>
      </c>
      <c r="E25" s="13">
        <f>E4</f>
        <v/>
      </c>
      <c r="F25" s="13">
        <f>F4</f>
        <v/>
      </c>
      <c r="G25" s="13">
        <f>G4</f>
        <v/>
      </c>
      <c r="I25" s="13">
        <f>I4</f>
        <v/>
      </c>
    </row>
    <row r="26">
      <c r="B26" t="inlineStr">
        <is>
          <t>2) Adjustment: Other Increasing Debt</t>
        </is>
      </c>
      <c r="C26" s="13">
        <f>C6</f>
        <v/>
      </c>
      <c r="D26" s="13">
        <f>D6</f>
        <v/>
      </c>
      <c r="E26" s="13">
        <f>E6</f>
        <v/>
      </c>
      <c r="F26" s="13">
        <f>F6</f>
        <v/>
      </c>
      <c r="G26" s="13">
        <f>G6</f>
        <v/>
      </c>
      <c r="I26" s="13">
        <f>I6</f>
        <v/>
      </c>
    </row>
    <row r="27">
      <c r="B27" t="inlineStr">
        <is>
          <t>3) Adjustments: Other Lowering Debt</t>
        </is>
      </c>
      <c r="C27" s="13">
        <f>C7</f>
        <v/>
      </c>
      <c r="D27" s="13">
        <f>D7</f>
        <v/>
      </c>
      <c r="E27" s="13">
        <f>E7</f>
        <v/>
      </c>
      <c r="F27" s="13">
        <f>F7</f>
        <v/>
      </c>
      <c r="G27" s="13">
        <f>G7</f>
        <v/>
      </c>
      <c r="I27" s="13">
        <f>I7</f>
        <v/>
      </c>
    </row>
    <row r="28">
      <c r="B28" t="inlineStr">
        <is>
          <t>4) Adjustments: Writeoff Debt</t>
        </is>
      </c>
      <c r="C28" s="13">
        <f>C9</f>
        <v/>
      </c>
      <c r="D28" s="13">
        <f>D9</f>
        <v/>
      </c>
      <c r="E28" s="13">
        <f>E9</f>
        <v/>
      </c>
      <c r="F28" s="13">
        <f>F9</f>
        <v/>
      </c>
      <c r="G28" s="13">
        <f>G9</f>
        <v/>
      </c>
      <c r="I28" s="13">
        <f>I9</f>
        <v/>
      </c>
    </row>
    <row r="29">
      <c r="B29" t="inlineStr">
        <is>
          <t>5) Adjustments: Writedown Debt</t>
        </is>
      </c>
      <c r="C29" s="13">
        <f>C11</f>
        <v/>
      </c>
      <c r="D29" s="13">
        <f>D11</f>
        <v/>
      </c>
      <c r="E29" s="13">
        <f>E11</f>
        <v/>
      </c>
      <c r="F29" s="13">
        <f>F11</f>
        <v/>
      </c>
      <c r="G29" s="13">
        <f>G11</f>
        <v/>
      </c>
      <c r="I29" s="13">
        <f>I11</f>
        <v/>
      </c>
    </row>
    <row r="30">
      <c r="B30" t="inlineStr">
        <is>
          <t>6) Cash receipts: Debt</t>
        </is>
      </c>
      <c r="C30" s="13">
        <f>C13</f>
        <v/>
      </c>
      <c r="D30" s="13">
        <f>D13</f>
        <v/>
      </c>
      <c r="E30" s="13">
        <f>E13</f>
        <v/>
      </c>
      <c r="F30" s="13">
        <f>F13</f>
        <v/>
      </c>
      <c r="G30" s="13">
        <f>G13</f>
        <v/>
      </c>
      <c r="I30" s="13">
        <f>I13</f>
        <v/>
      </c>
    </row>
    <row r="31">
      <c r="B31" t="inlineStr">
        <is>
          <t>7) Credit memo: Debt</t>
        </is>
      </c>
      <c r="C31" s="13">
        <f>C15</f>
        <v/>
      </c>
      <c r="D31" s="13">
        <f>D15</f>
        <v/>
      </c>
      <c r="E31" s="13">
        <f>E15</f>
        <v/>
      </c>
      <c r="F31" s="13">
        <f>F15</f>
        <v/>
      </c>
      <c r="G31" s="13">
        <f>G15</f>
        <v/>
      </c>
      <c r="I31" s="13">
        <f>I15</f>
        <v/>
      </c>
    </row>
    <row r="32" ht="15.75" customHeight="1" thickBot="1">
      <c r="B32" t="inlineStr">
        <is>
          <t>Total</t>
        </is>
      </c>
      <c r="C32" s="13">
        <f>C25-SUM(C26:C31)</f>
        <v/>
      </c>
      <c r="D32" s="13">
        <f>D25-SUM(D26:D31)</f>
        <v/>
      </c>
      <c r="E32" s="13">
        <f>E25-SUM(E26:E31)</f>
        <v/>
      </c>
      <c r="F32" s="13">
        <f>F25-SUM(F26:F31)</f>
        <v/>
      </c>
      <c r="G32" s="13">
        <f>G25-SUM(G26:G31)</f>
        <v/>
      </c>
      <c r="I32" s="13">
        <f>I25-SUM(I26:I31)</f>
        <v/>
      </c>
    </row>
    <row r="33" ht="15.75" customHeight="1" thickTop="1">
      <c r="B33" t="inlineStr">
        <is>
          <t>CHECKSUM</t>
        </is>
      </c>
      <c r="C33" s="13">
        <f>C32-C17</f>
        <v/>
      </c>
      <c r="D33" s="13">
        <f>D32-D17</f>
        <v/>
      </c>
      <c r="E33" s="13">
        <f>E32-E17</f>
        <v/>
      </c>
      <c r="F33" s="13">
        <f>F32-F17</f>
        <v/>
      </c>
      <c r="G33" s="13">
        <f>G32-G17</f>
        <v/>
      </c>
      <c r="I33" s="13">
        <f>I32-I17</f>
        <v/>
      </c>
    </row>
    <row r="35">
      <c r="B35" t="inlineStr">
        <is>
          <t>Late Charges</t>
        </is>
      </c>
    </row>
    <row r="36">
      <c r="B36" t="inlineStr">
        <is>
          <t>Transaction Type</t>
        </is>
      </c>
      <c r="C36" s="13" t="inlineStr">
        <is>
          <t>Civil</t>
        </is>
      </c>
      <c r="D36" s="13" t="inlineStr">
        <is>
          <t>Crime Higher</t>
        </is>
      </c>
      <c r="E36" s="13" t="inlineStr">
        <is>
          <t>Other</t>
        </is>
      </c>
      <c r="F36" s="13" t="inlineStr">
        <is>
          <t>Provider</t>
        </is>
      </c>
      <c r="G36" s="13" t="inlineStr">
        <is>
          <t>Staff Debt</t>
        </is>
      </c>
      <c r="I36" s="13" t="inlineStr">
        <is>
          <t>Total</t>
        </is>
      </c>
    </row>
    <row r="37">
      <c r="B37" t="inlineStr">
        <is>
          <t>8) Adjustment Charges</t>
        </is>
      </c>
      <c r="C37" s="13">
        <f>C5</f>
        <v/>
      </c>
      <c r="D37" s="13">
        <f>D5</f>
        <v/>
      </c>
      <c r="E37" s="13">
        <f>E5</f>
        <v/>
      </c>
      <c r="F37" s="13">
        <f>F5</f>
        <v/>
      </c>
      <c r="G37" s="13">
        <f>G5</f>
        <v/>
      </c>
      <c r="I37" s="13">
        <f>I5</f>
        <v/>
      </c>
    </row>
    <row r="38">
      <c r="B38" t="inlineStr">
        <is>
          <t>9) Adjustments: Writeoff Charge</t>
        </is>
      </c>
      <c r="C38" s="13">
        <f>C8</f>
        <v/>
      </c>
      <c r="D38" s="13">
        <f>D8</f>
        <v/>
      </c>
      <c r="E38" s="13">
        <f>E8</f>
        <v/>
      </c>
      <c r="F38" s="13">
        <f>F8</f>
        <v/>
      </c>
      <c r="G38" s="13">
        <f>G8</f>
        <v/>
      </c>
      <c r="I38" s="13">
        <f>I8</f>
        <v/>
      </c>
    </row>
    <row r="39">
      <c r="B39" t="inlineStr">
        <is>
          <t>10) Adjustments: Writedown Charge</t>
        </is>
      </c>
      <c r="C39" s="13">
        <f>C10</f>
        <v/>
      </c>
      <c r="D39" s="13">
        <f>D10</f>
        <v/>
      </c>
      <c r="E39" s="13">
        <f>E10</f>
        <v/>
      </c>
      <c r="F39" s="13">
        <f>F10</f>
        <v/>
      </c>
      <c r="G39" s="13">
        <f>G10</f>
        <v/>
      </c>
      <c r="I39" s="13">
        <f>I10</f>
        <v/>
      </c>
    </row>
    <row r="40">
      <c r="B40" t="inlineStr">
        <is>
          <t>11) Cash receipts: Charge</t>
        </is>
      </c>
      <c r="C40" s="13">
        <f>C12</f>
        <v/>
      </c>
      <c r="D40" s="13">
        <f>D12</f>
        <v/>
      </c>
      <c r="E40" s="13">
        <f>E12</f>
        <v/>
      </c>
      <c r="F40" s="13">
        <f>F12</f>
        <v/>
      </c>
      <c r="G40" s="13">
        <f>G12</f>
        <v/>
      </c>
      <c r="I40" s="13">
        <f>I12</f>
        <v/>
      </c>
    </row>
    <row r="41">
      <c r="B41" t="inlineStr">
        <is>
          <t>12) Credit memo: Late Charge</t>
        </is>
      </c>
      <c r="C41" s="13">
        <f>C14</f>
        <v/>
      </c>
      <c r="D41" s="13">
        <f>D14</f>
        <v/>
      </c>
      <c r="E41" s="13">
        <f>E14</f>
        <v/>
      </c>
      <c r="F41" s="13">
        <f>F14</f>
        <v/>
      </c>
      <c r="G41" s="13">
        <f>G14</f>
        <v/>
      </c>
      <c r="I41" s="13">
        <f>I14</f>
        <v/>
      </c>
    </row>
    <row r="42" ht="15.75" customHeight="1" thickBot="1">
      <c r="B42" t="inlineStr">
        <is>
          <t>Total</t>
        </is>
      </c>
      <c r="C42" s="13">
        <f>-C37-C38-C39-C40-C41</f>
        <v/>
      </c>
      <c r="D42" s="13">
        <f>-D37-D38-D39-D40-D41</f>
        <v/>
      </c>
      <c r="E42" s="13">
        <f>-E37-E38-E39-E40-E41</f>
        <v/>
      </c>
      <c r="F42" s="13">
        <f>-F37-F38-F39-F40-F41</f>
        <v/>
      </c>
      <c r="G42" s="13">
        <f>-G37-G38-G39-G40-G41</f>
        <v/>
      </c>
      <c r="I42" s="13">
        <f>-I37-I38-I39-I40-I41</f>
        <v/>
      </c>
    </row>
    <row r="43" ht="15.75" customHeight="1" thickTop="1">
      <c r="B43" t="inlineStr">
        <is>
          <t>CHECKSUM</t>
        </is>
      </c>
      <c r="C43" s="13">
        <f>C42-C19</f>
        <v/>
      </c>
      <c r="D43" s="13">
        <f>D42-D19</f>
        <v/>
      </c>
      <c r="E43" s="13">
        <f>E42-E19</f>
        <v/>
      </c>
      <c r="F43" s="13">
        <f>F42-F19</f>
        <v/>
      </c>
      <c r="G43" s="13">
        <f>G42-G19</f>
        <v/>
      </c>
      <c r="I43" s="13">
        <f>I42-I19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B2:K51"/>
  <sheetViews>
    <sheetView workbookViewId="0">
      <pane xSplit="2" topLeftCell="C1" activePane="topRight" state="frozen"/>
      <selection pane="topRight" activeCell="D16" sqref="D16"/>
      <selection activeCell="A2" sqref="A2"/>
    </sheetView>
  </sheetViews>
  <sheetFormatPr baseColWidth="8" defaultRowHeight="15"/>
  <cols>
    <col width="5.7109375" customWidth="1" min="1" max="1"/>
    <col width="45" bestFit="1" customWidth="1" min="2" max="2"/>
    <col width="16.7109375" bestFit="1" customWidth="1" style="13" min="3" max="3"/>
    <col width="15.85546875" bestFit="1" customWidth="1" style="13" min="4" max="4"/>
    <col width="16.28515625" bestFit="1" customWidth="1" style="13" min="5" max="5"/>
    <col width="18.42578125" bestFit="1" customWidth="1" style="13" min="6" max="6"/>
    <col width="17" bestFit="1" customWidth="1" style="13" min="7" max="7"/>
    <col width="6.28515625" customWidth="1" style="13" min="8" max="8"/>
    <col width="17" bestFit="1" customWidth="1" style="13" min="9" max="9"/>
    <col width="5.28515625" customWidth="1" style="13" min="10" max="10"/>
    <col width="23.7109375" bestFit="1" customWidth="1" style="13" min="11" max="11"/>
    <col width="19.85546875" bestFit="1" customWidth="1" min="12" max="12"/>
    <col width="21" bestFit="1" customWidth="1" min="13" max="13"/>
    <col width="23.7109375" bestFit="1" customWidth="1" min="14" max="14"/>
    <col width="19.85546875" bestFit="1" customWidth="1" min="15" max="15"/>
    <col width="20.85546875" bestFit="1" customWidth="1" min="16" max="16"/>
    <col width="23.5703125" bestFit="1" customWidth="1" min="17" max="17"/>
    <col width="19.7109375" bestFit="1" customWidth="1" min="18" max="18"/>
    <col width="21" bestFit="1" customWidth="1" min="19" max="19"/>
    <col width="28.5703125" bestFit="1" customWidth="1" min="20" max="20"/>
    <col width="24.7109375" bestFit="1" customWidth="1" min="21" max="21"/>
    <col width="20.5703125" bestFit="1" customWidth="1" min="22" max="22"/>
    <col width="23.28515625" bestFit="1" customWidth="1" min="23" max="23"/>
    <col width="19.42578125" bestFit="1" customWidth="1" min="24" max="24"/>
    <col width="12" bestFit="1" customWidth="1" min="25" max="25"/>
    <col width="17.7109375" bestFit="1" customWidth="1" min="26" max="26"/>
    <col width="20.28515625" bestFit="1" customWidth="1" min="27" max="27"/>
    <col width="16.42578125" bestFit="1" customWidth="1" min="28" max="28"/>
    <col width="17.7109375" bestFit="1" customWidth="1" min="29" max="29"/>
    <col width="20.28515625" bestFit="1" customWidth="1" min="30" max="30"/>
    <col width="16.42578125" bestFit="1" customWidth="1" min="31" max="31"/>
    <col width="17.5703125" bestFit="1" customWidth="1" min="32" max="32"/>
    <col width="20.140625" bestFit="1" customWidth="1" min="33" max="33"/>
    <col width="16.28515625" bestFit="1" customWidth="1" min="34" max="34"/>
    <col width="17.7109375" bestFit="1" customWidth="1" min="35" max="35"/>
    <col width="25.140625" bestFit="1" customWidth="1" min="36" max="36"/>
    <col width="21.42578125" bestFit="1" customWidth="1" min="37" max="37"/>
    <col width="17.28515625" bestFit="1" customWidth="1" min="38" max="38"/>
    <col width="19.85546875" bestFit="1" customWidth="1" min="39" max="39"/>
    <col width="16" bestFit="1" customWidth="1" min="40" max="40"/>
    <col width="32.7109375" bestFit="1" customWidth="1" min="41" max="41"/>
    <col width="34.42578125" bestFit="1" customWidth="1" min="42" max="42"/>
    <col width="31.140625" bestFit="1" customWidth="1" min="43" max="43"/>
    <col width="32.7109375" bestFit="1" customWidth="1" min="44" max="44"/>
    <col width="37.140625" bestFit="1" customWidth="1" min="45" max="45"/>
    <col width="15.42578125" bestFit="1" customWidth="1" min="46" max="46"/>
    <col width="21" bestFit="1" customWidth="1" min="47" max="47"/>
    <col width="23.7109375" bestFit="1" customWidth="1" min="48" max="48"/>
    <col width="19.85546875" bestFit="1" customWidth="1" min="49" max="49"/>
    <col width="21" bestFit="1" customWidth="1" min="50" max="50"/>
    <col width="23.7109375" bestFit="1" customWidth="1" min="51" max="51"/>
    <col width="19.85546875" bestFit="1" customWidth="1" min="52" max="52"/>
    <col width="20.85546875" bestFit="1" customWidth="1" min="53" max="53"/>
    <col width="23.5703125" bestFit="1" customWidth="1" min="54" max="54"/>
    <col width="19.7109375" bestFit="1" customWidth="1" min="55" max="55"/>
    <col width="21" bestFit="1" customWidth="1" min="56" max="56"/>
    <col width="28.5703125" bestFit="1" customWidth="1" min="57" max="57"/>
    <col width="24.7109375" bestFit="1" customWidth="1" min="58" max="58"/>
    <col width="20.5703125" bestFit="1" customWidth="1" min="59" max="59"/>
    <col width="23.28515625" bestFit="1" customWidth="1" min="60" max="60"/>
    <col width="19.42578125" bestFit="1" customWidth="1" min="61" max="61"/>
    <col width="18.42578125" bestFit="1" customWidth="1" min="62" max="62"/>
    <col width="24" bestFit="1" customWidth="1" min="63" max="63"/>
    <col width="26.7109375" bestFit="1" customWidth="1" min="64" max="64"/>
    <col width="22.85546875" bestFit="1" customWidth="1" min="65" max="65"/>
    <col width="24" bestFit="1" customWidth="1" min="66" max="66"/>
    <col width="26.7109375" bestFit="1" customWidth="1" min="67" max="67"/>
    <col width="22.85546875" bestFit="1" customWidth="1" min="68" max="68"/>
    <col width="23.85546875" bestFit="1" customWidth="1" min="69" max="69"/>
    <col width="26.5703125" bestFit="1" customWidth="1" min="70" max="70"/>
    <col width="22.7109375" bestFit="1" customWidth="1" min="71" max="71"/>
    <col width="24" bestFit="1" customWidth="1" min="72" max="72"/>
    <col width="31.5703125" bestFit="1" customWidth="1" min="73" max="73"/>
    <col width="27.7109375" bestFit="1" customWidth="1" min="74" max="74"/>
    <col width="23.5703125" bestFit="1" customWidth="1" min="75" max="75"/>
    <col width="26.28515625" bestFit="1" customWidth="1" min="76" max="76"/>
    <col width="22.42578125" bestFit="1" customWidth="1" min="77" max="77"/>
    <col width="14.5703125" bestFit="1" customWidth="1" min="78" max="78"/>
    <col width="20.140625" bestFit="1" customWidth="1" min="79" max="79"/>
    <col width="22.85546875" bestFit="1" customWidth="1" min="80" max="80"/>
    <col width="19" bestFit="1" customWidth="1" min="81" max="81"/>
    <col width="20.140625" bestFit="1" customWidth="1" min="82" max="82"/>
    <col width="22.85546875" bestFit="1" customWidth="1" min="83" max="83"/>
    <col width="19" bestFit="1" customWidth="1" min="84" max="84"/>
    <col width="20" bestFit="1" customWidth="1" min="85" max="85"/>
    <col width="22.7109375" bestFit="1" customWidth="1" min="86" max="86"/>
    <col width="18.85546875" bestFit="1" customWidth="1" min="87" max="87"/>
    <col width="20.140625" bestFit="1" customWidth="1" min="88" max="88"/>
    <col width="27.7109375" bestFit="1" customWidth="1" min="89" max="89"/>
    <col width="23.85546875" bestFit="1" customWidth="1" min="90" max="90"/>
    <col width="19.7109375" bestFit="1" customWidth="1" min="91" max="91"/>
    <col width="22.42578125" bestFit="1" customWidth="1" min="92" max="92"/>
    <col width="18.5703125" bestFit="1" customWidth="1" min="93" max="93"/>
    <col width="16.28515625" bestFit="1" customWidth="1" min="94" max="94"/>
    <col width="20.28515625" bestFit="1" customWidth="1" min="95" max="95"/>
    <col width="11.5703125" bestFit="1" customWidth="1" min="96" max="96"/>
    <col width="25.5703125" bestFit="1" customWidth="1" min="97" max="97"/>
    <col width="24.28515625" bestFit="1" customWidth="1" min="98" max="99"/>
    <col width="23.85546875" bestFit="1" customWidth="1" min="100" max="100"/>
    <col width="24.28515625" bestFit="1" customWidth="1" min="101" max="101"/>
    <col width="24.140625" bestFit="1" customWidth="1" min="102" max="102"/>
    <col width="22.140625" bestFit="1" customWidth="1" min="103" max="103"/>
    <col width="20.85546875" bestFit="1" customWidth="1" min="104" max="105"/>
    <col width="20.42578125" bestFit="1" customWidth="1" min="106" max="106"/>
    <col width="20.85546875" bestFit="1" customWidth="1" min="107" max="107"/>
    <col width="20.7109375" bestFit="1" customWidth="1" min="108" max="108"/>
    <col width="25.5703125" bestFit="1" customWidth="1" min="109" max="109"/>
    <col width="24.28515625" bestFit="1" customWidth="1" min="110" max="111"/>
    <col width="23.85546875" bestFit="1" customWidth="1" min="112" max="112"/>
    <col width="24.28515625" bestFit="1" customWidth="1" min="113" max="113"/>
    <col width="24.140625" bestFit="1" customWidth="1" min="114" max="114"/>
    <col width="23.5703125" bestFit="1" customWidth="1" min="115" max="115"/>
    <col width="22.42578125" bestFit="1" customWidth="1" min="116" max="117"/>
    <col width="22" bestFit="1" customWidth="1" min="118" max="118"/>
    <col width="22.42578125" bestFit="1" customWidth="1" min="119" max="119"/>
    <col width="22.28515625" bestFit="1" customWidth="1" min="120" max="120"/>
    <col width="24.5703125" bestFit="1" customWidth="1" min="121" max="121"/>
    <col width="23.42578125" bestFit="1" customWidth="1" min="122" max="123"/>
    <col width="23" bestFit="1" customWidth="1" min="124" max="124"/>
    <col width="23.42578125" bestFit="1" customWidth="1" min="125" max="125"/>
    <col width="23.28515625" bestFit="1" customWidth="1" min="126" max="126"/>
    <col width="27.42578125" bestFit="1" customWidth="1" min="127" max="127"/>
    <col width="26.28515625" bestFit="1" customWidth="1" min="128" max="129"/>
    <col width="25.85546875" bestFit="1" customWidth="1" min="130" max="130"/>
    <col width="26.28515625" bestFit="1" customWidth="1" min="131" max="131"/>
    <col width="26.140625" bestFit="1" customWidth="1" min="132" max="132"/>
    <col width="24" bestFit="1" customWidth="1" min="133" max="133"/>
    <col width="22.85546875" bestFit="1" customWidth="1" min="134" max="135"/>
    <col width="22.42578125" bestFit="1" customWidth="1" min="136" max="136"/>
    <col width="22.85546875" bestFit="1" customWidth="1" min="137" max="137"/>
    <col width="22.7109375" bestFit="1" customWidth="1" min="138" max="138"/>
    <col width="27.42578125" bestFit="1" customWidth="1" min="139" max="139"/>
    <col width="26.28515625" bestFit="1" customWidth="1" min="140" max="141"/>
    <col width="25.85546875" bestFit="1" customWidth="1" min="142" max="142"/>
    <col width="26.28515625" bestFit="1" customWidth="1" min="143" max="143"/>
    <col width="26.140625" bestFit="1" customWidth="1" min="144" max="144"/>
    <col width="25.5703125" bestFit="1" customWidth="1" min="145" max="145"/>
    <col width="24.28515625" bestFit="1" customWidth="1" min="146" max="147"/>
    <col width="23.85546875" bestFit="1" customWidth="1" min="148" max="148"/>
    <col width="24.28515625" bestFit="1" customWidth="1" min="149" max="149"/>
    <col width="24.140625" bestFit="1" customWidth="1" min="150" max="150"/>
    <col width="26.5703125" bestFit="1" customWidth="1" min="151" max="151"/>
    <col width="25.28515625" bestFit="1" customWidth="1" min="152" max="153"/>
    <col width="24.85546875" bestFit="1" customWidth="1" min="154" max="154"/>
    <col width="25.28515625" bestFit="1" customWidth="1" min="155" max="155"/>
    <col width="25.140625" bestFit="1" customWidth="1" min="156" max="156"/>
    <col width="23.7109375" bestFit="1" customWidth="1" min="157" max="157"/>
    <col width="19.85546875" bestFit="1" customWidth="1" min="158" max="158"/>
    <col width="16.42578125" bestFit="1" customWidth="1" min="159" max="159"/>
    <col width="19.85546875" bestFit="1" customWidth="1" min="160" max="160"/>
    <col width="18" bestFit="1" customWidth="1" min="161" max="161"/>
    <col width="19" bestFit="1" customWidth="1" min="162" max="162"/>
    <col width="24.42578125" bestFit="1" customWidth="1" min="163" max="163"/>
    <col width="21" bestFit="1" customWidth="1" min="164" max="164"/>
    <col width="24.42578125" bestFit="1" customWidth="1" min="165" max="165"/>
    <col width="22.5703125" bestFit="1" customWidth="1" min="166" max="166"/>
    <col width="23.5703125" bestFit="1" customWidth="1" min="167" max="167"/>
    <col width="20.28515625" bestFit="1" customWidth="1" min="168" max="168"/>
    <col width="26.42578125" bestFit="1" customWidth="1" min="169" max="169"/>
    <col width="23" bestFit="1" customWidth="1" min="170" max="170"/>
    <col width="26.42578125" bestFit="1" customWidth="1" min="171" max="171"/>
    <col width="24.42578125" bestFit="1" customWidth="1" min="172" max="172"/>
    <col width="25.5703125" bestFit="1" customWidth="1" min="173" max="173"/>
  </cols>
  <sheetData>
    <row r="2">
      <c r="B2" t="inlineStr">
        <is>
          <t xml:space="preserve">Debt transactions linked to Civil Cases </t>
        </is>
      </c>
    </row>
    <row r="4">
      <c r="B4" t="inlineStr">
        <is>
          <t>Debt Transactions</t>
        </is>
      </c>
    </row>
    <row r="6">
      <c r="B6" t="inlineStr">
        <is>
          <t>Transaction Type</t>
        </is>
      </c>
      <c r="C6" s="13" t="inlineStr">
        <is>
          <t>Contributions</t>
        </is>
      </c>
      <c r="D6" s="13" t="inlineStr">
        <is>
          <t>Costs</t>
        </is>
      </c>
      <c r="E6" s="13" t="inlineStr">
        <is>
          <t>Damages</t>
        </is>
      </c>
      <c r="F6" s="13" t="inlineStr">
        <is>
          <t>Revocation</t>
        </is>
      </c>
      <c r="G6" s="13" t="inlineStr">
        <is>
          <t>Statutory charge</t>
        </is>
      </c>
      <c r="I6" s="13" t="inlineStr">
        <is>
          <t>Total</t>
        </is>
      </c>
      <c r="K6" s="13" t="inlineStr">
        <is>
          <t>Principal Checksums</t>
        </is>
      </c>
    </row>
    <row r="7">
      <c r="B7" t="inlineStr">
        <is>
          <t>Debt invoices</t>
        </is>
      </c>
      <c r="C7" s="13">
        <f>SUM(CCMS_CASE_TOTALS_TRUE!R:R)</f>
        <v/>
      </c>
      <c r="D7" s="13">
        <f>SUM(CCMS_CASE_TOTALS_TRUE!AJ:AJ)</f>
        <v/>
      </c>
      <c r="E7" s="13">
        <f>SUM(CCMS_CASE_TOTALS_TRUE!BG:BG)</f>
        <v/>
      </c>
      <c r="F7" s="13">
        <f>SUM(CCMS_CASE_TOTALS_TRUE!BY:BY)</f>
        <v/>
      </c>
      <c r="G7" s="13">
        <f>SUM(CCMS_CASE_TOTALS_TRUE!CQ:CQ)</f>
        <v/>
      </c>
      <c r="I7" s="13">
        <f>SUM(C7:H7)</f>
        <v/>
      </c>
      <c r="K7" s="13">
        <f>I27+I41-I7</f>
        <v/>
      </c>
    </row>
    <row r="8">
      <c r="B8" t="inlineStr">
        <is>
          <t>Adjustment Charges</t>
        </is>
      </c>
      <c r="C8" s="13">
        <f>SUM(CCMS_CASE_TOTALS_TRUE!T:T)</f>
        <v/>
      </c>
      <c r="D8" s="13">
        <f>SUM(CCMS_CASE_TOTALS_TRUE!AL:AL)</f>
        <v/>
      </c>
      <c r="E8" s="13">
        <f>SUM(CCMS_CASE_TOTALS_TRUE!BI:BI)</f>
        <v/>
      </c>
      <c r="F8" s="13">
        <f>SUM(CCMS_CASE_TOTALS_TRUE!CA:CA)</f>
        <v/>
      </c>
      <c r="G8" s="13">
        <f>SUM(CCMS_CASE_TOTALS_TRUE!CS:CS)</f>
        <v/>
      </c>
      <c r="I8" s="13">
        <f>SUM(C8:H8)</f>
        <v/>
      </c>
    </row>
    <row r="9">
      <c r="B9" t="inlineStr">
        <is>
          <t>Adjustment: Other Increasing debt</t>
        </is>
      </c>
      <c r="C9" s="13">
        <f>SUM(CCMS_CASE_TOTALS_TRUE!V:V)</f>
        <v/>
      </c>
      <c r="D9" s="13">
        <f>SUM(CCMS_CASE_TOTALS_TRUE!AN:AN)</f>
        <v/>
      </c>
      <c r="E9" s="13">
        <f>SUM(CCMS_CASE_TOTALS_TRUE!BK:BK)</f>
        <v/>
      </c>
      <c r="F9" s="13">
        <f>SUM(CCMS_CASE_TOTALS_TRUE!CC:CC)</f>
        <v/>
      </c>
      <c r="G9" s="13">
        <f>SUM(CCMS_CASE_TOTALS_TRUE!CU:CU)</f>
        <v/>
      </c>
      <c r="I9" s="13">
        <f>SUM(C9:H9)</f>
        <v/>
      </c>
      <c r="K9" s="13">
        <f>I28+I42-I9</f>
        <v/>
      </c>
    </row>
    <row r="10">
      <c r="B10" t="inlineStr">
        <is>
          <t>Adjustments: Other Lowering debt</t>
        </is>
      </c>
      <c r="C10" s="13">
        <f>SUM(CCMS_CASE_TOTALS_TRUE!W:W)</f>
        <v/>
      </c>
      <c r="D10" s="13">
        <f>SUM(CCMS_CASE_TOTALS_TRUE!AO:AO)</f>
        <v/>
      </c>
      <c r="E10" s="13">
        <f>SUM(CCMS_CASE_TOTALS_TRUE!BL:BL)</f>
        <v/>
      </c>
      <c r="F10" s="13">
        <f>SUM(CCMS_CASE_TOTALS_TRUE!CD:CD)</f>
        <v/>
      </c>
      <c r="G10" s="13">
        <f>SUM(CCMS_CASE_TOTALS_TRUE!CV:CV)</f>
        <v/>
      </c>
      <c r="I10" s="13">
        <f>SUM(C10:H10)</f>
        <v/>
      </c>
      <c r="K10" s="13">
        <f>I29+I43-I10</f>
        <v/>
      </c>
    </row>
    <row r="11">
      <c r="B11" t="inlineStr">
        <is>
          <t>Adjustments: Writeoff Charge</t>
        </is>
      </c>
      <c r="C11" s="13">
        <f>SUM(CCMS_CASE_TOTALS_TRUE!Y:Y)</f>
        <v/>
      </c>
      <c r="D11" s="13">
        <f>SUM(CCMS_CASE_TOTALS_TRUE!AQ:AQ)</f>
        <v/>
      </c>
      <c r="E11" s="13">
        <f>SUM(CCMS_CASE_TOTALS_TRUE!BN:BN)</f>
        <v/>
      </c>
      <c r="F11" s="13">
        <f>SUM(CCMS_CASE_TOTALS_TRUE!CF:CF)</f>
        <v/>
      </c>
      <c r="G11" s="13">
        <f>SUM(CCMS_CASE_TOTALS_TRUE!CX:CX)</f>
        <v/>
      </c>
      <c r="I11" s="13">
        <f>SUM(C11:H11)</f>
        <v/>
      </c>
    </row>
    <row r="12">
      <c r="B12" t="inlineStr">
        <is>
          <t>Adjustments: Writeoff Debt</t>
        </is>
      </c>
      <c r="C12" s="13">
        <f>SUM(CCMS_CASE_TOTALS_TRUE!Z:Z)</f>
        <v/>
      </c>
      <c r="D12" s="13">
        <f>SUM(CCMS_CASE_TOTALS_TRUE!AR:AR)</f>
        <v/>
      </c>
      <c r="E12" s="13">
        <f>SUM(CCMS_CASE_TOTALS_TRUE!BO:BO)</f>
        <v/>
      </c>
      <c r="F12" s="13">
        <f>SUM(CCMS_CASE_TOTALS_TRUE!CG:CG)</f>
        <v/>
      </c>
      <c r="G12" s="13">
        <f>SUM(CCMS_CASE_TOTALS_TRUE!CY:CY)</f>
        <v/>
      </c>
      <c r="I12" s="13">
        <f>SUM(C12:H12)</f>
        <v/>
      </c>
      <c r="K12" s="13">
        <f>I30+I44-I12</f>
        <v/>
      </c>
    </row>
    <row r="13">
      <c r="B13" t="inlineStr">
        <is>
          <t>Adjustments: Writedown Charge</t>
        </is>
      </c>
      <c r="C13" s="13">
        <f>SUM(CCMS_CASE_TOTALS_TRUE!AB:AB)</f>
        <v/>
      </c>
      <c r="D13" s="13">
        <f>SUM(CCMS_CASE_TOTALS_TRUE!AT:AT)</f>
        <v/>
      </c>
      <c r="E13" s="13">
        <f>SUM(CCMS_CASE_TOTALS_TRUE!BQ:BQ)</f>
        <v/>
      </c>
      <c r="F13" s="13">
        <f>SUM(CCMS_CASE_TOTALS_TRUE!CI:CI)</f>
        <v/>
      </c>
      <c r="G13" s="13">
        <f>SUM(CCMS_CASE_TOTALS_TRUE!DA:DA)</f>
        <v/>
      </c>
      <c r="I13" s="13">
        <f>SUM(C13:H13)</f>
        <v/>
      </c>
    </row>
    <row r="14">
      <c r="B14" t="inlineStr">
        <is>
          <t>Adjustments: Writedown Debt</t>
        </is>
      </c>
      <c r="C14" s="13">
        <f>SUM(CCMS_CASE_TOTALS_TRUE!AC:AC)</f>
        <v/>
      </c>
      <c r="D14" s="13">
        <f>SUM(CCMS_CASE_TOTALS_TRUE!AU:AU)</f>
        <v/>
      </c>
      <c r="E14" s="13">
        <f>SUM(CCMS_CASE_TOTALS_TRUE!BR:BR)</f>
        <v/>
      </c>
      <c r="F14" s="13">
        <f>SUM(CCMS_CASE_TOTALS_TRUE!CJ:CJ)</f>
        <v/>
      </c>
      <c r="G14" s="13">
        <f>SUM(CCMS_CASE_TOTALS_TRUE!DB:DB)</f>
        <v/>
      </c>
      <c r="I14" s="13">
        <f>SUM(C14:H14)</f>
        <v/>
      </c>
      <c r="K14" s="13">
        <f>I31+I45-I14</f>
        <v/>
      </c>
    </row>
    <row r="15">
      <c r="B15" t="inlineStr">
        <is>
          <t>Cash receipts: Charge</t>
        </is>
      </c>
      <c r="C15" s="13">
        <f>SUM(CCMS_CASE_TOTALS_TRUE!AE:AE)</f>
        <v/>
      </c>
      <c r="D15" s="13">
        <f>SUM(CCMS_CASE_TOTALS_TRUE!AW:AW)</f>
        <v/>
      </c>
      <c r="E15" s="13">
        <f>SUM(CCMS_CASE_TOTALS_TRUE!BT:BT)</f>
        <v/>
      </c>
      <c r="F15" s="13">
        <f>SUM(CCMS_CASE_TOTALS_TRUE!CL:CL)</f>
        <v/>
      </c>
      <c r="G15" s="13">
        <f>SUM(CCMS_CASE_TOTALS_TRUE!DD:DD)</f>
        <v/>
      </c>
      <c r="I15" s="13">
        <f>SUM(C15:H15)</f>
        <v/>
      </c>
    </row>
    <row r="16">
      <c r="B16" t="inlineStr">
        <is>
          <t>Cash receipts: Debt</t>
        </is>
      </c>
      <c r="C16" s="13">
        <f>SUM(CCMS_CASE_TOTALS_TRUE!AF:AF)</f>
        <v/>
      </c>
      <c r="D16" s="13">
        <f>SUM(CCMS_CASE_TOTALS_TRUE!AX:AX)</f>
        <v/>
      </c>
      <c r="E16" s="13">
        <f>SUM(CCMS_CASE_TOTALS_TRUE!BU:BU)</f>
        <v/>
      </c>
      <c r="F16" s="13">
        <f>SUM(CCMS_CASE_TOTALS_TRUE!CM:CM)</f>
        <v/>
      </c>
      <c r="G16" s="13">
        <f>SUM(CCMS_CASE_TOTALS_TRUE!DE:DE)</f>
        <v/>
      </c>
      <c r="I16" s="13">
        <f>SUM(C16:H16)</f>
        <v/>
      </c>
      <c r="K16" s="13">
        <f>I32+I46-I16</f>
        <v/>
      </c>
    </row>
    <row r="17">
      <c r="B17" t="inlineStr">
        <is>
          <t>Credit memo: Late Charge</t>
        </is>
      </c>
      <c r="C17" s="13">
        <f>SUM(CCMS_CASE_TOTALS_TRUE!AH:AH)</f>
        <v/>
      </c>
      <c r="D17" s="13">
        <f>SUM(CCMS_CASE_TOTALS_TRUE!AZ:AZ)</f>
        <v/>
      </c>
      <c r="E17" s="13">
        <f>SUM(CCMS_CASE_TOTALS_TRUE!BW:BW)</f>
        <v/>
      </c>
      <c r="F17" s="13">
        <f>SUM(CCMS_CASE_TOTALS_TRUE!CO:CO)</f>
        <v/>
      </c>
      <c r="G17" s="13">
        <f>SUM(CCMS_CASE_TOTALS_TRUE!DG:DG)</f>
        <v/>
      </c>
      <c r="I17" s="13">
        <f>SUM(C17:H17)</f>
        <v/>
      </c>
    </row>
    <row r="18">
      <c r="B18" t="inlineStr">
        <is>
          <t>Credit memo: Debt</t>
        </is>
      </c>
      <c r="C18" s="13">
        <f>SUM(CCMS_CASE_TOTALS_TRUE!AI:AI)</f>
        <v/>
      </c>
      <c r="D18" s="13">
        <f>SUM(CCMS_CASE_TOTALS_TRUE!BA:BA)</f>
        <v/>
      </c>
      <c r="E18" s="13">
        <f>SUM(CCMS_CASE_TOTALS_TRUE!BX:BX)</f>
        <v/>
      </c>
      <c r="F18" s="13">
        <f>SUM(CCMS_CASE_TOTALS_TRUE!CP:CP)</f>
        <v/>
      </c>
      <c r="G18" s="13">
        <f>SUM(CCMS_CASE_TOTALS_TRUE!DH:DH)</f>
        <v/>
      </c>
      <c r="I18" s="13">
        <f>SUM(C18:H18)</f>
        <v/>
      </c>
      <c r="K18" s="13">
        <f>I33+I47-I18</f>
        <v/>
      </c>
    </row>
    <row r="20">
      <c r="B20" t="inlineStr">
        <is>
          <t>Balance Principal</t>
        </is>
      </c>
      <c r="C20" s="13">
        <f>C7-C9-C10-C12-C14-C16-C18</f>
        <v/>
      </c>
      <c r="D20" s="13">
        <f>D7-D9-D10-D12-D14-D16-D18</f>
        <v/>
      </c>
      <c r="E20" s="13">
        <f>E7-E9-E10-E12-E14-E16-E18</f>
        <v/>
      </c>
      <c r="F20" s="13">
        <f>F7-F9-F10-F12-F14-F16-F18</f>
        <v/>
      </c>
      <c r="G20" s="13">
        <f>G7-G9-G10-G12-G14-G16-G18</f>
        <v/>
      </c>
      <c r="I20" s="13">
        <f>I7-I9-I10-I12-I14-I16-I18</f>
        <v/>
      </c>
    </row>
    <row r="21">
      <c r="B21" t="inlineStr">
        <is>
          <t>CHECKSUM</t>
        </is>
      </c>
      <c r="C21" s="13">
        <f>SUM(CCMS_CASE_TOTALS_TRUE!GF:GF)-C20</f>
        <v/>
      </c>
      <c r="D21" s="13">
        <f>SUM(CCMS_CASE_TOTALS_TRUE!GG:GG)-D20</f>
        <v/>
      </c>
      <c r="E21" s="13">
        <f>SUM(CCMS_CASE_TOTALS_TRUE!GH:GH)-E20</f>
        <v/>
      </c>
      <c r="F21" s="13">
        <f>SUM(CCMS_CASE_TOTALS_TRUE!GI:GI)-F20</f>
        <v/>
      </c>
      <c r="G21" s="13">
        <f>SUM(CCMS_CASE_TOTALS_TRUE!GJ:GJ)-G20</f>
        <v/>
      </c>
      <c r="I21" s="13">
        <f>SUM(C21:H21)</f>
        <v/>
      </c>
    </row>
    <row r="22">
      <c r="B22" t="inlineStr">
        <is>
          <t>Balance Charges</t>
        </is>
      </c>
      <c r="C22" s="13">
        <f>-C8-C11-C13-C15-C17</f>
        <v/>
      </c>
      <c r="D22" s="13">
        <f>-D8-D11-D13-D15-D17</f>
        <v/>
      </c>
      <c r="E22" s="13">
        <f>-E8-E11-E13-E15-E17</f>
        <v/>
      </c>
      <c r="F22" s="13">
        <f>-F8-F11-F13-F15-F17</f>
        <v/>
      </c>
      <c r="G22" s="13">
        <f>-G8-G11-G13-G15-G17</f>
        <v/>
      </c>
      <c r="I22" s="13">
        <f>-I8-I11-I13-I15-I17</f>
        <v/>
      </c>
    </row>
    <row r="24">
      <c r="B24" t="inlineStr">
        <is>
          <t>LAA Principal Debt</t>
        </is>
      </c>
    </row>
    <row r="26">
      <c r="B26" t="inlineStr">
        <is>
          <t>Transaction Type</t>
        </is>
      </c>
      <c r="C26" s="13" t="inlineStr">
        <is>
          <t>Contributions</t>
        </is>
      </c>
      <c r="D26" s="13" t="inlineStr">
        <is>
          <t>Costs</t>
        </is>
      </c>
      <c r="E26" s="13" t="inlineStr">
        <is>
          <t>Damages</t>
        </is>
      </c>
      <c r="F26" s="13" t="inlineStr">
        <is>
          <t>Revocation</t>
        </is>
      </c>
      <c r="G26" s="13" t="inlineStr">
        <is>
          <t>Statutory charge</t>
        </is>
      </c>
      <c r="I26" s="13" t="inlineStr">
        <is>
          <t>Total</t>
        </is>
      </c>
    </row>
    <row r="27">
      <c r="B27" t="inlineStr">
        <is>
          <t>LAA Debt invoices</t>
        </is>
      </c>
      <c r="C27" s="13">
        <f>SUM(CCMS_CASE_TOTALS_TRUE!DM:DM)</f>
        <v/>
      </c>
      <c r="D27" s="13">
        <f>SUM(CCMS_CASE_TOTALS_TRUE!DT:DT)</f>
        <v/>
      </c>
      <c r="E27" s="13">
        <f>SUM(CCMS_CASE_TOTALS_TRUE!EA:EA)</f>
        <v/>
      </c>
      <c r="F27" s="13">
        <f>SUM(CCMS_CASE_TOTALS_TRUE!EH:EH)</f>
        <v/>
      </c>
      <c r="G27" s="13">
        <f>SUM(CCMS_CASE_TOTALS_TRUE!EO:EO)</f>
        <v/>
      </c>
      <c r="I27" s="13">
        <f>SUM(C27:G27)</f>
        <v/>
      </c>
    </row>
    <row r="28">
      <c r="B28" t="inlineStr">
        <is>
          <t>LAA Adjustment: Other Increasing Debt</t>
        </is>
      </c>
      <c r="C28" s="13">
        <f>SUM(CCMS_CASE_TOTALS_TRUE!DN:DN)</f>
        <v/>
      </c>
      <c r="D28" s="13">
        <f>SUM(CCMS_CASE_TOTALS_TRUE!DU:DU)</f>
        <v/>
      </c>
      <c r="E28" s="13">
        <f>SUM(CCMS_CASE_TOTALS_TRUE!EB:EB)</f>
        <v/>
      </c>
      <c r="F28" s="13">
        <f>SUM(CCMS_CASE_TOTALS_TRUE!EI:EI)</f>
        <v/>
      </c>
      <c r="G28" s="13">
        <f>SUM(CCMS_CASE_TOTALS_TRUE!EP:EP)</f>
        <v/>
      </c>
      <c r="I28" s="13">
        <f>SUM(C28:G28)</f>
        <v/>
      </c>
    </row>
    <row r="29">
      <c r="B29" t="inlineStr">
        <is>
          <t>LAA Adjustments: Other Lowering Debt</t>
        </is>
      </c>
      <c r="C29" s="13">
        <f>SUM(CCMS_CASE_TOTALS_TRUE!DO:DO)</f>
        <v/>
      </c>
      <c r="D29" s="13">
        <f>SUM(CCMS_CASE_TOTALS_TRUE!DV:DV)</f>
        <v/>
      </c>
      <c r="E29" s="13">
        <f>SUM(CCMS_CASE_TOTALS_TRUE!EC:EC)</f>
        <v/>
      </c>
      <c r="F29" s="13">
        <f>SUM(CCMS_CASE_TOTALS_TRUE!EJ:EJ)</f>
        <v/>
      </c>
      <c r="G29" s="13">
        <f>SUM(CCMS_CASE_TOTALS_TRUE!EQ:EQ)</f>
        <v/>
      </c>
      <c r="I29" s="13">
        <f>SUM(C29:G29)</f>
        <v/>
      </c>
    </row>
    <row r="30">
      <c r="B30" t="inlineStr">
        <is>
          <t>LAA Adjustments: Writeoff Debt</t>
        </is>
      </c>
      <c r="C30" s="13">
        <f>SUM(CCMS_CASE_TOTALS_TRUE!DR:DR)</f>
        <v/>
      </c>
      <c r="D30" s="13">
        <f>SUM(CCMS_CASE_TOTALS_TRUE!DY:DY)</f>
        <v/>
      </c>
      <c r="E30" s="13">
        <f>SUM(CCMS_CASE_TOTALS_TRUE!EF:EF)</f>
        <v/>
      </c>
      <c r="F30" s="13">
        <f>SUM(CCMS_CASE_TOTALS_TRUE!EM:EM)</f>
        <v/>
      </c>
      <c r="G30" s="13">
        <f>SUM(CCMS_CASE_TOTALS_TRUE!ET:ET)</f>
        <v/>
      </c>
      <c r="I30" s="13">
        <f>SUM(C30:G30)</f>
        <v/>
      </c>
    </row>
    <row r="31">
      <c r="B31" t="inlineStr">
        <is>
          <t>LAA Adjustments: Writedown Debt</t>
        </is>
      </c>
      <c r="C31" s="13">
        <f>SUM(CCMS_CASE_TOTALS_TRUE!DS:DS)</f>
        <v/>
      </c>
      <c r="D31" s="13">
        <f>SUM(CCMS_CASE_TOTALS_TRUE!DZ:DZ)</f>
        <v/>
      </c>
      <c r="E31" s="13">
        <f>SUM(CCMS_CASE_TOTALS_TRUE!EG:EG)</f>
        <v/>
      </c>
      <c r="F31" s="13">
        <f>SUM(CCMS_CASE_TOTALS_TRUE!EN:EN)</f>
        <v/>
      </c>
      <c r="G31" s="13">
        <f>SUM(CCMS_CASE_TOTALS_TRUE!EU:EU)</f>
        <v/>
      </c>
      <c r="I31" s="13">
        <f>SUM(C31:G31)</f>
        <v/>
      </c>
    </row>
    <row r="32">
      <c r="B32" t="inlineStr">
        <is>
          <t>LAA Cash receipts: Debt</t>
        </is>
      </c>
      <c r="C32" s="13">
        <f>SUM(CCMS_CASE_TOTALS_TRUE!DP:DP)</f>
        <v/>
      </c>
      <c r="D32" s="13">
        <f>SUM(CCMS_CASE_TOTALS_TRUE!DW:DW)</f>
        <v/>
      </c>
      <c r="E32" s="13">
        <f>SUM(CCMS_CASE_TOTALS_TRUE!ED:ED)</f>
        <v/>
      </c>
      <c r="F32" s="13">
        <f>SUM(CCMS_CASE_TOTALS_TRUE!EK:EK)</f>
        <v/>
      </c>
      <c r="G32" s="13">
        <f>SUM(CCMS_CASE_TOTALS_TRUE!ER:ER)</f>
        <v/>
      </c>
      <c r="I32" s="13">
        <f>SUM(C32:G32)</f>
        <v/>
      </c>
    </row>
    <row r="33">
      <c r="B33" t="inlineStr">
        <is>
          <t>LAA Credit memo: Debt</t>
        </is>
      </c>
      <c r="C33" s="13">
        <f>SUM(CCMS_CASE_TOTALS_TRUE!DQ:DQ)</f>
        <v/>
      </c>
      <c r="D33" s="13">
        <f>SUM(CCMS_CASE_TOTALS_TRUE!DX:DX)</f>
        <v/>
      </c>
      <c r="E33" s="13">
        <f>SUM(CCMS_CASE_TOTALS_TRUE!EE:EE)</f>
        <v/>
      </c>
      <c r="F33" s="13">
        <f>SUM(CCMS_CASE_TOTALS_TRUE!EL:EL)</f>
        <v/>
      </c>
      <c r="G33" s="13">
        <f>SUM(CCMS_CASE_TOTALS_TRUE!ES:ES)</f>
        <v/>
      </c>
      <c r="I33" s="13">
        <f>SUM(C33:G33)</f>
        <v/>
      </c>
    </row>
    <row r="35">
      <c r="B35" t="inlineStr">
        <is>
          <t>Balance Principal</t>
        </is>
      </c>
      <c r="C35" s="13">
        <f>C27-C28-C29-C30-C31-C32-C33</f>
        <v/>
      </c>
      <c r="D35" s="13">
        <f>D27-D28-D29-D30-D31-D32-D33</f>
        <v/>
      </c>
      <c r="E35" s="13">
        <f>E27-E28-E29-E30-E31-E32-E33</f>
        <v/>
      </c>
      <c r="F35" s="13">
        <f>F27-F28-F29-F30-F31-F32-F33</f>
        <v/>
      </c>
      <c r="G35" s="13">
        <f>G27-G28-G29-G30-G31-G32-G33</f>
        <v/>
      </c>
      <c r="I35" s="13">
        <f>SUM(C35:G35)</f>
        <v/>
      </c>
    </row>
    <row r="36">
      <c r="B36" t="inlineStr">
        <is>
          <t>CHECKSUM</t>
        </is>
      </c>
      <c r="C36" s="13">
        <f>SUM(CCMS_CASE_TOTALS_TRUE!GK:GK)-C35</f>
        <v/>
      </c>
      <c r="D36" s="13">
        <f>SUM(CCMS_CASE_TOTALS_TRUE!GL:GL)-D35</f>
        <v/>
      </c>
      <c r="E36" s="13">
        <f>SUM(CCMS_CASE_TOTALS_TRUE!GM:GM)-E35</f>
        <v/>
      </c>
      <c r="F36" s="13">
        <f>SUM(CCMS_CASE_TOTALS_TRUE!GN:GN)-F35</f>
        <v/>
      </c>
      <c r="G36" s="13">
        <f>SUM(CCMS_CASE_TOTALS_TRUE!GO:GO)-G35</f>
        <v/>
      </c>
      <c r="I36" s="13">
        <f>SUM(C36:G36)</f>
        <v/>
      </c>
    </row>
    <row r="38">
      <c r="B38" t="inlineStr">
        <is>
          <t>Third Party Principal Debt</t>
        </is>
      </c>
    </row>
    <row r="40">
      <c r="B40" t="inlineStr">
        <is>
          <t>Transaction Type</t>
        </is>
      </c>
      <c r="C40" s="13" t="inlineStr">
        <is>
          <t>Contributions</t>
        </is>
      </c>
      <c r="D40" s="13" t="inlineStr">
        <is>
          <t>Costs</t>
        </is>
      </c>
      <c r="E40" s="13" t="inlineStr">
        <is>
          <t>Damages</t>
        </is>
      </c>
      <c r="F40" s="13" t="inlineStr">
        <is>
          <t>Revocation</t>
        </is>
      </c>
      <c r="G40" s="13" t="inlineStr">
        <is>
          <t>Statutory charge</t>
        </is>
      </c>
      <c r="I40" s="13" t="inlineStr">
        <is>
          <t>Total</t>
        </is>
      </c>
    </row>
    <row r="41">
      <c r="B41" t="inlineStr">
        <is>
          <t>Third Debt invoices</t>
        </is>
      </c>
      <c r="C41" s="13">
        <f>SUM(CCMS_CASE_TOTALS_TRUE!EV:EV)</f>
        <v/>
      </c>
      <c r="D41" s="13">
        <f>SUM(CCMS_CASE_TOTALS_TRUE!FC:FC)</f>
        <v/>
      </c>
      <c r="E41" s="13">
        <f>SUM(CCMS_CASE_TOTALS_TRUE!FJ:FJ)</f>
        <v/>
      </c>
      <c r="F41" s="13">
        <f>SUM(CCMS_CASE_TOTALS_TRUE!FQ:FQ)</f>
        <v/>
      </c>
      <c r="G41" s="13">
        <f>SUM(CCMS_CASE_TOTALS_TRUE!FX:FX)</f>
        <v/>
      </c>
      <c r="I41" s="13">
        <f>SUM(C41:G41)</f>
        <v/>
      </c>
    </row>
    <row r="42">
      <c r="B42" t="inlineStr">
        <is>
          <t>Third Adjustment: Other Increasing Debt</t>
        </is>
      </c>
      <c r="C42" s="13">
        <f>SUM(CCMS_CASE_TOTALS_TRUE!EW:EW)</f>
        <v/>
      </c>
      <c r="D42" s="13">
        <f>SUM(CCMS_CASE_TOTALS_TRUE!FD:FD)</f>
        <v/>
      </c>
      <c r="E42" s="13">
        <f>SUM(CCMS_CASE_TOTALS_TRUE!FK:FK)</f>
        <v/>
      </c>
      <c r="F42" s="13">
        <f>SUM(CCMS_CASE_TOTALS_TRUE!FR:FR)</f>
        <v/>
      </c>
      <c r="G42" s="13">
        <f>SUM(CCMS_CASE_TOTALS_TRUE!FY:FY)</f>
        <v/>
      </c>
      <c r="I42" s="13">
        <f>SUM(C42:G42)</f>
        <v/>
      </c>
    </row>
    <row r="43">
      <c r="B43" t="inlineStr">
        <is>
          <t>Third Adjustments:Other Lowering Debt</t>
        </is>
      </c>
      <c r="C43" s="13">
        <f>SUM(CCMS_CASE_TOTALS_TRUE!EX:EX)</f>
        <v/>
      </c>
      <c r="D43" s="13">
        <f>SUM(CCMS_CASE_TOTALS_TRUE!FE:FE)</f>
        <v/>
      </c>
      <c r="E43" s="13">
        <f>SUM(CCMS_CASE_TOTALS_TRUE!FL:FL)</f>
        <v/>
      </c>
      <c r="F43" s="13">
        <f>SUM(CCMS_CASE_TOTALS_TRUE!FS:FS)</f>
        <v/>
      </c>
      <c r="G43" s="13">
        <f>SUM(CCMS_CASE_TOTALS_TRUE!FZ:FZ)</f>
        <v/>
      </c>
      <c r="I43" s="13">
        <f>SUM(C43:G43)</f>
        <v/>
      </c>
    </row>
    <row r="44">
      <c r="B44" t="inlineStr">
        <is>
          <t>Third Adjustments: Writeoff Debt</t>
        </is>
      </c>
      <c r="C44" s="13">
        <f>SUM(CCMS_CASE_TOTALS_TRUE!FA:FA)</f>
        <v/>
      </c>
      <c r="D44" s="13">
        <f>SUM(CCMS_CASE_TOTALS_TRUE!FH:FH)</f>
        <v/>
      </c>
      <c r="E44" s="13">
        <f>SUM(CCMS_CASE_TOTALS_TRUE!FO:FO)</f>
        <v/>
      </c>
      <c r="F44" s="13">
        <f>SUM(CCMS_CASE_TOTALS_TRUE!FV:FV)</f>
        <v/>
      </c>
      <c r="G44" s="13">
        <f>SUM(CCMS_CASE_TOTALS_TRUE!GC:GC)</f>
        <v/>
      </c>
      <c r="I44" s="13">
        <f>SUM(C44:G44)</f>
        <v/>
      </c>
    </row>
    <row r="45">
      <c r="B45" t="inlineStr">
        <is>
          <t>Third Adjustments: Writedown Debt</t>
        </is>
      </c>
      <c r="C45" s="13">
        <f>SUM(CCMS_CASE_TOTALS_TRUE!FB:FB)</f>
        <v/>
      </c>
      <c r="D45" s="13">
        <f>SUM(CCMS_CASE_TOTALS_TRUE!FI:FI)</f>
        <v/>
      </c>
      <c r="E45" s="13">
        <f>SUM(CCMS_CASE_TOTALS_TRUE!FP:FP)</f>
        <v/>
      </c>
      <c r="F45" s="13">
        <f>SUM(CCMS_CASE_TOTALS_TRUE!FW:FW)</f>
        <v/>
      </c>
      <c r="G45" s="13">
        <f>SUM(CCMS_CASE_TOTALS_TRUE!GD:GD)</f>
        <v/>
      </c>
      <c r="I45" s="13">
        <f>SUM(C45:G45)</f>
        <v/>
      </c>
    </row>
    <row r="46">
      <c r="B46" t="inlineStr">
        <is>
          <t>Third Cash receipts: Debt</t>
        </is>
      </c>
      <c r="C46" s="13">
        <f>SUM(CCMS_CASE_TOTALS_TRUE!EY:EY)</f>
        <v/>
      </c>
      <c r="D46" s="13">
        <f>SUM(CCMS_CASE_TOTALS_TRUE!FF:FF)</f>
        <v/>
      </c>
      <c r="E46" s="13">
        <f>SUM(CCMS_CASE_TOTALS_TRUE!FM:FM)</f>
        <v/>
      </c>
      <c r="F46" s="13">
        <f>SUM(CCMS_CASE_TOTALS_TRUE!FT:FT)</f>
        <v/>
      </c>
      <c r="G46" s="13">
        <f>SUM(CCMS_CASE_TOTALS_TRUE!GA:GA)</f>
        <v/>
      </c>
      <c r="I46" s="13">
        <f>SUM(C46:G46)</f>
        <v/>
      </c>
    </row>
    <row r="47">
      <c r="B47" t="inlineStr">
        <is>
          <t>Third Credit memo: Debt</t>
        </is>
      </c>
      <c r="C47" s="13">
        <f>SUM(CCMS_CASE_TOTALS_TRUE!EZ:EZ)</f>
        <v/>
      </c>
      <c r="D47" s="13">
        <f>SUM(CCMS_CASE_TOTALS_TRUE!FG:FG)</f>
        <v/>
      </c>
      <c r="E47" s="13">
        <f>SUM(CCMS_CASE_TOTALS_TRUE!FN:FN)</f>
        <v/>
      </c>
      <c r="F47" s="13">
        <f>SUM(CCMS_CASE_TOTALS_TRUE!FU:FU)</f>
        <v/>
      </c>
      <c r="G47" s="13">
        <f>SUM(CCMS_CASE_TOTALS_TRUE!GB:GB)</f>
        <v/>
      </c>
      <c r="I47" s="13">
        <f>SUM(C47:G47)</f>
        <v/>
      </c>
    </row>
    <row r="49">
      <c r="B49" t="inlineStr">
        <is>
          <t>Balance Principal</t>
        </is>
      </c>
      <c r="C49" s="13">
        <f>C41-C42-C43-C44-C45-C47-C46</f>
        <v/>
      </c>
      <c r="D49" s="13">
        <f>D41-D42-D43-D44-D45-D46-D47</f>
        <v/>
      </c>
      <c r="E49" s="13">
        <f>E41-E42-E43-E44-E45-E46-E47</f>
        <v/>
      </c>
      <c r="F49" s="13">
        <f>F41-F42-F43-F44-F45-F46-F47</f>
        <v/>
      </c>
      <c r="G49" s="13">
        <f>G41-G42-G43-G44-G45-G46-G47</f>
        <v/>
      </c>
      <c r="I49" s="13">
        <f>SUM(C49:G49)</f>
        <v/>
      </c>
    </row>
    <row r="50">
      <c r="B50" t="inlineStr">
        <is>
          <t>CHECKSUM</t>
        </is>
      </c>
      <c r="C50" s="13">
        <f>SUM(CCMS_CASE_TOTALS_TRUE!GQ:GQ)-C49</f>
        <v/>
      </c>
      <c r="D50" s="13">
        <f>SUM(CCMS_CASE_TOTALS_TRUE!GR:GR)-D49</f>
        <v/>
      </c>
      <c r="E50" s="13">
        <f>SUM(CCMS_CASE_TOTALS_TRUE!GS:GS)-E49</f>
        <v/>
      </c>
      <c r="F50" s="13">
        <f>SUM(CCMS_CASE_TOTALS_TRUE!GT:GT)-F49</f>
        <v/>
      </c>
      <c r="G50" s="13">
        <f>SUM(CCMS_CASE_TOTALS_TRUE!GU:GU)-G49</f>
        <v/>
      </c>
      <c r="I50" s="13">
        <f>SUM(C50:G50)</f>
        <v/>
      </c>
    </row>
    <row r="51">
      <c r="B51" t="inlineStr">
        <is>
          <t>CHECKSUM2</t>
        </is>
      </c>
      <c r="C51" s="13">
        <f>C49+C35-C20</f>
        <v/>
      </c>
      <c r="D51" s="13">
        <f>D49+D35-D20</f>
        <v/>
      </c>
      <c r="E51" s="13">
        <f>E49+E35-E20</f>
        <v/>
      </c>
      <c r="F51" s="13">
        <f>F49+F35-F20</f>
        <v/>
      </c>
      <c r="G51" s="13">
        <f>G49+G35-G20</f>
        <v/>
      </c>
      <c r="I51" s="13">
        <f>SUM(C51:G51)</f>
        <v/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11">
    <outlinePr summaryBelow="1" summaryRight="1"/>
    <pageSetUpPr/>
  </sheetPr>
  <dimension ref="B2:I43"/>
  <sheetViews>
    <sheetView workbookViewId="0">
      <selection activeCell="B8" sqref="B8"/>
    </sheetView>
  </sheetViews>
  <sheetFormatPr baseColWidth="8" defaultRowHeight="15"/>
  <cols>
    <col width="6.7109375" customWidth="1" min="1" max="1"/>
    <col width="45" bestFit="1" customWidth="1" min="2" max="2"/>
    <col width="14.42578125" bestFit="1" customWidth="1" style="13" min="3" max="3"/>
    <col width="15.42578125" bestFit="1" customWidth="1" style="13" min="4" max="6"/>
    <col width="16.42578125" bestFit="1" customWidth="1" style="13" min="7" max="7"/>
    <col width="11.85546875" bestFit="1" customWidth="1" style="13" min="8" max="8"/>
    <col width="14.85546875" bestFit="1" customWidth="1" style="13" min="9" max="9"/>
    <col width="9.28515625" bestFit="1" customWidth="1" min="10" max="10"/>
    <col width="37.5703125" bestFit="1" customWidth="1" min="11" max="11"/>
    <col width="15.28515625" bestFit="1" customWidth="1" min="12" max="12"/>
    <col width="12.85546875" bestFit="1" customWidth="1" min="13" max="13"/>
    <col width="14.28515625" bestFit="1" customWidth="1" min="14" max="14"/>
    <col width="9.28515625" bestFit="1" customWidth="1" min="15" max="18"/>
    <col width="11.5703125" bestFit="1" customWidth="1" min="19" max="19"/>
    <col width="10.5703125" bestFit="1" customWidth="1" min="20" max="21"/>
    <col width="9.28515625" bestFit="1" customWidth="1" min="22" max="25"/>
    <col width="10.5703125" bestFit="1" customWidth="1" min="26" max="26"/>
    <col width="9.28515625" bestFit="1" customWidth="1" min="27" max="31"/>
    <col width="10.5703125" bestFit="1" customWidth="1" min="32" max="32"/>
    <col width="9.28515625" bestFit="1" customWidth="1" min="33" max="33"/>
    <col width="10.5703125" bestFit="1" customWidth="1" min="34" max="35"/>
    <col width="9.28515625" bestFit="1" customWidth="1" min="36" max="38"/>
    <col width="10.5703125" bestFit="1" customWidth="1" min="39" max="39"/>
    <col width="9.28515625" bestFit="1" customWidth="1" min="40" max="40"/>
    <col width="10.5703125" bestFit="1" customWidth="1" min="41" max="41"/>
    <col width="9.28515625" bestFit="1" customWidth="1" min="42" max="50"/>
    <col width="11.5703125" bestFit="1" customWidth="1" min="51" max="51"/>
    <col width="9.28515625" bestFit="1" customWidth="1" min="52" max="57"/>
    <col width="10.5703125" bestFit="1" customWidth="1" min="58" max="58"/>
    <col width="9.28515625" bestFit="1" customWidth="1" min="59" max="59"/>
    <col width="10.5703125" bestFit="1" customWidth="1" min="60" max="61"/>
    <col width="9.28515625" bestFit="1" customWidth="1" min="62" max="62"/>
    <col width="10.5703125" bestFit="1" customWidth="1" min="63" max="63"/>
    <col width="9.28515625" bestFit="1" customWidth="1" min="64" max="66"/>
    <col width="14.28515625" bestFit="1" customWidth="1" min="67" max="67"/>
    <col width="12.5703125" bestFit="1" customWidth="1" min="68" max="69"/>
    <col width="10.5703125" bestFit="1" customWidth="1" min="70" max="70"/>
    <col width="9.28515625" bestFit="1" customWidth="1" min="71" max="73"/>
    <col width="14.28515625" bestFit="1" customWidth="1" min="74" max="74"/>
    <col width="12.5703125" bestFit="1" customWidth="1" min="75" max="75"/>
    <col width="14.28515625" bestFit="1" customWidth="1" min="76" max="76"/>
    <col width="12.5703125" bestFit="1" customWidth="1" min="77" max="77"/>
    <col width="11.5703125" bestFit="1" customWidth="1" min="78" max="78"/>
    <col width="12.5703125" bestFit="1" customWidth="1" min="79" max="79"/>
    <col width="11.5703125" bestFit="1" customWidth="1" min="80" max="80"/>
    <col width="9.28515625" bestFit="1" customWidth="1" min="81" max="81"/>
    <col width="11.5703125" bestFit="1" customWidth="1" min="82" max="82"/>
    <col width="9.28515625" bestFit="1" customWidth="1" min="83" max="85"/>
  </cols>
  <sheetData>
    <row r="2">
      <c r="B2" t="inlineStr">
        <is>
          <t>Migrated in Error</t>
        </is>
      </c>
    </row>
    <row r="5">
      <c r="B5" t="inlineStr">
        <is>
          <t>Debt Transactions</t>
        </is>
      </c>
    </row>
    <row r="7">
      <c r="B7" t="inlineStr">
        <is>
          <t>Transaction Type</t>
        </is>
      </c>
      <c r="C7" s="13" t="inlineStr">
        <is>
          <t>Contributions</t>
        </is>
      </c>
      <c r="D7" s="13" t="inlineStr">
        <is>
          <t>Costs</t>
        </is>
      </c>
      <c r="E7" s="13" t="inlineStr">
        <is>
          <t>Damages</t>
        </is>
      </c>
      <c r="F7" s="13" t="inlineStr">
        <is>
          <t>Revocation</t>
        </is>
      </c>
      <c r="G7" s="13" t="inlineStr">
        <is>
          <t>Statutory charge</t>
        </is>
      </c>
      <c r="I7" s="13" t="inlineStr">
        <is>
          <t>Total</t>
        </is>
      </c>
    </row>
    <row r="8">
      <c r="B8" t="inlineStr">
        <is>
          <t>Debt invoices</t>
        </is>
      </c>
      <c r="C8" s="13">
        <f>SUM(FIXED_CASES_EXP!M:M)</f>
        <v/>
      </c>
      <c r="D8" s="13">
        <f>SUM(FIXED_CASES_EXP!AE:AE)</f>
        <v/>
      </c>
      <c r="E8" s="13">
        <f>SUM(FIXED_CASES_EXP!AW:AW)</f>
        <v/>
      </c>
      <c r="F8" s="13">
        <f>SUM(FIXED_CASES_EXP!BO:BO)</f>
        <v/>
      </c>
      <c r="G8" s="13">
        <f>SUM(FIXED_CASES_EXP!CG:CG)</f>
        <v/>
      </c>
      <c r="I8" s="13">
        <f>SUM(C8:H8)</f>
        <v/>
      </c>
    </row>
    <row r="9">
      <c r="B9" t="inlineStr">
        <is>
          <t>Adjustment Charges</t>
        </is>
      </c>
      <c r="C9" s="13">
        <f>SUM(FIXED_CASES_EXP!O:O)*-1</f>
        <v/>
      </c>
      <c r="D9" s="13">
        <f>SUM(FIXED_CASES_EXP!AG:AG)*-1</f>
        <v/>
      </c>
      <c r="E9" s="13">
        <f>SUM(FIXED_CASES_EXP!AY:AY)*-1</f>
        <v/>
      </c>
      <c r="F9" s="13">
        <f>SUM(FIXED_CASES_EXP!BQ:BQ)*-1</f>
        <v/>
      </c>
      <c r="G9" s="13">
        <f>SUM(FIXED_CASES_EXP!CI:CI)*-1</f>
        <v/>
      </c>
      <c r="I9" s="13">
        <f>SUM(C9:H9)</f>
        <v/>
      </c>
    </row>
    <row r="10">
      <c r="B10" t="inlineStr">
        <is>
          <t>Adjustment: Other Increasing debt</t>
        </is>
      </c>
      <c r="C10" s="13">
        <f>SUM(FIXED_CASES_EXP!Q:Q)*-1</f>
        <v/>
      </c>
      <c r="D10" s="13">
        <f>SUM(FIXED_CASES_EXP!AI:AI)*-1</f>
        <v/>
      </c>
      <c r="E10" s="13">
        <f>SUM(FIXED_CASES_EXP!BA:BA)*-1</f>
        <v/>
      </c>
      <c r="F10" s="13">
        <f>SUM(FIXED_CASES_EXP!BS:BS)*-1</f>
        <v/>
      </c>
      <c r="G10" s="13">
        <f>SUM(FIXED_CASES_EXP!CN:CN)*-1</f>
        <v/>
      </c>
      <c r="I10" s="13">
        <f>SUM(C10:H10)</f>
        <v/>
      </c>
    </row>
    <row r="11">
      <c r="B11" t="inlineStr">
        <is>
          <t>Adjustments: Other Lowering debt</t>
        </is>
      </c>
      <c r="C11" s="13">
        <f>(SUM(FIXED_CASES_EXP!P:P)*-1)-C10</f>
        <v/>
      </c>
      <c r="D11" s="13">
        <f>(SUM(FIXED_CASES_EXP!AH:AH)*-1)-D10</f>
        <v/>
      </c>
      <c r="E11" s="13">
        <f>(SUM(FIXED_CASES_EXP!AZ:AZ)*-1)-E10</f>
        <v/>
      </c>
      <c r="F11" s="13">
        <f>(SUM(FIXED_CASES_EXP!BR:BR)*-1)-F10</f>
        <v/>
      </c>
      <c r="G11" s="13">
        <f>(SUM(FIXED_CASES_EXP!CJ:CJ)*-1)-G10</f>
        <v/>
      </c>
      <c r="I11" s="13">
        <f>SUM(C11:H11)</f>
        <v/>
      </c>
    </row>
    <row r="12">
      <c r="B12" t="inlineStr">
        <is>
          <t>Adjustments: Writeoff Charge</t>
        </is>
      </c>
      <c r="C12" s="13">
        <f>SUM(FIXED_CASES_EXP!W:W)*-1</f>
        <v/>
      </c>
      <c r="D12" s="13">
        <f>SUM(FIXED_CASES_EXP!AO:AO)*-1</f>
        <v/>
      </c>
      <c r="E12" s="13">
        <f>SUM(FIXED_CASES_EXP!BG:BG)*-1</f>
        <v/>
      </c>
      <c r="F12" s="13">
        <f>SUM(FIXED_CASES_EXP!BY:BY)*-1</f>
        <v/>
      </c>
      <c r="G12" s="13">
        <f>SUM(FIXED_CASES_EXP!CQ:CQ)*-1</f>
        <v/>
      </c>
      <c r="I12" s="13">
        <f>SUM(C12:H12)</f>
        <v/>
      </c>
    </row>
    <row r="13">
      <c r="B13" t="inlineStr">
        <is>
          <t>Adjustments: Writeoff Debt</t>
        </is>
      </c>
      <c r="C13" s="13">
        <f>SUM(FIXED_CASES_EXP!X:X)*-1</f>
        <v/>
      </c>
      <c r="D13" s="13">
        <f>SUM(FIXED_CASES_EXP!AP:AP)*-1</f>
        <v/>
      </c>
      <c r="E13" s="13">
        <f>SUM(FIXED_CASES_EXP!BH:BH)*-1</f>
        <v/>
      </c>
      <c r="F13" s="13">
        <f>SUM(FIXED_CASES_EXP!BZ:BZ)*-1</f>
        <v/>
      </c>
      <c r="G13" s="13">
        <f>SUM(FIXED_CASES_EXP!CR:CR)*-1</f>
        <v/>
      </c>
      <c r="I13" s="13">
        <f>SUM(C13:H13)</f>
        <v/>
      </c>
    </row>
    <row r="14">
      <c r="B14" t="inlineStr">
        <is>
          <t>Adjustments: Writedown Charge</t>
        </is>
      </c>
      <c r="C14" s="13">
        <f>SUM(FIXED_CASES_EXP!T:T)*-1</f>
        <v/>
      </c>
      <c r="D14" s="13">
        <f>SUM(FIXED_CASES_EXP!AL:AL)*-1</f>
        <v/>
      </c>
      <c r="E14" s="13">
        <f>SUM(FIXED_CASES_EXP!BD:BD)*-1</f>
        <v/>
      </c>
      <c r="F14" s="13">
        <f>SUM(FIXED_CASES_EXP!BV:BV)*-1</f>
        <v/>
      </c>
      <c r="G14" s="13">
        <f>SUM(FIXED_CASES_EXP!CL:CL)*-1</f>
        <v/>
      </c>
      <c r="I14" s="13">
        <f>SUM(C14:H14)</f>
        <v/>
      </c>
    </row>
    <row r="15">
      <c r="B15" t="inlineStr">
        <is>
          <t>Adjustments: Writedown Debt</t>
        </is>
      </c>
      <c r="C15" s="13">
        <f>SUM(FIXED_CASES_EXP!U:U)*-1</f>
        <v/>
      </c>
      <c r="D15" s="13">
        <f>SUM(FIXED_CASES_EXP!AM:AM)*-1</f>
        <v/>
      </c>
      <c r="E15" s="13">
        <f>SUM(FIXED_CASES_EXP!BE:BE)*-1</f>
        <v/>
      </c>
      <c r="F15" s="13">
        <f>SUM(FIXED_CASES_EXP!BW:BW)*-1</f>
        <v/>
      </c>
      <c r="G15" s="13">
        <f>SUM(FIXED_CASES_EXP!CM:CM)*-1</f>
        <v/>
      </c>
      <c r="I15" s="13">
        <f>SUM(C15:H15)</f>
        <v/>
      </c>
    </row>
    <row r="16">
      <c r="B16" t="inlineStr">
        <is>
          <t>Cash receipts: Charge</t>
        </is>
      </c>
      <c r="C16" s="13">
        <f>SUM(FIXED_CASES_EXP!Z:Z)</f>
        <v/>
      </c>
      <c r="D16" s="13">
        <f>SUM(FIXED_CASES_EXP!AR:AR)</f>
        <v/>
      </c>
      <c r="E16" s="13">
        <f>SUM(FIXED_CASES_EXP!BJ:BJ)</f>
        <v/>
      </c>
      <c r="F16" s="13">
        <f>SUM(FIXED_CASES_EXP!CB:CB)</f>
        <v/>
      </c>
      <c r="G16" s="13">
        <f>SUM(FIXED_CASES_EXP!CT:CT)</f>
        <v/>
      </c>
      <c r="I16" s="13">
        <f>SUM(C16:H16)</f>
        <v/>
      </c>
    </row>
    <row r="17">
      <c r="B17" t="inlineStr">
        <is>
          <t>Cash receipts: Debt</t>
        </is>
      </c>
      <c r="C17" s="13">
        <f>SUM(FIXED_CASES_EXP!AA:AA)</f>
        <v/>
      </c>
      <c r="D17" s="13">
        <f>SUM(FIXED_CASES_EXP!AS:AS)</f>
        <v/>
      </c>
      <c r="E17" s="13">
        <f>SUM(FIXED_CASES_EXP!BK:BK)</f>
        <v/>
      </c>
      <c r="F17" s="13">
        <f>SUM(FIXED_CASES_EXP!CC:CC)</f>
        <v/>
      </c>
      <c r="G17" s="13">
        <f>SUM(FIXED_CASES_EXP!CU:CU)</f>
        <v/>
      </c>
      <c r="I17" s="13">
        <f>SUM(C17:H17)</f>
        <v/>
      </c>
    </row>
    <row r="18">
      <c r="B18" t="inlineStr">
        <is>
          <t>Credit memo: Late Charge</t>
        </is>
      </c>
      <c r="C18" s="13">
        <f>SUM(FIXED_CASES_EXP!AC:AC)</f>
        <v/>
      </c>
      <c r="D18" s="13">
        <f>SUM(FIXED_CASES_EXP!AU:AU)</f>
        <v/>
      </c>
      <c r="E18" s="13">
        <f>SUM(FIXED_CASES_EXP!BM:BM)</f>
        <v/>
      </c>
      <c r="F18" s="13">
        <f>SUM(FIXED_CASES_EXP!CE:CE)</f>
        <v/>
      </c>
      <c r="G18" s="13">
        <f>SUM(FIXED_CASES_EXP!CW:CW)</f>
        <v/>
      </c>
      <c r="I18" s="13">
        <f>SUM(C18:H18)</f>
        <v/>
      </c>
    </row>
    <row r="19">
      <c r="B19" t="inlineStr">
        <is>
          <t>Credit memo: Debt</t>
        </is>
      </c>
      <c r="C19" s="13">
        <f>SUM(FIXED_CASES_EXP!AD:AD)</f>
        <v/>
      </c>
      <c r="D19" s="13">
        <f>SUM(FIXED_CASES_EXP!AV:AV)</f>
        <v/>
      </c>
      <c r="E19" s="13">
        <f>SUM(FIXED_CASES_EXP!BN:BN)</f>
        <v/>
      </c>
      <c r="F19" s="13">
        <f>SUM(FIXED_CASES_EXP!CF:CF)</f>
        <v/>
      </c>
      <c r="G19" s="13">
        <f>SUM(FIXED_CASES_EXP!CX:CX)</f>
        <v/>
      </c>
      <c r="I19" s="13">
        <f>SUM(C19:H19)</f>
        <v/>
      </c>
    </row>
    <row r="21">
      <c r="B21" t="inlineStr">
        <is>
          <t>Balance Principal</t>
        </is>
      </c>
      <c r="C21" s="13">
        <f>C8-C10-C11-C13-C15-C17-C19</f>
        <v/>
      </c>
      <c r="D21" s="13">
        <f>D8-D10-D11-D13-D15-D17-D19</f>
        <v/>
      </c>
      <c r="E21" s="13">
        <f>E8-E10-E11-E13-E15-E17-E19</f>
        <v/>
      </c>
      <c r="F21" s="13">
        <f>F8-F10-F11-F13-F15-F17-F19</f>
        <v/>
      </c>
      <c r="G21" s="13">
        <f>G8-G10-G11-G13-G15-G17-G19</f>
        <v/>
      </c>
      <c r="I21" s="13">
        <f>I8-I10-I11-I13-I15-I17-I19</f>
        <v/>
      </c>
    </row>
    <row r="23">
      <c r="B23" t="inlineStr">
        <is>
          <t>Balance Charges</t>
        </is>
      </c>
      <c r="C23" s="13">
        <f>-C9-C12-C14-C16-C18</f>
        <v/>
      </c>
      <c r="D23" s="13">
        <f>-D9-D12-D14-D16-D18</f>
        <v/>
      </c>
      <c r="E23" s="13">
        <f>-E9-E12-E14-E16-E18</f>
        <v/>
      </c>
      <c r="F23" s="13">
        <f>-F9-F12-F14-F16-F18</f>
        <v/>
      </c>
      <c r="G23" s="13">
        <f>-G9-G12-G14-G16-G18</f>
        <v/>
      </c>
      <c r="I23" s="13">
        <f>-I9-I12-I14-I16-I18</f>
        <v/>
      </c>
    </row>
    <row r="25">
      <c r="B25" t="inlineStr">
        <is>
          <t>Not Linked to Civil Case</t>
        </is>
      </c>
    </row>
    <row r="27">
      <c r="B27" t="inlineStr">
        <is>
          <t>Transaction Type</t>
        </is>
      </c>
      <c r="C27" s="13" t="inlineStr">
        <is>
          <t>Contributions</t>
        </is>
      </c>
      <c r="D27" s="13" t="inlineStr">
        <is>
          <t>Costs</t>
        </is>
      </c>
      <c r="E27" s="13" t="inlineStr">
        <is>
          <t>Damages</t>
        </is>
      </c>
      <c r="F27" s="13" t="inlineStr">
        <is>
          <t>Revocation</t>
        </is>
      </c>
      <c r="G27" s="13" t="inlineStr">
        <is>
          <t>Statutory charge</t>
        </is>
      </c>
      <c r="I27" s="13" t="inlineStr">
        <is>
          <t>Total</t>
        </is>
      </c>
    </row>
    <row r="28">
      <c r="B28" t="inlineStr">
        <is>
          <t>Debt invoices</t>
        </is>
      </c>
      <c r="C28" s="13">
        <f>SUMIF(CCMS_CIVIL_EXCEPTIONS_EXP!$L:$L,C$27,CCMS_CIVIL_EXCEPTIONS_EXP!$O:$O)</f>
        <v/>
      </c>
      <c r="D28" s="13">
        <f>SUMIF(CCMS_CIVIL_EXCEPTIONS_EXP!$L:$L,D$27,CCMS_CIVIL_EXCEPTIONS_EXP!$O:$O)</f>
        <v/>
      </c>
      <c r="E28" s="13">
        <f>SUMIF(CCMS_CIVIL_EXCEPTIONS_EXP!$L:$L,E$27,CCMS_CIVIL_EXCEPTIONS_EXP!$O:$O)</f>
        <v/>
      </c>
      <c r="F28" s="13">
        <f>SUMIF(CCMS_CIVIL_EXCEPTIONS_EXP!$L:$L,F$27,CCMS_CIVIL_EXCEPTIONS_EXP!$O:$O)</f>
        <v/>
      </c>
      <c r="G28" s="13">
        <f>SUMIF(CCMS_CIVIL_EXCEPTIONS_EXP!$L:$L,G$27,CCMS_CIVIL_EXCEPTIONS_EXP!$O:$O)</f>
        <v/>
      </c>
      <c r="I28" s="13">
        <f>SUM(C28:H28)</f>
        <v/>
      </c>
    </row>
    <row r="29">
      <c r="B29" t="inlineStr">
        <is>
          <t>Adjustment Charges</t>
        </is>
      </c>
      <c r="C29" s="13">
        <f>SUMIF(CCMS_CIVIL_EXCEPTIONS_EXP!$L:$L,C$27,CCMS_CIVIL_EXCEPTIONS_EXP!$V:$V)*-1</f>
        <v/>
      </c>
      <c r="D29" s="13">
        <f>SUMIF(CCMS_CIVIL_EXCEPTIONS_EXP!$L:$L,D$27,CCMS_CIVIL_EXCEPTIONS_EXP!$V:$V)*-1</f>
        <v/>
      </c>
      <c r="E29" s="13">
        <f>SUMIF(CCMS_CIVIL_EXCEPTIONS_EXP!$L:$L,E$27,CCMS_CIVIL_EXCEPTIONS_EXP!$V:$V)*-1</f>
        <v/>
      </c>
      <c r="F29" s="13">
        <f>SUMIF(CCMS_CIVIL_EXCEPTIONS_EXP!$L:$L,F$27,CCMS_CIVIL_EXCEPTIONS_EXP!$V:$V)*-1</f>
        <v/>
      </c>
      <c r="G29" s="13">
        <f>SUMIF(CCMS_CIVIL_EXCEPTIONS_EXP!$L:$L,G$27,CCMS_CIVIL_EXCEPTIONS_EXP!$V:$V)*-1</f>
        <v/>
      </c>
      <c r="I29" s="13">
        <f>SUM(C29:H29)</f>
        <v/>
      </c>
    </row>
    <row r="30">
      <c r="B30" t="inlineStr">
        <is>
          <t>Adjustment: Other Increasing debt</t>
        </is>
      </c>
      <c r="C30" s="13">
        <f>SUMIF(CCMS_CIVIL_EXCEPTIONS_EXP!$L:$L,C$27,CCMS_CIVIL_EXCEPTIONS_EXP!$T:$T)*-1</f>
        <v/>
      </c>
      <c r="D30" s="13">
        <f>SUMIF(CCMS_CIVIL_EXCEPTIONS_EXP!$L:$L,D$27,CCMS_CIVIL_EXCEPTIONS_EXP!$T:$T)*-1</f>
        <v/>
      </c>
      <c r="E30" s="13">
        <f>SUMIF(CCMS_CIVIL_EXCEPTIONS_EXP!$L:$L,E$27,CCMS_CIVIL_EXCEPTIONS_EXP!$T:$T)*-1</f>
        <v/>
      </c>
      <c r="F30" s="13">
        <f>SUMIF(CCMS_CIVIL_EXCEPTIONS_EXP!$L:$L,F$27,CCMS_CIVIL_EXCEPTIONS_EXP!$T:$T)*-1</f>
        <v/>
      </c>
      <c r="G30" s="13">
        <f>SUMIF(CCMS_CIVIL_EXCEPTIONS_EXP!$L:$L,G$27,CCMS_CIVIL_EXCEPTIONS_EXP!$T:$T)*-1</f>
        <v/>
      </c>
      <c r="I30" s="13">
        <f>SUM(C30:H30)</f>
        <v/>
      </c>
    </row>
    <row r="31">
      <c r="B31" t="inlineStr">
        <is>
          <t>Adjustments: Other Lowering debt</t>
        </is>
      </c>
      <c r="C31" s="13">
        <f>(SUMIF(CCMS_CIVIL_EXCEPTIONS_EXP!$L:$L,C$27,CCMS_CIVIL_EXCEPTIONS_EXP!$S:$S)*-1)-C30</f>
        <v/>
      </c>
      <c r="D31" s="13">
        <f>(SUMIF(CCMS_CIVIL_EXCEPTIONS_EXP!$L:$L,D$27,CCMS_CIVIL_EXCEPTIONS_EXP!$S:$S)*-1)-D30</f>
        <v/>
      </c>
      <c r="E31" s="13">
        <f>(SUMIF(CCMS_CIVIL_EXCEPTIONS_EXP!$L:$L,E$27,CCMS_CIVIL_EXCEPTIONS_EXP!$S:$S)*-1)-E30</f>
        <v/>
      </c>
      <c r="F31" s="13">
        <f>(SUMIF(CCMS_CIVIL_EXCEPTIONS_EXP!$L:$L,F$27,CCMS_CIVIL_EXCEPTIONS_EXP!$S:$S)*-1)-F30</f>
        <v/>
      </c>
      <c r="G31" s="13">
        <f>(SUMIF(CCMS_CIVIL_EXCEPTIONS_EXP!$L:$L,G$27,CCMS_CIVIL_EXCEPTIONS_EXP!$S:$S)*-1)-G30</f>
        <v/>
      </c>
      <c r="I31" s="13">
        <f>SUM(C31:H31)</f>
        <v/>
      </c>
    </row>
    <row r="32">
      <c r="B32" t="inlineStr">
        <is>
          <t>Adjustments: Writeoff Charge</t>
        </is>
      </c>
      <c r="C32" s="13">
        <f>SUMIF(CCMS_CIVIL_EXCEPTIONS_EXP!$L:$L,C$27,CCMS_CIVIL_EXCEPTIONS_EXP!$Z:$Z)*-1</f>
        <v/>
      </c>
      <c r="D32" s="13">
        <f>SUMIF(CCMS_CIVIL_EXCEPTIONS_EXP!$L:$L,D$27,CCMS_CIVIL_EXCEPTIONS_EXP!$Z:$Z)*-1</f>
        <v/>
      </c>
      <c r="E32" s="13">
        <f>SUMIF(CCMS_CIVIL_EXCEPTIONS_EXP!$L:$L,E$27,CCMS_CIVIL_EXCEPTIONS_EXP!$Z:$Z)*-1</f>
        <v/>
      </c>
      <c r="F32" s="13">
        <f>SUMIF(CCMS_CIVIL_EXCEPTIONS_EXP!$L:$L,F$27,CCMS_CIVIL_EXCEPTIONS_EXP!$Z:$Z)*-1</f>
        <v/>
      </c>
      <c r="G32" s="13">
        <f>SUMIF(CCMS_CIVIL_EXCEPTIONS_EXP!$L:$L,G$27,CCMS_CIVIL_EXCEPTIONS_EXP!$Z:$Z)*-1</f>
        <v/>
      </c>
      <c r="I32" s="13">
        <f>SUM(C32:H32)</f>
        <v/>
      </c>
    </row>
    <row r="33">
      <c r="B33" t="inlineStr">
        <is>
          <t>Adjustments: Writeoff Debt</t>
        </is>
      </c>
      <c r="C33" s="13">
        <f>SUMIF(CCMS_CIVIL_EXCEPTIONS_EXP!$L:$L,C$27,CCMS_CIVIL_EXCEPTIONS_EXP!$Y:$Y)*-1</f>
        <v/>
      </c>
      <c r="D33" s="13">
        <f>SUMIF(CCMS_CIVIL_EXCEPTIONS_EXP!$L:$L,D$27,CCMS_CIVIL_EXCEPTIONS_EXP!$Y:$Y)*-1</f>
        <v/>
      </c>
      <c r="E33" s="13">
        <f>SUMIF(CCMS_CIVIL_EXCEPTIONS_EXP!$L:$L,E$27,CCMS_CIVIL_EXCEPTIONS_EXP!$Y:$Y)*-1</f>
        <v/>
      </c>
      <c r="F33" s="13">
        <f>SUMIF(CCMS_CIVIL_EXCEPTIONS_EXP!$L:$L,F$27,CCMS_CIVIL_EXCEPTIONS_EXP!$Y:$Y)*-1</f>
        <v/>
      </c>
      <c r="G33" s="13">
        <f>SUMIF(CCMS_CIVIL_EXCEPTIONS_EXP!$L:$L,G$27,CCMS_CIVIL_EXCEPTIONS_EXP!$Y:$Y)*-1</f>
        <v/>
      </c>
      <c r="I33" s="13">
        <f>SUM(C33:H33)</f>
        <v/>
      </c>
    </row>
    <row r="34">
      <c r="B34" t="inlineStr">
        <is>
          <t>Adjustments: Writedown Charge</t>
        </is>
      </c>
      <c r="C34" s="13">
        <f>SUMIF(CCMS_CIVIL_EXCEPTIONS_EXP!$L:$L,C$27,CCMS_CIVIL_EXCEPTIONS_EXP!$X:$X)*-1</f>
        <v/>
      </c>
      <c r="D34" s="13">
        <f>SUMIF(CCMS_CIVIL_EXCEPTIONS_EXP!$L:$L,D$27,CCMS_CIVIL_EXCEPTIONS_EXP!$X:$X)*-1</f>
        <v/>
      </c>
      <c r="E34" s="13">
        <f>SUMIF(CCMS_CIVIL_EXCEPTIONS_EXP!$L:$L,E$27,CCMS_CIVIL_EXCEPTIONS_EXP!$X:$X)*-1</f>
        <v/>
      </c>
      <c r="F34" s="13">
        <f>SUMIF(CCMS_CIVIL_EXCEPTIONS_EXP!$L:$L,F$27,CCMS_CIVIL_EXCEPTIONS_EXP!$X:$X)*-1</f>
        <v/>
      </c>
      <c r="G34" s="13">
        <f>SUMIF(CCMS_CIVIL_EXCEPTIONS_EXP!$L:$L,G$27,CCMS_CIVIL_EXCEPTIONS_EXP!$X:$X)*-1</f>
        <v/>
      </c>
      <c r="I34" s="13">
        <f>SUM(C34:H34)</f>
        <v/>
      </c>
    </row>
    <row r="35">
      <c r="B35" t="inlineStr">
        <is>
          <t>Adjustments: Writedown Debt</t>
        </is>
      </c>
      <c r="C35" s="13">
        <f>SUMIF(CCMS_CIVIL_EXCEPTIONS_EXP!$L:$L,C$27,CCMS_CIVIL_EXCEPTIONS_EXP!$W:$W)*-1</f>
        <v/>
      </c>
      <c r="D35" s="13">
        <f>SUMIF(CCMS_CIVIL_EXCEPTIONS_EXP!$L:$L,D$27,CCMS_CIVIL_EXCEPTIONS_EXP!$W:$W)*-1</f>
        <v/>
      </c>
      <c r="E35" s="13">
        <f>SUMIF(CCMS_CIVIL_EXCEPTIONS_EXP!$L:$L,E$27,CCMS_CIVIL_EXCEPTIONS_EXP!$W:$W)*-1</f>
        <v/>
      </c>
      <c r="F35" s="13">
        <f>SUMIF(CCMS_CIVIL_EXCEPTIONS_EXP!$L:$L,F$27,CCMS_CIVIL_EXCEPTIONS_EXP!$W:$W)*-1</f>
        <v/>
      </c>
      <c r="G35" s="13">
        <f>SUMIF(CCMS_CIVIL_EXCEPTIONS_EXP!$L:$L,G$27,CCMS_CIVIL_EXCEPTIONS_EXP!$W:$W)*-1</f>
        <v/>
      </c>
      <c r="I35" s="13">
        <f>SUM(C35:H35)</f>
        <v/>
      </c>
    </row>
    <row r="36">
      <c r="B36" t="inlineStr">
        <is>
          <t>Cash receipts: Charge</t>
        </is>
      </c>
      <c r="C36" s="13">
        <f>SUMIF(CCMS_CIVIL_EXCEPTIONS_EXP!$L:$L,C$27,CCMS_CIVIL_EXCEPTIONS_EXP!$AB:$AB)</f>
        <v/>
      </c>
      <c r="D36" s="13">
        <f>SUMIF(CCMS_CIVIL_EXCEPTIONS_EXP!$L:$L,D$27,CCMS_CIVIL_EXCEPTIONS_EXP!$AB:$AB)</f>
        <v/>
      </c>
      <c r="E36" s="13">
        <f>SUMIF(CCMS_CIVIL_EXCEPTIONS_EXP!$L:$L,E$27,CCMS_CIVIL_EXCEPTIONS_EXP!$AB:$AB)</f>
        <v/>
      </c>
      <c r="F36" s="13">
        <f>SUMIF(CCMS_CIVIL_EXCEPTIONS_EXP!$L:$L,F$27,CCMS_CIVIL_EXCEPTIONS_EXP!$AB:$AB)</f>
        <v/>
      </c>
      <c r="G36" s="13">
        <f>SUMIF(CCMS_CIVIL_EXCEPTIONS_EXP!$L:$L,G$27,CCMS_CIVIL_EXCEPTIONS_EXP!$AB:$AB)</f>
        <v/>
      </c>
      <c r="I36" s="13">
        <f>SUM(C36:H36)</f>
        <v/>
      </c>
    </row>
    <row r="37">
      <c r="B37" t="inlineStr">
        <is>
          <t>Cash receipts: Debt</t>
        </is>
      </c>
      <c r="C37" s="13">
        <f>SUMIF(CCMS_CIVIL_EXCEPTIONS_EXP!$L:$L,C$27,CCMS_CIVIL_EXCEPTIONS_EXP!$AA:$AA)</f>
        <v/>
      </c>
      <c r="D37" s="13">
        <f>SUMIF(CCMS_CIVIL_EXCEPTIONS_EXP!$L:$L,D$27,CCMS_CIVIL_EXCEPTIONS_EXP!$AA:$AA)</f>
        <v/>
      </c>
      <c r="E37" s="13">
        <f>SUMIF(CCMS_CIVIL_EXCEPTIONS_EXP!$L:$L,E$27,CCMS_CIVIL_EXCEPTIONS_EXP!$AA:$AA)</f>
        <v/>
      </c>
      <c r="F37" s="13">
        <f>SUMIF(CCMS_CIVIL_EXCEPTIONS_EXP!$L:$L,F$27,CCMS_CIVIL_EXCEPTIONS_EXP!$AA:$AA)</f>
        <v/>
      </c>
      <c r="G37" s="13">
        <f>SUMIF(CCMS_CIVIL_EXCEPTIONS_EXP!$L:$L,G$27,CCMS_CIVIL_EXCEPTIONS_EXP!$AA:$AA)</f>
        <v/>
      </c>
      <c r="I37" s="13">
        <f>SUM(C37:H37)</f>
        <v/>
      </c>
    </row>
    <row r="38">
      <c r="B38" t="inlineStr">
        <is>
          <t>Credit memo: Late Charge</t>
        </is>
      </c>
      <c r="C38" s="13">
        <f>SUMIF(CCMS_CIVIL_EXCEPTIONS_EXP!$L:$L,C$27,CCMS_CIVIL_EXCEPTIONS_EXP!$Q:$Q)</f>
        <v/>
      </c>
      <c r="D38" s="13">
        <f>SUMIF(CCMS_CIVIL_EXCEPTIONS_EXP!$L:$L,D$27,CCMS_CIVIL_EXCEPTIONS_EXP!$Q:$Q)</f>
        <v/>
      </c>
      <c r="E38" s="13">
        <f>SUMIF(CCMS_CIVIL_EXCEPTIONS_EXP!$L:$L,E$27,CCMS_CIVIL_EXCEPTIONS_EXP!$Q:$Q)</f>
        <v/>
      </c>
      <c r="F38" s="13">
        <f>SUMIF(CCMS_CIVIL_EXCEPTIONS_EXP!$L:$L,F$27,CCMS_CIVIL_EXCEPTIONS_EXP!$Q:$Q)</f>
        <v/>
      </c>
      <c r="G38" s="13">
        <f>SUMIF(CCMS_CIVIL_EXCEPTIONS_EXP!$L:$L,G$27,CCMS_CIVIL_EXCEPTIONS_EXP!$Q:$Q)</f>
        <v/>
      </c>
      <c r="I38" s="13">
        <f>SUM(C38:H38)</f>
        <v/>
      </c>
    </row>
    <row r="39">
      <c r="B39" t="inlineStr">
        <is>
          <t>Credit memo: Debt</t>
        </is>
      </c>
      <c r="C39" s="13">
        <f>SUMIF(CCMS_CIVIL_EXCEPTIONS_EXP!$L:$L,C$27,CCMS_CIVIL_EXCEPTIONS_EXP!$P:$P)</f>
        <v/>
      </c>
      <c r="D39" s="13">
        <f>SUMIF(CCMS_CIVIL_EXCEPTIONS_EXP!$L:$L,D$27,CCMS_CIVIL_EXCEPTIONS_EXP!$P:$P)</f>
        <v/>
      </c>
      <c r="E39" s="13">
        <f>SUMIF(CCMS_CIVIL_EXCEPTIONS_EXP!$L:$L,E$27,CCMS_CIVIL_EXCEPTIONS_EXP!$P:$P)</f>
        <v/>
      </c>
      <c r="F39" s="13">
        <f>SUMIF(CCMS_CIVIL_EXCEPTIONS_EXP!$L:$L,F$27,CCMS_CIVIL_EXCEPTIONS_EXP!$P:$P)</f>
        <v/>
      </c>
      <c r="G39" s="13">
        <f>SUMIF(CCMS_CIVIL_EXCEPTIONS_EXP!$L:$L,G$27,CCMS_CIVIL_EXCEPTIONS_EXP!$P:$P)</f>
        <v/>
      </c>
      <c r="I39" s="13">
        <f>SUM(C39:H39)</f>
        <v/>
      </c>
    </row>
    <row r="41">
      <c r="B41" t="inlineStr">
        <is>
          <t>Balance Principal</t>
        </is>
      </c>
      <c r="C41" s="13">
        <f>C28-C30-C31-C33-C35-C37-C39</f>
        <v/>
      </c>
      <c r="D41" s="13">
        <f>D28-D30-D31-D33-D35-D37-D39</f>
        <v/>
      </c>
      <c r="E41" s="13">
        <f>E28-E30-E31-E33-E35-E37-E39</f>
        <v/>
      </c>
      <c r="F41" s="13">
        <f>F28-F30-F31-F33-F35-F37-F39</f>
        <v/>
      </c>
      <c r="G41" s="13">
        <f>G28-G30-G31-G33-G35-G37-G39</f>
        <v/>
      </c>
      <c r="I41" s="13">
        <f>I28-I30-I31-I33-I35-I37-I39</f>
        <v/>
      </c>
    </row>
    <row r="43">
      <c r="B43" t="inlineStr">
        <is>
          <t>Balance Charges</t>
        </is>
      </c>
      <c r="C43" s="13">
        <f>-C29-C32-C34-C36-C38</f>
        <v/>
      </c>
      <c r="D43" s="13">
        <f>-D29-D32-D34-D36-D38</f>
        <v/>
      </c>
      <c r="E43" s="13">
        <f>-E29-E32-E34-E36-E38</f>
        <v/>
      </c>
      <c r="F43" s="13">
        <f>-F29-F32-F34-F36-F38</f>
        <v/>
      </c>
      <c r="G43" s="13">
        <f>-G29-G32-G34-G36-G38</f>
        <v/>
      </c>
      <c r="I43" s="13">
        <f>-I29-I32-I34-I36-I38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3:H9"/>
  <sheetViews>
    <sheetView workbookViewId="0">
      <selection activeCell="C3" sqref="C3"/>
    </sheetView>
  </sheetViews>
  <sheetFormatPr baseColWidth="8" defaultRowHeight="15"/>
  <cols>
    <col width="50.85546875" bestFit="1" customWidth="1" min="1" max="1"/>
    <col width="14.7109375" bestFit="1" customWidth="1" min="2" max="2"/>
    <col width="12.5703125" bestFit="1" customWidth="1" min="3" max="4"/>
    <col width="14.28515625" bestFit="1" customWidth="1" min="5" max="5"/>
    <col width="17" bestFit="1" customWidth="1" min="6" max="6"/>
    <col width="3.7109375" customWidth="1" min="7" max="7"/>
    <col width="14.28515625" bestFit="1" customWidth="1" min="8" max="8"/>
  </cols>
  <sheetData>
    <row r="3">
      <c r="B3" t="inlineStr">
        <is>
          <t>Contributions</t>
        </is>
      </c>
      <c r="C3" t="inlineStr">
        <is>
          <t>Costs</t>
        </is>
      </c>
      <c r="D3" t="inlineStr">
        <is>
          <t>Damages</t>
        </is>
      </c>
      <c r="E3" t="inlineStr">
        <is>
          <t>Revocation</t>
        </is>
      </c>
      <c r="F3" t="inlineStr">
        <is>
          <t>Statutory charge</t>
        </is>
      </c>
      <c r="H3" t="inlineStr">
        <is>
          <t>Total</t>
        </is>
      </c>
    </row>
    <row r="4">
      <c r="A4" t="inlineStr">
        <is>
          <t>Total third party cash receipt income</t>
        </is>
      </c>
      <c r="B4">
        <f>'Correctly linked Civil Cases'!#REF!</f>
        <v/>
      </c>
      <c r="C4">
        <f>'Correctly linked Civil Cases'!#REF!</f>
        <v/>
      </c>
      <c r="D4">
        <f>'Correctly linked Civil Cases'!#REF!</f>
        <v/>
      </c>
      <c r="E4">
        <f>'Correctly linked Civil Cases'!#REF!</f>
        <v/>
      </c>
      <c r="F4">
        <f>'Correctly linked Civil Cases'!#REF!</f>
        <v/>
      </c>
      <c r="H4">
        <f>SUM(B4:G4)</f>
        <v/>
      </c>
    </row>
    <row r="6">
      <c r="A6" t="inlineStr">
        <is>
          <t>Total on cases with no final bill</t>
        </is>
      </c>
      <c r="B6">
        <f>SUMIF(CCMS_CASE_TOTALS_TRUE!$GV:$GV,"N",CCMS_CASE_TOTALS_TRUE!EY:EY)</f>
        <v/>
      </c>
      <c r="C6">
        <f>SUMIF(CCMS_CASE_TOTALS_TRUE!$GV:$GV,"N",CCMS_CASE_TOTALS_TRUE!FF:FF)</f>
        <v/>
      </c>
      <c r="D6">
        <f>SUMIF(CCMS_CASE_TOTALS_TRUE!$GV:$GV,"N",CCMS_CASE_TOTALS_TRUE!FM:FM)</f>
        <v/>
      </c>
      <c r="E6">
        <f>SUMIF(CCMS_CASE_TOTALS_TRUE!$GV:$GV,"N",CCMS_CASE_TOTALS_TRUE!FT:FT)</f>
        <v/>
      </c>
      <c r="F6">
        <f>SUMIF(CCMS_CASE_TOTALS_TRUE!$GV:$GV,"N",CCMS_CASE_TOTALS_TRUE!GA:GA)</f>
        <v/>
      </c>
      <c r="H6">
        <f>SUM(B6:G6)</f>
        <v/>
      </c>
    </row>
    <row r="7">
      <c r="A7" t="inlineStr">
        <is>
          <t>Total on cases with a final bill</t>
        </is>
      </c>
      <c r="B7">
        <f>B4-B6</f>
        <v/>
      </c>
      <c r="C7">
        <f>C4-C6</f>
        <v/>
      </c>
      <c r="D7">
        <f>D4-D6</f>
        <v/>
      </c>
      <c r="E7">
        <f>E4-E6</f>
        <v/>
      </c>
      <c r="F7">
        <f>F4-F6</f>
        <v/>
      </c>
      <c r="H7">
        <f>SUM(B7:G7)</f>
        <v/>
      </c>
    </row>
    <row r="9">
      <c r="A9" t="inlineStr">
        <is>
          <t>Volume of cases with a final bill and third party income</t>
        </is>
      </c>
      <c r="B9">
        <f>COUNTIF(CCMS_CASE_TOTALS_TRUE!HB:HB,"&gt;0")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Moran, William (LAA)</dc:creator>
  <dcterms:created xsi:type="dcterms:W3CDTF">2011-07-26T10:15:04Z</dcterms:created>
  <dcterms:modified xsi:type="dcterms:W3CDTF">2025-06-20T10:47:05Z</dcterms:modified>
  <cp:lastModifiedBy>Cummings, Sinead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  <property name="MediaServiceImageTags" fmtid="{D5CDD505-2E9C-101B-9397-08002B2CF9AE}" pid="3">
    <vt:lpwstr/>
  </property>
</Properties>
</file>